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9_Reims\Queue du Heron\"/>
    </mc:Choice>
  </mc:AlternateContent>
  <xr:revisionPtr revIDLastSave="0" documentId="13_ncr:1_{988AC7CF-E848-48AC-B9F2-D8C599347F3C}" xr6:coauthVersionLast="47" xr6:coauthVersionMax="47" xr10:uidLastSave="{00000000-0000-0000-0000-000000000000}"/>
  <bookViews>
    <workbookView xWindow="-28920" yWindow="-120" windowWidth="29040" windowHeight="15720" tabRatio="86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54" i="1" l="1"/>
  <c r="B253" i="1"/>
  <c r="B252" i="1"/>
  <c r="B251" i="1"/>
  <c r="B250" i="1"/>
  <c r="B249" i="1"/>
  <c r="B248" i="1"/>
  <c r="B247" i="1"/>
  <c r="B246" i="1"/>
  <c r="B245" i="1"/>
  <c r="B244" i="1"/>
  <c r="B228" i="1"/>
  <c r="B227" i="1"/>
  <c r="B226" i="1"/>
  <c r="B225" i="1"/>
  <c r="B224" i="1"/>
  <c r="B223" i="1"/>
  <c r="B222" i="1"/>
  <c r="B221" i="1"/>
  <c r="B220" i="1"/>
  <c r="B219" i="1"/>
  <c r="D77" i="1" l="1"/>
  <c r="B77" i="1"/>
  <c r="D76" i="1"/>
  <c r="B76" i="1"/>
  <c r="D75" i="1"/>
  <c r="B75" i="1"/>
  <c r="D74" i="1"/>
  <c r="B74" i="1"/>
  <c r="D73" i="1"/>
  <c r="B73" i="1"/>
  <c r="D72" i="1"/>
  <c r="B72" i="1"/>
  <c r="D71" i="1"/>
  <c r="B71" i="1"/>
  <c r="D70" i="1"/>
  <c r="B70" i="1"/>
  <c r="D69" i="1"/>
  <c r="B69" i="1"/>
  <c r="D68" i="1"/>
  <c r="B68" i="1"/>
  <c r="D67" i="1"/>
  <c r="B67" i="1"/>
  <c r="D66" i="1"/>
  <c r="B66" i="1"/>
  <c r="D65" i="1"/>
  <c r="B65" i="1"/>
  <c r="D64" i="1"/>
  <c r="B64" i="1"/>
  <c r="D63" i="1"/>
  <c r="B63" i="1"/>
  <c r="B62" i="1"/>
  <c r="D94" i="1"/>
  <c r="B94" i="1"/>
  <c r="D93" i="1"/>
  <c r="B93" i="1"/>
  <c r="D92" i="1"/>
  <c r="B92" i="1"/>
  <c r="D91" i="1"/>
  <c r="B91" i="1"/>
  <c r="D90" i="1"/>
  <c r="B90" i="1"/>
  <c r="D89" i="1"/>
  <c r="B89" i="1"/>
  <c r="B88" i="1"/>
  <c r="B120" i="1"/>
  <c r="D120" i="1" s="1"/>
  <c r="D150" i="1"/>
  <c r="B150" i="1"/>
  <c r="D149" i="1"/>
  <c r="B149" i="1"/>
  <c r="D148" i="1"/>
  <c r="B148" i="1"/>
  <c r="D147" i="1"/>
  <c r="B147" i="1"/>
  <c r="D146" i="1"/>
  <c r="B146" i="1"/>
  <c r="D145" i="1"/>
  <c r="B145" i="1"/>
  <c r="D144" i="1"/>
  <c r="B144" i="1"/>
  <c r="D143" i="1"/>
  <c r="B143" i="1"/>
  <c r="D142" i="1"/>
  <c r="B142" i="1"/>
  <c r="D141" i="1"/>
  <c r="B141" i="1"/>
  <c r="D140" i="1"/>
  <c r="B140" i="1"/>
  <c r="D198" i="1"/>
  <c r="B198" i="1"/>
  <c r="D197" i="1"/>
  <c r="B197" i="1"/>
  <c r="D196" i="1"/>
  <c r="B196" i="1"/>
  <c r="D195" i="1"/>
  <c r="B195" i="1"/>
  <c r="D194" i="1"/>
  <c r="B194" i="1"/>
  <c r="D193" i="1"/>
  <c r="B193" i="1"/>
  <c r="B192" i="1"/>
  <c r="D50" i="1" l="1"/>
  <c r="B50" i="1"/>
  <c r="D49" i="1"/>
  <c r="B49" i="1"/>
  <c r="D48" i="1"/>
  <c r="B48" i="1"/>
  <c r="D47" i="1"/>
  <c r="B47" i="1"/>
  <c r="D46" i="1"/>
  <c r="B46" i="1"/>
  <c r="D45" i="1"/>
  <c r="B45" i="1"/>
  <c r="D44" i="1"/>
  <c r="B44" i="1"/>
  <c r="D43" i="1"/>
  <c r="B43" i="1"/>
  <c r="D42" i="1"/>
  <c r="B42" i="1"/>
  <c r="D41" i="1"/>
  <c r="B41" i="1"/>
  <c r="D40" i="1"/>
  <c r="B40" i="1"/>
  <c r="D39" i="1"/>
  <c r="B39" i="1"/>
  <c r="D38" i="1"/>
  <c r="B38" i="1"/>
  <c r="D37" i="1"/>
  <c r="B37" i="1"/>
  <c r="B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FR4" i="2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B14" i="2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EV18" i="2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C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ER23" i="2"/>
  <c r="BW23" i="2"/>
  <c r="BL23" i="2"/>
  <c r="CF23" i="2"/>
  <c r="CG23" i="2"/>
  <c r="BV23" i="2"/>
  <c r="BO23" i="2"/>
  <c r="BA23" i="2"/>
  <c r="DM23" i="2"/>
  <c r="BK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DZ33" i="2"/>
  <c r="CG33" i="2"/>
  <c r="J9" i="4" s="1"/>
  <c r="K9" i="4" s="1"/>
  <c r="BV33" i="2"/>
  <c r="BO33" i="2"/>
  <c r="BK33" i="2"/>
  <c r="BW33" i="2"/>
  <c r="BL33" i="2"/>
  <c r="DE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A38" i="2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BW43" i="2"/>
  <c r="BL43" i="2"/>
  <c r="CF43" i="2"/>
  <c r="BB43" i="2"/>
  <c r="CG43" i="2"/>
  <c r="BV43" i="2"/>
  <c r="BO43" i="2"/>
  <c r="BK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G53" i="2"/>
  <c r="BV53" i="2"/>
  <c r="BO53" i="2"/>
  <c r="BK53" i="2"/>
  <c r="BW53" i="2"/>
  <c r="BL53" i="2"/>
  <c r="CF53" i="2"/>
  <c r="BB53" i="2"/>
  <c r="BA53" i="2"/>
  <c r="AT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F63" i="2"/>
  <c r="BB63" i="2"/>
  <c r="DA63" i="2"/>
  <c r="CG63" i="2"/>
  <c r="BV63" i="2"/>
  <c r="BO63" i="2"/>
  <c r="BK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DE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H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W124" i="2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FS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HH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EA146" i="2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V150" i="2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EW155" i="2"/>
  <c r="ED154" i="2"/>
  <c r="DI154" i="2"/>
  <c r="AC154" i="2"/>
  <c r="EA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EB156" i="2" l="1"/>
  <c r="ED155" i="2"/>
  <c r="EY155" i="2"/>
  <c r="FS156" i="2"/>
  <c r="EX156" i="2"/>
  <c r="DH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X157" i="2"/>
  <c r="EA157" i="2"/>
  <c r="EB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W158" i="2" l="1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EC159" i="2"/>
  <c r="HI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ED159" i="2"/>
  <c r="FS160" i="2"/>
  <c r="EY159" i="2"/>
  <c r="D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A161" i="2"/>
  <c r="AB161" i="2"/>
  <c r="EB161" i="2"/>
  <c r="EX161" i="2"/>
  <c r="FS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W162" i="2"/>
  <c r="EC162" i="2"/>
  <c r="DI161" i="2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A163" i="2"/>
  <c r="EB163" i="2"/>
  <c r="EY162" i="2"/>
  <c r="EV163" i="2"/>
  <c r="HI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FS164" i="2"/>
  <c r="DH164" i="2"/>
  <c r="DI163" i="2"/>
  <c r="EA164" i="2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X165" i="2"/>
  <c r="EB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ED165" i="2"/>
  <c r="CN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EA167" i="2"/>
  <c r="EY166" i="2"/>
  <c r="FR167" i="2"/>
  <c r="EX167" i="2"/>
  <c r="DG167" i="2"/>
  <c r="EB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EW168" i="2"/>
  <c r="DI167" i="2"/>
  <c r="DG168" i="2"/>
  <c r="EV168" i="2"/>
  <c r="HH168" i="2"/>
  <c r="FS168" i="2"/>
  <c r="EX168" i="2"/>
  <c r="EY168" i="2" s="1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A169" i="2"/>
  <c r="EB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B172" i="2"/>
  <c r="EA172" i="2"/>
  <c r="EW172" i="2"/>
  <c r="EV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X173" i="2"/>
  <c r="EW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A175" i="2"/>
  <c r="EB175" i="2"/>
  <c r="EW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W178" i="2"/>
  <c r="EA178" i="2"/>
  <c r="ED177" i="2"/>
  <c r="EB178" i="2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A179" i="2" l="1"/>
  <c r="ED178" i="2"/>
  <c r="EB179" i="2"/>
  <c r="DF179" i="2"/>
  <c r="EV179" i="2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Y179" i="2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FS181" i="2"/>
  <c r="EW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A183" i="2" l="1"/>
  <c r="EY182" i="2"/>
  <c r="FS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D184" i="2"/>
  <c r="EB185" i="2"/>
  <c r="EW185" i="2"/>
  <c r="EA185" i="2"/>
  <c r="EV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EA186" i="2"/>
  <c r="ED185" i="2"/>
  <c r="FR186" i="2"/>
  <c r="EW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B189" i="2"/>
  <c r="EV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W190" i="2"/>
  <c r="EV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C192" i="2" l="1"/>
  <c r="EY191" i="2"/>
  <c r="EV192" i="2"/>
  <c r="EW192" i="2"/>
  <c r="EB192" i="2"/>
  <c r="EA192" i="2"/>
  <c r="ED192" i="2" s="1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FQ193" i="2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CN193" i="2" l="1"/>
  <c r="EA194" i="2"/>
  <c r="ED193" i="2"/>
  <c r="EB194" i="2"/>
  <c r="FQ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D194" i="2" l="1"/>
  <c r="EB195" i="2"/>
  <c r="EY194" i="2"/>
  <c r="DH195" i="2"/>
  <c r="FQ195" i="2"/>
  <c r="EX195" i="2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A197" i="2" l="1"/>
  <c r="EY196" i="2"/>
  <c r="FS197" i="2"/>
  <c r="EW197" i="2"/>
  <c r="EC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A199" i="2" l="1"/>
  <c r="EB199" i="2"/>
  <c r="EY198" i="2"/>
  <c r="FS199" i="2"/>
  <c r="EV199" i="2"/>
  <c r="EW199" i="2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D200" i="2"/>
  <c r="EA201" i="2"/>
  <c r="FS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AX199" i="2"/>
  <c r="EY201" i="2" l="1"/>
  <c r="ED201" i="2"/>
  <c r="FR202" i="2"/>
  <c r="EW202" i="2"/>
  <c r="EX202" i="2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116" i="2" s="1" a="1"/>
  <c r="CS116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69" i="2" a="1"/>
  <c r="FY69" i="2" s="1"/>
  <c r="FY186" i="2" a="1"/>
  <c r="FY186" i="2" s="1"/>
  <c r="FY78" i="2" a="1"/>
  <c r="FY78" i="2" s="1"/>
  <c r="AH92" i="2" a="1"/>
  <c r="AH92" i="2" s="1"/>
  <c r="FY104" i="2" a="1"/>
  <c r="FY104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2" i="2" a="1"/>
  <c r="EI16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FY182" i="2" a="1"/>
  <c r="FY182" i="2" s="1"/>
  <c r="FY121" i="2" a="1"/>
  <c r="FY121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16" i="2" a="1"/>
  <c r="EI16" i="2" s="1"/>
  <c r="DN168" i="2" a="1"/>
  <c r="DN168" i="2" s="1"/>
  <c r="DN80" i="2" a="1"/>
  <c r="DN80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AX200" i="2"/>
  <c r="FY190" i="2" l="1" a="1"/>
  <c r="FY190" i="2" s="1"/>
  <c r="CS134" i="2" a="1"/>
  <c r="CS134" i="2" s="1"/>
  <c r="CS185" i="2" a="1"/>
  <c r="CS185" i="2" s="1"/>
  <c r="CS120" i="2" a="1"/>
  <c r="CS120" i="2" s="1"/>
  <c r="EI37" i="2" a="1"/>
  <c r="EI37" i="2" s="1"/>
  <c r="EI35" i="2" a="1"/>
  <c r="EI35" i="2" s="1"/>
  <c r="EI128" i="2" a="1"/>
  <c r="EI128" i="2" s="1"/>
  <c r="EI29" i="2" a="1"/>
  <c r="EI29" i="2" s="1"/>
  <c r="EI20" i="2" a="1"/>
  <c r="EI20" i="2" s="1"/>
  <c r="EI34" i="2" a="1"/>
  <c r="EI34" i="2" s="1"/>
  <c r="EI109" i="2" a="1"/>
  <c r="EI109" i="2" s="1"/>
  <c r="EI38" i="2" a="1"/>
  <c r="EI38" i="2" s="1"/>
  <c r="FD167" i="2" a="1"/>
  <c r="FD167" i="2" s="1"/>
  <c r="FY115" i="2" a="1"/>
  <c r="FY115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FY142" i="2" a="1"/>
  <c r="FY142" i="2" s="1"/>
  <c r="FY86" i="2" a="1"/>
  <c r="FY86" i="2" s="1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Y58" i="2" a="1"/>
  <c r="FY5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Y80" i="2" a="1"/>
  <c r="FY80" i="2" s="1"/>
  <c r="FY30" i="2" a="1"/>
  <c r="FY30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Y42" i="2" a="1"/>
  <c r="FY42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167" i="2" a="1"/>
  <c r="FY167" i="2" s="1"/>
  <c r="FY196" i="2" a="1"/>
  <c r="FY196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Y82" i="2" a="1"/>
  <c r="FY82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EI150" i="2" a="1"/>
  <c r="EI150" i="2" s="1"/>
  <c r="FD194" i="2" a="1"/>
  <c r="FD194" i="2" s="1"/>
  <c r="FD131" i="2" a="1"/>
  <c r="FD131" i="2" s="1"/>
  <c r="FD43" i="2" a="1"/>
  <c r="FD43" i="2" s="1"/>
  <c r="FD60" i="2" a="1"/>
  <c r="FD60" i="2" s="1"/>
  <c r="FD188" i="2" a="1"/>
  <c r="FD188" i="2" s="1"/>
  <c r="EY202" i="2"/>
  <c r="EI139" i="2" a="1"/>
  <c r="EI139" i="2" s="1"/>
  <c r="EI165" i="2" a="1"/>
  <c r="EI165" i="2" s="1"/>
  <c r="EI106" i="2" a="1"/>
  <c r="EI106" i="2" s="1"/>
  <c r="EI67" i="2" a="1"/>
  <c r="EI67" i="2" s="1"/>
  <c r="EI71" i="2" a="1"/>
  <c r="EI71" i="2" s="1"/>
  <c r="EI153" i="2" a="1"/>
  <c r="EI153" i="2" s="1"/>
  <c r="EI170" i="2" a="1"/>
  <c r="EI170" i="2" s="1"/>
  <c r="EI57" i="2" a="1"/>
  <c r="EI57" i="2" s="1"/>
  <c r="EI142" i="2" a="1"/>
  <c r="EI142" i="2" s="1"/>
  <c r="EI166" i="2" a="1"/>
  <c r="EI166" i="2" s="1"/>
  <c r="EI36" i="2" a="1"/>
  <c r="EI36" i="2" s="1"/>
  <c r="EI195" i="2" a="1"/>
  <c r="EI195" i="2" s="1"/>
  <c r="EI178" i="2" a="1"/>
  <c r="EI178" i="2" s="1"/>
  <c r="EI198" i="2" a="1"/>
  <c r="EI198" i="2" s="1"/>
  <c r="EI113" i="2" a="1"/>
  <c r="EI113" i="2" s="1"/>
  <c r="EI87" i="2" a="1"/>
  <c r="EI87" i="2" s="1"/>
  <c r="EI145" i="2" a="1"/>
  <c r="EI145" i="2" s="1"/>
  <c r="CS105" i="2" a="1"/>
  <c r="CS105" i="2" s="1"/>
  <c r="CS161" i="2" a="1"/>
  <c r="CS161" i="2" s="1"/>
  <c r="CS129" i="2" a="1"/>
  <c r="CS129" i="2" s="1"/>
  <c r="FD64" i="2" a="1"/>
  <c r="FD64" i="2" s="1"/>
  <c r="FD189" i="2" a="1"/>
  <c r="FD189" i="2" s="1"/>
  <c r="FD160" i="2" a="1"/>
  <c r="FD160" i="2" s="1"/>
  <c r="FD137" i="2" a="1"/>
  <c r="FD137" i="2" s="1"/>
  <c r="FD14" i="2" a="1"/>
  <c r="FD14" i="2" s="1"/>
  <c r="FD19" i="2" a="1"/>
  <c r="FD19" i="2" s="1"/>
  <c r="FD159" i="2" a="1"/>
  <c r="FD159" i="2" s="1"/>
  <c r="FD48" i="2" a="1"/>
  <c r="FD48" i="2" s="1"/>
  <c r="FD59" i="2" a="1"/>
  <c r="FD59" i="2" s="1"/>
  <c r="FR203" i="2"/>
  <c r="FD107" i="2" a="1"/>
  <c r="FD107" i="2" s="1"/>
  <c r="FD44" i="2" a="1"/>
  <c r="FD44" i="2" s="1"/>
  <c r="FD144" i="2" a="1"/>
  <c r="FD144" i="2" s="1"/>
  <c r="FD21" i="2" a="1"/>
  <c r="FD21" i="2" s="1"/>
  <c r="BX107" i="2" a="1"/>
  <c r="BX10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183" i="2" a="1"/>
  <c r="CS183" i="2" s="1"/>
  <c r="CS144" i="2" a="1"/>
  <c r="CS144" i="2" s="1"/>
  <c r="CS192" i="2" a="1"/>
  <c r="CS192" i="2" s="1"/>
  <c r="CS186" i="2" a="1"/>
  <c r="CS186" i="2" s="1"/>
  <c r="CS166" i="2" a="1"/>
  <c r="CS166" i="2" s="1"/>
  <c r="CS122" i="2" a="1"/>
  <c r="CS122" i="2" s="1"/>
  <c r="CS126" i="2" a="1"/>
  <c r="CS126" i="2" s="1"/>
  <c r="CS101" i="2" a="1"/>
  <c r="CS101" i="2" s="1"/>
  <c r="CS156" i="2" a="1"/>
  <c r="CS156" i="2" s="1"/>
  <c r="CS149" i="2" a="1"/>
  <c r="CS149" i="2" s="1"/>
  <c r="CS109" i="2" a="1"/>
  <c r="CS109" i="2" s="1"/>
  <c r="CS94" i="2" a="1"/>
  <c r="CS94" i="2" s="1"/>
  <c r="CS189" i="2" a="1"/>
  <c r="CS189" i="2" s="1"/>
  <c r="CS150" i="2" a="1"/>
  <c r="CS150" i="2" s="1"/>
  <c r="CS153" i="2" a="1"/>
  <c r="CS153" i="2" s="1"/>
  <c r="CS138" i="2" a="1"/>
  <c r="CS138" i="2" s="1"/>
  <c r="CS194" i="2" a="1"/>
  <c r="CS194" i="2" s="1"/>
  <c r="CS171" i="2" a="1"/>
  <c r="CS171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115" i="2" a="1"/>
  <c r="CS115" i="2" s="1"/>
  <c r="CS103" i="2" a="1"/>
  <c r="CS103" i="2" s="1"/>
  <c r="CS123" i="2" a="1"/>
  <c r="CS123" i="2" s="1"/>
  <c r="CS128" i="2" a="1"/>
  <c r="CS128" i="2" s="1"/>
  <c r="CS147" i="2" a="1"/>
  <c r="CS147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104" i="2" a="1"/>
  <c r="CS104" i="2" s="1"/>
  <c r="CS117" i="2" a="1"/>
  <c r="CS117" i="2" s="1"/>
  <c r="CS167" i="2" a="1"/>
  <c r="CS167" i="2" s="1"/>
  <c r="CS96" i="2" a="1"/>
  <c r="CS96" i="2" s="1"/>
  <c r="CS97" i="2" a="1"/>
  <c r="CS97" i="2" s="1"/>
  <c r="CS199" i="2" a="1"/>
  <c r="CS199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136" i="2" a="1"/>
  <c r="CS136" i="2" s="1"/>
  <c r="CS131" i="2" a="1"/>
  <c r="CS131" i="2" s="1"/>
  <c r="CS91" i="2" a="1"/>
  <c r="CS91" i="2" s="1"/>
  <c r="CS108" i="2" a="1"/>
  <c r="CS108" i="2" s="1"/>
  <c r="CS164" i="2" a="1"/>
  <c r="CS164" i="2" s="1"/>
  <c r="CS179" i="2" a="1"/>
  <c r="CS179" i="2" s="1"/>
  <c r="CS95" i="2" a="1"/>
  <c r="CS95" i="2" s="1"/>
  <c r="CS198" i="2" a="1"/>
  <c r="CS198" i="2" s="1"/>
  <c r="CS155" i="2" a="1"/>
  <c r="CS155" i="2" s="1"/>
  <c r="CS135" i="2" a="1"/>
  <c r="CS13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EI17" i="2" a="1"/>
  <c r="EI17" i="2" s="1"/>
  <c r="EI54" i="2" a="1"/>
  <c r="EI54" i="2" s="1"/>
  <c r="GT73" i="2" a="1"/>
  <c r="GT73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DN35" i="2" a="1"/>
  <c r="DN35" i="2" s="1"/>
  <c r="DN99" i="2" a="1"/>
  <c r="DN9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DI203" i="2"/>
  <c r="FT203" i="2"/>
  <c r="EY203" i="2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GE11" i="2" l="1"/>
  <c r="GE29" i="2"/>
  <c r="GE141" i="2"/>
  <c r="GE194" i="2"/>
  <c r="GE46" i="2"/>
  <c r="GE172" i="2"/>
  <c r="GE196" i="2"/>
  <c r="GE25" i="2"/>
  <c r="GE60" i="2"/>
  <c r="GE26" i="2"/>
  <c r="GE14" i="2"/>
  <c r="GE23" i="2"/>
  <c r="GE37" i="2"/>
  <c r="GE189" i="2"/>
  <c r="GE103" i="2"/>
  <c r="GE168" i="2"/>
  <c r="GE153" i="2"/>
  <c r="GE78" i="2"/>
  <c r="GE193" i="2"/>
  <c r="GE190" i="2"/>
  <c r="GE184" i="2"/>
  <c r="GE151" i="2"/>
  <c r="GE200" i="2"/>
  <c r="GE192" i="2"/>
  <c r="GE130" i="2"/>
  <c r="GE105" i="2"/>
  <c r="GE104" i="2"/>
  <c r="GE161" i="2"/>
  <c r="GE129" i="2"/>
  <c r="GE41" i="2"/>
  <c r="GE136" i="2"/>
  <c r="GE42" i="2"/>
  <c r="GE93" i="2"/>
  <c r="GE28" i="2"/>
  <c r="GE195" i="2"/>
  <c r="GE187" i="2"/>
  <c r="GE54" i="2"/>
  <c r="GE30" i="2"/>
  <c r="GE22" i="2"/>
  <c r="GE163" i="2"/>
  <c r="GE64" i="2"/>
  <c r="GE39" i="2"/>
  <c r="GE202" i="2"/>
  <c r="GE169" i="2"/>
  <c r="GE91" i="2"/>
  <c r="GE71" i="2"/>
  <c r="GE13" i="2"/>
  <c r="GE143" i="2"/>
  <c r="GE58" i="2"/>
  <c r="GE176" i="2"/>
  <c r="GE90" i="2"/>
  <c r="GE154" i="2"/>
  <c r="GE34" i="2"/>
  <c r="GE6" i="2"/>
  <c r="GE174" i="2"/>
  <c r="GE114" i="2"/>
  <c r="GE149" i="2"/>
  <c r="GE48" i="2"/>
  <c r="GE9" i="2"/>
  <c r="GE32" i="2"/>
  <c r="GE178" i="2"/>
  <c r="GE67" i="2"/>
  <c r="GE80" i="2"/>
  <c r="GE12" i="2"/>
  <c r="GE31" i="2"/>
  <c r="GE77" i="2"/>
  <c r="GE74" i="2"/>
  <c r="GE68" i="2"/>
  <c r="GE171" i="2"/>
  <c r="GE175" i="2"/>
  <c r="GE113" i="2"/>
  <c r="GE203" i="2"/>
  <c r="GE146" i="2"/>
  <c r="GE38" i="2"/>
  <c r="GE112" i="2"/>
  <c r="GE75" i="2"/>
  <c r="GE173" i="2"/>
  <c r="GE118" i="2"/>
  <c r="GE8" i="2"/>
  <c r="GE160" i="2"/>
  <c r="GE124" i="2"/>
  <c r="GE127" i="2"/>
  <c r="GE109" i="2"/>
  <c r="GE50" i="2"/>
  <c r="GE79" i="2"/>
  <c r="GE183" i="2"/>
  <c r="GE101" i="2"/>
  <c r="GE33" i="2"/>
  <c r="GE122" i="2"/>
  <c r="GE15" i="2"/>
  <c r="GE144" i="2"/>
  <c r="GE108" i="2"/>
  <c r="GE145" i="2"/>
  <c r="GE10" i="2"/>
  <c r="GE185" i="2"/>
  <c r="GE132" i="2"/>
  <c r="GE4" i="2"/>
  <c r="GE147" i="2"/>
  <c r="GE123" i="2"/>
  <c r="GE177" i="2"/>
  <c r="GE98" i="2"/>
  <c r="GE128" i="2"/>
  <c r="GE166" i="2"/>
  <c r="GE181" i="2"/>
  <c r="GE125" i="2"/>
  <c r="GE81" i="2"/>
  <c r="GE97" i="2"/>
  <c r="GE180" i="2"/>
  <c r="GE199" i="2"/>
  <c r="GE150" i="2"/>
  <c r="GE21" i="2"/>
  <c r="GE66" i="2"/>
  <c r="GE65" i="2"/>
  <c r="GE139" i="2"/>
  <c r="GE111" i="2"/>
  <c r="GE19" i="2"/>
  <c r="GE100" i="2"/>
  <c r="GE61" i="2"/>
  <c r="GE88" i="2"/>
  <c r="GE96" i="2"/>
  <c r="GE72" i="2"/>
  <c r="GE17" i="2"/>
  <c r="GE35" i="2"/>
  <c r="GE57" i="2"/>
  <c r="GE162" i="2"/>
  <c r="GE158" i="2"/>
  <c r="GE170" i="2"/>
  <c r="GE137" i="2"/>
  <c r="GE126" i="2"/>
  <c r="GE121" i="2"/>
  <c r="GE63" i="2"/>
  <c r="GE56" i="2"/>
  <c r="GE27" i="2"/>
  <c r="GE40" i="2"/>
  <c r="GE55" i="2"/>
  <c r="GE92" i="2"/>
  <c r="GE120" i="2"/>
  <c r="GE201" i="2"/>
  <c r="GE106" i="2"/>
  <c r="GE110" i="2"/>
  <c r="GE148" i="2"/>
  <c r="GE52" i="2"/>
  <c r="GE49" i="2"/>
  <c r="GE89" i="2"/>
  <c r="GE36" i="2"/>
  <c r="GE117" i="2"/>
  <c r="GE20" i="2"/>
  <c r="GE59" i="2"/>
  <c r="GE188" i="2"/>
  <c r="GE62" i="2"/>
  <c r="GE142" i="2"/>
  <c r="GE7" i="2"/>
  <c r="GE43" i="2"/>
  <c r="GE156" i="2"/>
  <c r="GE24" i="2"/>
  <c r="GE99" i="2"/>
  <c r="GE83" i="2"/>
  <c r="GE198" i="2"/>
  <c r="GE115" i="2"/>
  <c r="GE135" i="2"/>
  <c r="GE86" i="2"/>
  <c r="GE155" i="2"/>
  <c r="GE116" i="2"/>
  <c r="GE186" i="2"/>
  <c r="GE69" i="2"/>
  <c r="GE140" i="2"/>
  <c r="GE197" i="2"/>
  <c r="GE70" i="2"/>
  <c r="GE45" i="2"/>
  <c r="GE182" i="2"/>
  <c r="GE165" i="2"/>
  <c r="GE87" i="2"/>
  <c r="GE179" i="2"/>
  <c r="GE133" i="2"/>
  <c r="GE16" i="2"/>
  <c r="GE119" i="2"/>
  <c r="GE84" i="2"/>
  <c r="GE164" i="2"/>
  <c r="GE167" i="2"/>
  <c r="GE152" i="2"/>
  <c r="GE134" i="2"/>
  <c r="GE138" i="2"/>
  <c r="GE18" i="2"/>
  <c r="GE107" i="2"/>
  <c r="GE82" i="2"/>
  <c r="GE53" i="2"/>
  <c r="GE94" i="2"/>
  <c r="GE85" i="2"/>
  <c r="GE157" i="2"/>
  <c r="GE51" i="2"/>
  <c r="GE44" i="2"/>
  <c r="GE3" i="2"/>
  <c r="C14" i="4" s="1"/>
  <c r="E14" i="4" s="1"/>
  <c r="F14" i="4" s="1"/>
  <c r="G14" i="4" s="1"/>
  <c r="L14" i="4" s="1"/>
  <c r="GE5" i="2"/>
  <c r="GE95" i="2"/>
  <c r="GE131" i="2"/>
  <c r="GE159" i="2"/>
  <c r="GE191" i="2"/>
  <c r="GE73" i="2"/>
  <c r="GE47" i="2"/>
  <c r="GE76" i="2"/>
  <c r="GE102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AO57" i="2" l="1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CD189" i="2" l="1"/>
  <c r="CD174" i="2"/>
  <c r="CD134" i="2"/>
  <c r="CD60" i="2"/>
  <c r="CD178" i="2"/>
  <c r="CD179" i="2"/>
  <c r="CD79" i="2"/>
  <c r="CD41" i="2"/>
  <c r="CD161" i="2"/>
  <c r="CD157" i="2"/>
  <c r="CD43" i="2"/>
  <c r="CD16" i="2"/>
  <c r="CD86" i="2"/>
  <c r="CD10" i="2"/>
  <c r="CD137" i="2"/>
  <c r="CD46" i="2"/>
  <c r="CD13" i="2"/>
  <c r="CD165" i="2"/>
  <c r="CD195" i="2"/>
  <c r="CD18" i="2"/>
  <c r="CD149" i="2"/>
  <c r="CD135" i="2"/>
  <c r="CD103" i="2"/>
  <c r="CD55" i="2"/>
  <c r="CD162" i="2"/>
  <c r="CD118" i="2"/>
  <c r="CD196" i="2"/>
  <c r="CD172" i="2"/>
  <c r="CD81" i="2"/>
  <c r="CD148" i="2"/>
  <c r="CD102" i="2"/>
  <c r="CD80" i="2"/>
  <c r="CD30" i="2"/>
  <c r="CD192" i="2"/>
  <c r="CD113" i="2"/>
  <c r="CD20" i="2"/>
  <c r="CD23" i="2"/>
  <c r="CD108" i="2"/>
  <c r="CD130" i="2"/>
  <c r="CD29" i="2"/>
  <c r="CD9" i="2"/>
  <c r="CD76" i="2"/>
  <c r="CD42" i="2"/>
  <c r="CD22" i="2"/>
  <c r="CD17" i="2"/>
  <c r="CD53" i="2"/>
  <c r="CD8" i="2"/>
  <c r="CD184" i="2"/>
  <c r="CD61" i="2"/>
  <c r="CD203" i="2"/>
  <c r="CD39" i="2"/>
  <c r="CD158" i="2"/>
  <c r="CD67" i="2"/>
  <c r="CD181" i="2"/>
  <c r="CD27" i="2"/>
  <c r="CD202" i="2"/>
  <c r="CD151" i="2"/>
  <c r="CD112" i="2"/>
  <c r="CD120" i="2"/>
  <c r="CD44" i="2"/>
  <c r="CD99" i="2"/>
  <c r="CD82" i="2"/>
  <c r="CD15" i="2"/>
  <c r="CD156" i="2"/>
  <c r="CD107" i="2"/>
  <c r="CD72" i="2"/>
  <c r="CD197" i="2"/>
  <c r="CD201" i="2"/>
  <c r="CD123" i="2"/>
  <c r="CD70" i="2"/>
  <c r="CD136" i="2"/>
  <c r="CD143" i="2"/>
  <c r="CD163" i="2"/>
  <c r="CD155" i="2"/>
  <c r="CD88" i="2"/>
  <c r="CD147" i="2"/>
  <c r="CD122" i="2"/>
  <c r="CD194" i="2"/>
  <c r="CD97" i="2"/>
  <c r="CD186" i="2"/>
  <c r="CD94" i="2"/>
  <c r="CD193" i="2"/>
  <c r="CD74" i="2"/>
  <c r="CD37" i="2"/>
  <c r="CD168" i="2"/>
  <c r="CD133" i="2"/>
  <c r="CD33" i="2"/>
  <c r="CD160" i="2"/>
  <c r="CD93" i="2"/>
  <c r="CD71" i="2"/>
  <c r="CD75" i="2"/>
  <c r="CD89" i="2"/>
  <c r="CD183" i="2"/>
  <c r="CD146" i="2"/>
  <c r="CD154" i="2"/>
  <c r="CD200" i="2"/>
  <c r="CD58" i="2"/>
  <c r="CD185" i="2"/>
  <c r="CD144" i="2"/>
  <c r="CD83" i="2"/>
  <c r="CD5" i="2"/>
  <c r="CD7" i="2"/>
  <c r="CD77" i="2"/>
  <c r="CD171" i="2"/>
  <c r="CD35" i="2"/>
  <c r="CD117" i="2"/>
  <c r="CD92" i="2"/>
  <c r="CD96" i="2"/>
  <c r="CD34" i="2"/>
  <c r="CD198" i="2"/>
  <c r="CD177" i="2"/>
  <c r="CD85" i="2"/>
  <c r="CD129" i="2"/>
  <c r="CD101" i="2"/>
  <c r="CD59" i="2"/>
  <c r="CD199" i="2"/>
  <c r="CD131" i="2"/>
  <c r="CD191" i="2"/>
  <c r="CD180" i="2"/>
  <c r="CD152" i="2"/>
  <c r="CD190" i="2"/>
  <c r="CD139" i="2"/>
  <c r="CD115" i="2"/>
  <c r="CD173" i="2"/>
  <c r="CD49" i="2"/>
  <c r="CD95" i="2"/>
  <c r="CD28" i="2"/>
  <c r="CD176" i="2"/>
  <c r="CD145" i="2"/>
  <c r="CD182" i="2"/>
  <c r="CD11" i="2"/>
  <c r="CD68" i="2"/>
  <c r="CD170" i="2"/>
  <c r="CD116" i="2"/>
  <c r="CD56" i="2"/>
  <c r="CD114" i="2"/>
  <c r="CD47" i="2"/>
  <c r="CD21" i="2"/>
  <c r="CD127" i="2"/>
  <c r="CD14" i="2"/>
  <c r="CD57" i="2"/>
  <c r="CD104" i="2"/>
  <c r="CD48" i="2"/>
  <c r="CD121" i="2"/>
  <c r="CD69" i="2"/>
  <c r="CD90" i="2"/>
  <c r="CD36" i="2"/>
  <c r="CD63" i="2"/>
  <c r="CD105" i="2"/>
  <c r="CD3" i="2"/>
  <c r="C9" i="4" s="1"/>
  <c r="E9" i="4" s="1"/>
  <c r="F9" i="4" s="1"/>
  <c r="G9" i="4" s="1"/>
  <c r="L9" i="4" s="1"/>
  <c r="CD111" i="2"/>
  <c r="CD119" i="2"/>
  <c r="CD40" i="2"/>
  <c r="CD25" i="2"/>
  <c r="CD64" i="2"/>
  <c r="CD188" i="2"/>
  <c r="CD32" i="2"/>
  <c r="CD166" i="2"/>
  <c r="CD153" i="2"/>
  <c r="CD78" i="2"/>
  <c r="CD138" i="2"/>
  <c r="CD91" i="2"/>
  <c r="CD167" i="2"/>
  <c r="CD12" i="2"/>
  <c r="CD175" i="2"/>
  <c r="CD159" i="2"/>
  <c r="CD169" i="2"/>
  <c r="CD128" i="2"/>
  <c r="CD26" i="2"/>
  <c r="CD51" i="2"/>
  <c r="CD66" i="2"/>
  <c r="CD100" i="2"/>
  <c r="CD126" i="2"/>
  <c r="CD73" i="2"/>
  <c r="CD54" i="2"/>
  <c r="CD52" i="2"/>
  <c r="CD38" i="2"/>
  <c r="CD6" i="2"/>
  <c r="CD31" i="2"/>
  <c r="CD140" i="2"/>
  <c r="CD124" i="2"/>
  <c r="CD132" i="2"/>
  <c r="CD50" i="2"/>
  <c r="CD110" i="2"/>
  <c r="CD164" i="2"/>
  <c r="CD109" i="2"/>
  <c r="CD65" i="2"/>
  <c r="CD106" i="2"/>
  <c r="CD142" i="2"/>
  <c r="CD150" i="2"/>
  <c r="CD45" i="2"/>
  <c r="CD187" i="2"/>
  <c r="CD125" i="2"/>
  <c r="CD141" i="2"/>
  <c r="CD87" i="2"/>
  <c r="CD98" i="2"/>
  <c r="CD24" i="2"/>
  <c r="CD4" i="2"/>
  <c r="CD62" i="2"/>
  <c r="CD84" i="2"/>
  <c r="CD19" i="2"/>
  <c r="FE108" i="2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J114" i="2" l="1"/>
  <c r="FJ91" i="2"/>
  <c r="FJ40" i="2"/>
  <c r="FJ14" i="2"/>
  <c r="FJ21" i="2"/>
  <c r="FJ78" i="2"/>
  <c r="FJ112" i="2"/>
  <c r="FJ119" i="2"/>
  <c r="FJ136" i="2"/>
  <c r="FJ158" i="2"/>
  <c r="FJ15" i="2"/>
  <c r="FJ67" i="2"/>
  <c r="FJ199" i="2"/>
  <c r="FJ149" i="2"/>
  <c r="FJ46" i="2"/>
  <c r="FJ81" i="2"/>
  <c r="FJ49" i="2"/>
  <c r="FJ140" i="2"/>
  <c r="FJ157" i="2"/>
  <c r="FJ107" i="2"/>
  <c r="FJ178" i="2"/>
  <c r="FJ34" i="2"/>
  <c r="FJ132" i="2"/>
  <c r="FJ202" i="2"/>
  <c r="FJ196" i="2"/>
  <c r="FJ161" i="2"/>
  <c r="FJ95" i="2"/>
  <c r="FJ86" i="2"/>
  <c r="FJ126" i="2"/>
  <c r="FJ82" i="2"/>
  <c r="FJ123" i="2"/>
  <c r="FJ174" i="2"/>
  <c r="FJ61" i="2"/>
  <c r="FJ192" i="2"/>
  <c r="FJ45" i="2"/>
  <c r="FJ5" i="2"/>
  <c r="FJ116" i="2"/>
  <c r="FJ88" i="2"/>
  <c r="FJ19" i="2"/>
  <c r="FJ184" i="2"/>
  <c r="FJ62" i="2"/>
  <c r="FJ108" i="2"/>
  <c r="FJ73" i="2"/>
  <c r="FJ115" i="2"/>
  <c r="FJ166" i="2"/>
  <c r="FJ69" i="2"/>
  <c r="FJ191" i="2"/>
  <c r="FJ42" i="2"/>
  <c r="FJ30" i="2"/>
  <c r="FJ31" i="2"/>
  <c r="FJ118" i="2"/>
  <c r="FJ113" i="2"/>
  <c r="FJ43" i="2"/>
  <c r="FJ160" i="2"/>
  <c r="FJ133" i="2"/>
  <c r="FJ3" i="2"/>
  <c r="C13" i="4" s="1"/>
  <c r="E13" i="4" s="1"/>
  <c r="F13" i="4" s="1"/>
  <c r="G13" i="4" s="1"/>
  <c r="L13" i="4" s="1"/>
  <c r="FJ151" i="2"/>
  <c r="FJ98" i="2"/>
  <c r="FJ194" i="2"/>
  <c r="FJ47" i="2"/>
  <c r="FJ72" i="2"/>
  <c r="FJ24" i="2"/>
  <c r="FJ57" i="2"/>
  <c r="FJ105" i="2"/>
  <c r="FJ187" i="2"/>
  <c r="FJ66" i="2"/>
  <c r="FJ134" i="2"/>
  <c r="FJ131" i="2"/>
  <c r="FJ203" i="2"/>
  <c r="FJ102" i="2"/>
  <c r="FJ128" i="2"/>
  <c r="FJ27" i="2"/>
  <c r="FJ99" i="2"/>
  <c r="FJ89" i="2"/>
  <c r="FJ171" i="2"/>
  <c r="FJ146" i="2"/>
  <c r="FJ41" i="2"/>
  <c r="FJ101" i="2"/>
  <c r="FJ186" i="2"/>
  <c r="FJ29" i="2"/>
  <c r="FJ162" i="2"/>
  <c r="FJ183" i="2"/>
  <c r="FJ198" i="2"/>
  <c r="FJ164" i="2"/>
  <c r="FJ148" i="2"/>
  <c r="FJ143" i="2"/>
  <c r="FJ110" i="2"/>
  <c r="FJ154" i="2"/>
  <c r="FJ33" i="2"/>
  <c r="FJ76" i="2"/>
  <c r="FJ156" i="2"/>
  <c r="FJ175" i="2"/>
  <c r="FJ150" i="2"/>
  <c r="FJ139" i="2"/>
  <c r="FJ135" i="2"/>
  <c r="FJ127" i="2"/>
  <c r="FJ179" i="2"/>
  <c r="FJ177" i="2"/>
  <c r="FJ173" i="2"/>
  <c r="FJ9" i="2"/>
  <c r="FJ64" i="2"/>
  <c r="FJ53" i="2"/>
  <c r="FJ58" i="2"/>
  <c r="FJ142" i="2"/>
  <c r="FJ94" i="2"/>
  <c r="FJ38" i="2"/>
  <c r="FJ60" i="2"/>
  <c r="FJ97" i="2"/>
  <c r="FJ137" i="2"/>
  <c r="FJ6" i="2"/>
  <c r="FJ144" i="2"/>
  <c r="FJ87" i="2"/>
  <c r="FJ129" i="2"/>
  <c r="FJ17" i="2"/>
  <c r="FJ200" i="2"/>
  <c r="FJ169" i="2"/>
  <c r="FJ90" i="2"/>
  <c r="FJ121" i="2"/>
  <c r="FJ13" i="2"/>
  <c r="FJ167" i="2"/>
  <c r="FJ7" i="2"/>
  <c r="FJ190" i="2"/>
  <c r="FJ59" i="2"/>
  <c r="FJ10" i="2"/>
  <c r="FJ111" i="2"/>
  <c r="FJ4" i="2"/>
  <c r="FJ63" i="2"/>
  <c r="FJ83" i="2"/>
  <c r="FJ124" i="2"/>
  <c r="FJ8" i="2"/>
  <c r="FJ74" i="2"/>
  <c r="FJ168" i="2"/>
  <c r="FJ141" i="2"/>
  <c r="FJ71" i="2"/>
  <c r="FJ39" i="2"/>
  <c r="FJ56" i="2"/>
  <c r="FJ153" i="2"/>
  <c r="FJ79" i="2"/>
  <c r="FJ193" i="2"/>
  <c r="FJ201" i="2"/>
  <c r="FJ182" i="2"/>
  <c r="FJ16" i="2"/>
  <c r="FJ106" i="2"/>
  <c r="FJ185" i="2"/>
  <c r="FJ75" i="2"/>
  <c r="FJ120" i="2"/>
  <c r="FJ37" i="2"/>
  <c r="FJ35" i="2"/>
  <c r="FJ25" i="2"/>
  <c r="FJ48" i="2"/>
  <c r="FJ130" i="2"/>
  <c r="FJ68" i="2"/>
  <c r="FJ181" i="2"/>
  <c r="FJ32" i="2"/>
  <c r="FJ54" i="2"/>
  <c r="FJ28" i="2"/>
  <c r="FJ11" i="2"/>
  <c r="FJ20" i="2"/>
  <c r="FJ55" i="2"/>
  <c r="FJ36" i="2"/>
  <c r="FJ100" i="2"/>
  <c r="FJ163" i="2"/>
  <c r="FJ51" i="2"/>
  <c r="FJ170" i="2"/>
  <c r="FJ109" i="2"/>
  <c r="FJ189" i="2"/>
  <c r="FJ44" i="2"/>
  <c r="FJ65" i="2"/>
  <c r="FJ172" i="2"/>
  <c r="FJ138" i="2"/>
  <c r="FJ50" i="2"/>
  <c r="FJ96" i="2"/>
  <c r="FJ159" i="2"/>
  <c r="FJ93" i="2"/>
  <c r="FJ12" i="2"/>
  <c r="FJ103" i="2"/>
  <c r="FJ180" i="2"/>
  <c r="FJ125" i="2"/>
  <c r="FJ80" i="2"/>
  <c r="FJ22" i="2"/>
  <c r="FJ117" i="2"/>
  <c r="FJ188" i="2"/>
  <c r="FJ52" i="2"/>
  <c r="FJ77" i="2"/>
  <c r="FJ155" i="2"/>
  <c r="FJ145" i="2"/>
  <c r="FJ26" i="2"/>
  <c r="FJ92" i="2"/>
  <c r="FJ165" i="2"/>
  <c r="FJ176" i="2"/>
  <c r="FJ23" i="2"/>
  <c r="FJ104" i="2"/>
  <c r="FJ197" i="2"/>
  <c r="FJ152" i="2"/>
  <c r="FJ147" i="2"/>
  <c r="FJ85" i="2"/>
  <c r="FJ122" i="2"/>
  <c r="FJ195" i="2"/>
  <c r="FJ84" i="2"/>
  <c r="FJ18" i="2"/>
  <c r="FJ70" i="2"/>
  <c r="FE136" i="2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EO90" i="2" l="1"/>
  <c r="EO197" i="2"/>
  <c r="EO28" i="2"/>
  <c r="EO40" i="2"/>
  <c r="EO200" i="2"/>
  <c r="EO69" i="2"/>
  <c r="EO8" i="2"/>
  <c r="EO139" i="2"/>
  <c r="EO100" i="2"/>
  <c r="EO44" i="2"/>
  <c r="EO78" i="2"/>
  <c r="EO155" i="2"/>
  <c r="EO119" i="2"/>
  <c r="EO146" i="2"/>
  <c r="EO16" i="2"/>
  <c r="EO135" i="2"/>
  <c r="EO174" i="2"/>
  <c r="EO7" i="2"/>
  <c r="EO171" i="2"/>
  <c r="EO154" i="2"/>
  <c r="EO85" i="2"/>
  <c r="EO114" i="2"/>
  <c r="EO38" i="2"/>
  <c r="EO65" i="2"/>
  <c r="EO199" i="2"/>
  <c r="EO20" i="2"/>
  <c r="EO73" i="2"/>
  <c r="EO35" i="2"/>
  <c r="EO110" i="2"/>
  <c r="EO86" i="2"/>
  <c r="EO71" i="2"/>
  <c r="EO98" i="2"/>
  <c r="EO62" i="2"/>
  <c r="EO22" i="2"/>
  <c r="EO130" i="2"/>
  <c r="EO157" i="2"/>
  <c r="EO136" i="2"/>
  <c r="EO106" i="2"/>
  <c r="EO187" i="2"/>
  <c r="EO113" i="2"/>
  <c r="EO104" i="2"/>
  <c r="EO101" i="2"/>
  <c r="EO26" i="2"/>
  <c r="EO129" i="2"/>
  <c r="EO83" i="2"/>
  <c r="EO153" i="2"/>
  <c r="EO31" i="2"/>
  <c r="EO201" i="2"/>
  <c r="EO55" i="2"/>
  <c r="EO32" i="2"/>
  <c r="EO82" i="2"/>
  <c r="EO36" i="2"/>
  <c r="EO91" i="2"/>
  <c r="EO64" i="2"/>
  <c r="EO11" i="2"/>
  <c r="EO17" i="2"/>
  <c r="EO97" i="2"/>
  <c r="EO80" i="2"/>
  <c r="EO39" i="2"/>
  <c r="EO9" i="2"/>
  <c r="EO21" i="2"/>
  <c r="EO168" i="2"/>
  <c r="EO88" i="2"/>
  <c r="EO79" i="2"/>
  <c r="EO156" i="2"/>
  <c r="EO195" i="2"/>
  <c r="EO46" i="2"/>
  <c r="EO68" i="2"/>
  <c r="EO43" i="2"/>
  <c r="EO140" i="2"/>
  <c r="EO41" i="2"/>
  <c r="EO134" i="2"/>
  <c r="EO203" i="2"/>
  <c r="EO192" i="2"/>
  <c r="EO15" i="2"/>
  <c r="EO47" i="2"/>
  <c r="EO42" i="2"/>
  <c r="EO177" i="2"/>
  <c r="EO184" i="2"/>
  <c r="EO122" i="2"/>
  <c r="EO183" i="2"/>
  <c r="EO137" i="2"/>
  <c r="EO76" i="2"/>
  <c r="EO116" i="2"/>
  <c r="EO24" i="2"/>
  <c r="EO75" i="2"/>
  <c r="EO84" i="2"/>
  <c r="EO202" i="2"/>
  <c r="EO105" i="2"/>
  <c r="EO149" i="2"/>
  <c r="EO196" i="2"/>
  <c r="EO150" i="2"/>
  <c r="EO52" i="2"/>
  <c r="EO70" i="2"/>
  <c r="EO12" i="2"/>
  <c r="EO172" i="2"/>
  <c r="EO53" i="2"/>
  <c r="EO173" i="2"/>
  <c r="EO25" i="2"/>
  <c r="EO49" i="2"/>
  <c r="EO162" i="2"/>
  <c r="EO148" i="2"/>
  <c r="EO143" i="2"/>
  <c r="EO176" i="2"/>
  <c r="EO138" i="2"/>
  <c r="EO56" i="2"/>
  <c r="EO99" i="2"/>
  <c r="EO61" i="2"/>
  <c r="EO3" i="2"/>
  <c r="C12" i="4" s="1"/>
  <c r="E12" i="4" s="1"/>
  <c r="F12" i="4" s="1"/>
  <c r="G12" i="4" s="1"/>
  <c r="L12" i="4" s="1"/>
  <c r="EO181" i="2"/>
  <c r="EO166" i="2"/>
  <c r="EO95" i="2"/>
  <c r="EO67" i="2"/>
  <c r="EO165" i="2"/>
  <c r="EO111" i="2"/>
  <c r="EO23" i="2"/>
  <c r="EO185" i="2"/>
  <c r="EO4" i="2"/>
  <c r="EO127" i="2"/>
  <c r="EO160" i="2"/>
  <c r="EO59" i="2"/>
  <c r="EO191" i="2"/>
  <c r="EO147" i="2"/>
  <c r="EO179" i="2"/>
  <c r="EO118" i="2"/>
  <c r="EO63" i="2"/>
  <c r="EO103" i="2"/>
  <c r="EO123" i="2"/>
  <c r="EO152" i="2"/>
  <c r="EO186" i="2"/>
  <c r="EO109" i="2"/>
  <c r="EO164" i="2"/>
  <c r="EO126" i="2"/>
  <c r="EO54" i="2"/>
  <c r="EO77" i="2"/>
  <c r="EO48" i="2"/>
  <c r="EO125" i="2"/>
  <c r="EO124" i="2"/>
  <c r="EO96" i="2"/>
  <c r="EO108" i="2"/>
  <c r="EO194" i="2"/>
  <c r="EO37" i="2"/>
  <c r="EO170" i="2"/>
  <c r="EO29" i="2"/>
  <c r="EO94" i="2"/>
  <c r="EO6" i="2"/>
  <c r="EO145" i="2"/>
  <c r="EO30" i="2"/>
  <c r="EO190" i="2"/>
  <c r="EO167" i="2"/>
  <c r="EO51" i="2"/>
  <c r="EO121" i="2"/>
  <c r="EO115" i="2"/>
  <c r="EO72" i="2"/>
  <c r="EO189" i="2"/>
  <c r="EO198" i="2"/>
  <c r="EO128" i="2"/>
  <c r="EO161" i="2"/>
  <c r="EO141" i="2"/>
  <c r="EO58" i="2"/>
  <c r="EO175" i="2"/>
  <c r="EO142" i="2"/>
  <c r="EO18" i="2"/>
  <c r="EO112" i="2"/>
  <c r="EO169" i="2"/>
  <c r="EO57" i="2"/>
  <c r="EO117" i="2"/>
  <c r="EO131" i="2"/>
  <c r="EO74" i="2"/>
  <c r="EO163" i="2"/>
  <c r="EO81" i="2"/>
  <c r="EO182" i="2"/>
  <c r="EO151" i="2"/>
  <c r="EO133" i="2"/>
  <c r="EO180" i="2"/>
  <c r="EO87" i="2"/>
  <c r="EO45" i="2"/>
  <c r="EO60" i="2"/>
  <c r="EO89" i="2"/>
  <c r="EO14" i="2"/>
  <c r="EO93" i="2"/>
  <c r="EO132" i="2"/>
  <c r="EO193" i="2"/>
  <c r="EO102" i="2"/>
  <c r="EO66" i="2"/>
  <c r="EO159" i="2"/>
  <c r="EO19" i="2"/>
  <c r="EO188" i="2"/>
  <c r="EO120" i="2"/>
  <c r="EO27" i="2"/>
  <c r="EO107" i="2"/>
  <c r="EO50" i="2"/>
  <c r="EO33" i="2"/>
  <c r="EO34" i="2"/>
  <c r="EO178" i="2"/>
  <c r="EO10" i="2"/>
  <c r="EO144" i="2"/>
  <c r="EO5" i="2"/>
  <c r="EO13" i="2"/>
  <c r="EO92" i="2"/>
  <c r="EO158" i="2"/>
  <c r="DT186" i="2"/>
  <c r="DT27" i="2"/>
  <c r="DT169" i="2"/>
  <c r="DT8" i="2"/>
  <c r="DT116" i="2"/>
  <c r="DT48" i="2"/>
  <c r="DT121" i="2"/>
  <c r="DT44" i="2"/>
  <c r="DT13" i="2"/>
  <c r="DT189" i="2"/>
  <c r="DT161" i="2"/>
  <c r="DT182" i="2"/>
  <c r="DT55" i="2"/>
  <c r="DT19" i="2"/>
  <c r="DT104" i="2"/>
  <c r="DT66" i="2"/>
  <c r="DT191" i="2"/>
  <c r="DT162" i="2"/>
  <c r="DT38" i="2"/>
  <c r="DT192" i="2"/>
  <c r="DT7" i="2"/>
  <c r="DT143" i="2"/>
  <c r="DT174" i="2"/>
  <c r="DT181" i="2"/>
  <c r="DT91" i="2"/>
  <c r="DT152" i="2"/>
  <c r="DT150" i="2"/>
  <c r="DT52" i="2"/>
  <c r="DT9" i="2"/>
  <c r="DT57" i="2"/>
  <c r="DT123" i="2"/>
  <c r="DT110" i="2"/>
  <c r="DT171" i="2"/>
  <c r="DT63" i="2"/>
  <c r="DT128" i="2"/>
  <c r="DT89" i="2"/>
  <c r="DT151" i="2"/>
  <c r="DT195" i="2"/>
  <c r="DT70" i="2"/>
  <c r="DT37" i="2"/>
  <c r="DT30" i="2"/>
  <c r="DT103" i="2"/>
  <c r="DT130" i="2"/>
  <c r="DT49" i="2"/>
  <c r="DT153" i="2"/>
  <c r="DT105" i="2"/>
  <c r="DT81" i="2"/>
  <c r="DT62" i="2"/>
  <c r="DT4" i="2"/>
  <c r="DT26" i="2"/>
  <c r="DT78" i="2"/>
  <c r="DT117" i="2"/>
  <c r="DT31" i="2"/>
  <c r="DT157" i="2"/>
  <c r="DT79" i="2"/>
  <c r="DT149" i="2"/>
  <c r="DT24" i="2"/>
  <c r="DT58" i="2"/>
  <c r="DT76" i="2"/>
  <c r="DT176" i="2"/>
  <c r="DT196" i="2"/>
  <c r="DT10" i="2"/>
  <c r="DT188" i="2"/>
  <c r="DT47" i="2"/>
  <c r="DT23" i="2"/>
  <c r="DT155" i="2"/>
  <c r="DT147" i="2"/>
  <c r="DT159" i="2"/>
  <c r="DT114" i="2"/>
  <c r="DT74" i="2"/>
  <c r="DT65" i="2"/>
  <c r="DT60" i="2"/>
  <c r="DT101" i="2"/>
  <c r="DT115" i="2"/>
  <c r="DT139" i="2"/>
  <c r="DT198" i="2"/>
  <c r="DT178" i="2"/>
  <c r="DT33" i="2"/>
  <c r="DT85" i="2"/>
  <c r="DT138" i="2"/>
  <c r="DT82" i="2"/>
  <c r="DT77" i="2"/>
  <c r="DT134" i="2"/>
  <c r="DT87" i="2"/>
  <c r="DT28" i="2"/>
  <c r="DT137" i="2"/>
  <c r="DT32" i="2"/>
  <c r="DT43" i="2"/>
  <c r="DT36" i="2"/>
  <c r="DT67" i="2"/>
  <c r="DT163" i="2"/>
  <c r="DT183" i="2"/>
  <c r="DT122" i="2"/>
  <c r="DT165" i="2"/>
  <c r="DT35" i="2"/>
  <c r="DT131" i="2"/>
  <c r="DT29" i="2"/>
  <c r="DT172" i="2"/>
  <c r="DT3" i="2"/>
  <c r="C11" i="4" s="1"/>
  <c r="E11" i="4" s="1"/>
  <c r="F11" i="4" s="1"/>
  <c r="G11" i="4" s="1"/>
  <c r="L11" i="4" s="1"/>
  <c r="DT125" i="2"/>
  <c r="DT56" i="2"/>
  <c r="DT170" i="2"/>
  <c r="DT160" i="2"/>
  <c r="DT15" i="2"/>
  <c r="DT202" i="2"/>
  <c r="DT99" i="2"/>
  <c r="DT141" i="2"/>
  <c r="DT108" i="2"/>
  <c r="DT5" i="2"/>
  <c r="DT184" i="2"/>
  <c r="DT69" i="2"/>
  <c r="DT132" i="2"/>
  <c r="DT156" i="2"/>
  <c r="DT75" i="2"/>
  <c r="DT100" i="2"/>
  <c r="DT136" i="2"/>
  <c r="DT148" i="2"/>
  <c r="DT190" i="2"/>
  <c r="DT6" i="2"/>
  <c r="DT135" i="2"/>
  <c r="DT187" i="2"/>
  <c r="DT39" i="2"/>
  <c r="DT72" i="2"/>
  <c r="DT64" i="2"/>
  <c r="DT154" i="2"/>
  <c r="DT98" i="2"/>
  <c r="DT40" i="2"/>
  <c r="DT168" i="2"/>
  <c r="DT166" i="2"/>
  <c r="DT124" i="2"/>
  <c r="DT92" i="2"/>
  <c r="DT102" i="2"/>
  <c r="DT22" i="2"/>
  <c r="DT88" i="2"/>
  <c r="DT45" i="2"/>
  <c r="DT164" i="2"/>
  <c r="DT16" i="2"/>
  <c r="DT180" i="2"/>
  <c r="DT21" i="2"/>
  <c r="DT14" i="2"/>
  <c r="DT146" i="2"/>
  <c r="DT42" i="2"/>
  <c r="DT86" i="2"/>
  <c r="DT133" i="2"/>
  <c r="DT201" i="2"/>
  <c r="DT84" i="2"/>
  <c r="DT61" i="2"/>
  <c r="DT193" i="2"/>
  <c r="DT197" i="2"/>
  <c r="DT18" i="2"/>
  <c r="DT173" i="2"/>
  <c r="DT167" i="2"/>
  <c r="DT93" i="2"/>
  <c r="DT51" i="2"/>
  <c r="DT54" i="2"/>
  <c r="DT96" i="2"/>
  <c r="DT120" i="2"/>
  <c r="DT113" i="2"/>
  <c r="DT83" i="2"/>
  <c r="DT140" i="2"/>
  <c r="DT200" i="2"/>
  <c r="DT46" i="2"/>
  <c r="DT129" i="2"/>
  <c r="DT203" i="2"/>
  <c r="DT53" i="2"/>
  <c r="DT68" i="2"/>
  <c r="DT97" i="2"/>
  <c r="DT144" i="2"/>
  <c r="DT41" i="2"/>
  <c r="DT158" i="2"/>
  <c r="DT73" i="2"/>
  <c r="DT175" i="2"/>
  <c r="DT12" i="2"/>
  <c r="DT194" i="2"/>
  <c r="DT199" i="2"/>
  <c r="DT59" i="2"/>
  <c r="DT106" i="2"/>
  <c r="DT109" i="2"/>
  <c r="DT112" i="2"/>
  <c r="DT177" i="2"/>
  <c r="DT118" i="2"/>
  <c r="DT179" i="2"/>
  <c r="DT107" i="2"/>
  <c r="DT127" i="2"/>
  <c r="DT20" i="2"/>
  <c r="DT95" i="2"/>
  <c r="DT25" i="2"/>
  <c r="DT94" i="2"/>
  <c r="DT142" i="2"/>
  <c r="DT126" i="2"/>
  <c r="DT71" i="2"/>
  <c r="DT119" i="2"/>
  <c r="DT11" i="2"/>
  <c r="DT34" i="2"/>
  <c r="DT80" i="2"/>
  <c r="DT145" i="2"/>
  <c r="DT111" i="2"/>
  <c r="DT185" i="2"/>
  <c r="DT17" i="2"/>
  <c r="DT50" i="2"/>
  <c r="DT90" i="2"/>
  <c r="FE164" i="2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BS161" i="2" l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  <c r="CR21" i="2" l="1"/>
  <c r="CQ23" i="2"/>
  <c r="CQ205" i="2"/>
  <c r="CT13" i="2" s="1"/>
  <c r="CU13" i="2" s="1"/>
  <c r="I140" i="1"/>
  <c r="CR23" i="2" l="1"/>
  <c r="CR18" i="2"/>
  <c r="CT4" i="2"/>
  <c r="CU4" i="2" s="1"/>
  <c r="CV13" i="2"/>
  <c r="CW13" i="2" s="1"/>
  <c r="CX13" i="2" s="1"/>
  <c r="CT7" i="2"/>
  <c r="CU7" i="2" s="1"/>
  <c r="CT5" i="2"/>
  <c r="CU5" i="2" s="1"/>
  <c r="CT15" i="2"/>
  <c r="CU15" i="2" s="1"/>
  <c r="CT9" i="2"/>
  <c r="CU9" i="2" s="1"/>
  <c r="CT17" i="2"/>
  <c r="CU17" i="2" s="1"/>
  <c r="CT11" i="2"/>
  <c r="CU11" i="2" s="1"/>
  <c r="CT8" i="2"/>
  <c r="CU8" i="2" s="1"/>
  <c r="CT10" i="2"/>
  <c r="CU10" i="2" s="1"/>
  <c r="CT18" i="2"/>
  <c r="CU18" i="2" s="1"/>
  <c r="CT14" i="2"/>
  <c r="CU14" i="2" s="1"/>
  <c r="CT6" i="2"/>
  <c r="CU6" i="2" s="1"/>
  <c r="CT12" i="2"/>
  <c r="CU12" i="2" s="1"/>
  <c r="CT16" i="2"/>
  <c r="CU16" i="2" s="1"/>
  <c r="CV4" i="2" l="1"/>
  <c r="CW4" i="2" s="1"/>
  <c r="CX4" i="2" s="1"/>
  <c r="CV6" i="2"/>
  <c r="CW6" i="2" s="1"/>
  <c r="CX6" i="2" s="1"/>
  <c r="CV17" i="2"/>
  <c r="CW17" i="2" s="1"/>
  <c r="CX17" i="2" s="1"/>
  <c r="CV9" i="2"/>
  <c r="CW9" i="2" s="1"/>
  <c r="CX9" i="2" s="1"/>
  <c r="CV14" i="2"/>
  <c r="CW14" i="2" s="1"/>
  <c r="CX14" i="2" s="1"/>
  <c r="CV15" i="2"/>
  <c r="CW15" i="2" s="1"/>
  <c r="CX15" i="2" s="1"/>
  <c r="CV18" i="2"/>
  <c r="CW18" i="2" s="1"/>
  <c r="CX18" i="2" s="1"/>
  <c r="CV5" i="2"/>
  <c r="CW5" i="2" s="1"/>
  <c r="CX5" i="2" s="1"/>
  <c r="CV10" i="2"/>
  <c r="CW10" i="2" s="1"/>
  <c r="CX10" i="2" s="1"/>
  <c r="CV7" i="2"/>
  <c r="CW7" i="2" s="1"/>
  <c r="CX7" i="2" s="1"/>
  <c r="CV16" i="2"/>
  <c r="CW16" i="2" s="1"/>
  <c r="CX16" i="2" s="1"/>
  <c r="CV8" i="2"/>
  <c r="CW8" i="2" s="1"/>
  <c r="CX8" i="2" s="1"/>
  <c r="CV12" i="2"/>
  <c r="CW12" i="2" s="1"/>
  <c r="CX12" i="2" s="1"/>
  <c r="CV11" i="2"/>
  <c r="CW11" i="2" s="1"/>
  <c r="CX11" i="2" s="1"/>
  <c r="CQ43" i="2"/>
  <c r="I146" i="1"/>
  <c r="CQ33" i="2"/>
  <c r="CQ73" i="2"/>
  <c r="CQ63" i="2"/>
  <c r="I143" i="1"/>
  <c r="CR47" i="2" s="1"/>
  <c r="CQ53" i="2"/>
  <c r="I144" i="1"/>
  <c r="CR55" i="2" s="1"/>
  <c r="I142" i="1"/>
  <c r="I145" i="1"/>
  <c r="CR73" i="2" s="1"/>
  <c r="I141" i="1"/>
  <c r="CR32" i="2" s="1"/>
  <c r="CR27" i="2" l="1"/>
  <c r="CR25" i="2"/>
  <c r="CR39" i="2"/>
  <c r="CR36" i="2"/>
  <c r="CR43" i="2"/>
  <c r="CR30" i="2"/>
  <c r="CR46" i="2"/>
  <c r="CR44" i="2"/>
  <c r="CR63" i="2"/>
  <c r="CR53" i="2"/>
  <c r="CR83" i="2"/>
  <c r="CS65" i="2" s="1" a="1"/>
  <c r="CS65" i="2" s="1"/>
  <c r="CR61" i="2"/>
  <c r="CR33" i="2"/>
  <c r="CS67" i="2" a="1"/>
  <c r="CS67" i="2" s="1"/>
  <c r="CS71" i="2" a="1"/>
  <c r="CS71" i="2" s="1"/>
  <c r="CS69" i="2" a="1"/>
  <c r="CS69" i="2" s="1"/>
  <c r="CS68" i="2" a="1"/>
  <c r="CS68" i="2" s="1"/>
  <c r="CS73" i="2" a="1"/>
  <c r="CS73" i="2" s="1"/>
  <c r="CS70" i="2" a="1"/>
  <c r="CS70" i="2" s="1"/>
  <c r="CS66" i="2" a="1"/>
  <c r="CS66" i="2" s="1"/>
  <c r="CS58" i="2" a="1"/>
  <c r="CS58" i="2" s="1"/>
  <c r="CS62" i="2" a="1"/>
  <c r="CS62" i="2" s="1"/>
  <c r="CS72" i="2" a="1"/>
  <c r="CS72" i="2" s="1"/>
  <c r="CS60" i="2" a="1"/>
  <c r="CS60" i="2" s="1"/>
  <c r="CS57" i="2" a="1"/>
  <c r="CS57" i="2" s="1"/>
  <c r="CS54" i="2" a="1"/>
  <c r="CS54" i="2" s="1"/>
  <c r="CS63" i="2" a="1"/>
  <c r="CS63" i="2" s="1"/>
  <c r="CS51" i="2" a="1"/>
  <c r="CS51" i="2" s="1"/>
  <c r="CS56" i="2" a="1"/>
  <c r="CS56" i="2" s="1"/>
  <c r="CS76" i="2" a="1"/>
  <c r="CS76" i="2" s="1"/>
  <c r="CS78" i="2" a="1"/>
  <c r="CS78" i="2" s="1"/>
  <c r="CS80" i="2" a="1"/>
  <c r="CS80" i="2" s="1"/>
  <c r="CS74" i="2" a="1"/>
  <c r="CS74" i="2" s="1"/>
  <c r="CS83" i="2" a="1"/>
  <c r="CS83" i="2" s="1"/>
  <c r="CS82" i="2" a="1"/>
  <c r="CS82" i="2" s="1"/>
  <c r="CS79" i="2" a="1"/>
  <c r="CS79" i="2" s="1"/>
  <c r="CS81" i="2" a="1"/>
  <c r="CS81" i="2" s="1"/>
  <c r="CS75" i="2" a="1"/>
  <c r="CS75" i="2" s="1"/>
  <c r="CS77" i="2" a="1"/>
  <c r="CS77" i="2" s="1"/>
  <c r="CS61" i="2" a="1"/>
  <c r="CS61" i="2" s="1"/>
  <c r="CS55" i="2" a="1"/>
  <c r="CS55" i="2" s="1"/>
  <c r="CS59" i="2" a="1"/>
  <c r="CS59" i="2" s="1"/>
  <c r="CS53" i="2" a="1"/>
  <c r="CS53" i="2" s="1"/>
  <c r="CS45" i="2" a="1"/>
  <c r="CS45" i="2" s="1"/>
  <c r="CS52" i="2" a="1"/>
  <c r="CS52" i="2" s="1"/>
  <c r="CS50" i="2" a="1"/>
  <c r="CS50" i="2" s="1"/>
  <c r="CS49" i="2" a="1"/>
  <c r="CS49" i="2" s="1"/>
  <c r="CS46" i="2" a="1"/>
  <c r="CS46" i="2" s="1"/>
  <c r="CS48" i="2" a="1"/>
  <c r="CS48" i="2" s="1"/>
  <c r="CS47" i="2" a="1"/>
  <c r="CS47" i="2" s="1"/>
  <c r="CS40" i="2" l="1" a="1"/>
  <c r="CS40" i="2" s="1"/>
  <c r="CS64" i="2" a="1"/>
  <c r="CS64" i="2" s="1"/>
  <c r="CS9" i="2" a="1"/>
  <c r="CS9" i="2" s="1"/>
  <c r="CS16" i="2" a="1"/>
  <c r="CS16" i="2" s="1"/>
  <c r="CS18" i="2" a="1"/>
  <c r="CS18" i="2" s="1"/>
  <c r="CS34" i="2" a="1"/>
  <c r="CS34" i="2" s="1"/>
  <c r="CS8" i="2" a="1"/>
  <c r="CS8" i="2" s="1"/>
  <c r="CS21" i="2" a="1"/>
  <c r="CS21" i="2" s="1"/>
  <c r="CS12" i="2" a="1"/>
  <c r="CS12" i="2" s="1"/>
  <c r="CS30" i="2" a="1"/>
  <c r="CS30" i="2" s="1"/>
  <c r="CS38" i="2" a="1"/>
  <c r="CS38" i="2" s="1"/>
  <c r="CS6" i="2" a="1"/>
  <c r="CS6" i="2" s="1"/>
  <c r="CS27" i="2" a="1"/>
  <c r="CS27" i="2" s="1"/>
  <c r="CS19" i="2" a="1"/>
  <c r="CS19" i="2" s="1"/>
  <c r="CT19" i="2" s="1"/>
  <c r="CS36" i="2" a="1"/>
  <c r="CS36" i="2" s="1"/>
  <c r="CS32" i="2" a="1"/>
  <c r="CS32" i="2" s="1"/>
  <c r="CS17" i="2" a="1"/>
  <c r="CS17" i="2" s="1"/>
  <c r="CS15" i="2" a="1"/>
  <c r="CS15" i="2" s="1"/>
  <c r="CS5" i="2" a="1"/>
  <c r="CS5" i="2" s="1"/>
  <c r="CS42" i="2" a="1"/>
  <c r="CS42" i="2" s="1"/>
  <c r="CS28" i="2" a="1"/>
  <c r="CS28" i="2" s="1"/>
  <c r="CS29" i="2" a="1"/>
  <c r="CS29" i="2" s="1"/>
  <c r="CS25" i="2" a="1"/>
  <c r="CS25" i="2" s="1"/>
  <c r="CS4" i="2" a="1"/>
  <c r="CS4" i="2" s="1"/>
  <c r="CS24" i="2" a="1"/>
  <c r="CS24" i="2" s="1"/>
  <c r="CS39" i="2" a="1"/>
  <c r="CS39" i="2" s="1"/>
  <c r="CS37" i="2" a="1"/>
  <c r="CS37" i="2" s="1"/>
  <c r="CS11" i="2" a="1"/>
  <c r="CS11" i="2" s="1"/>
  <c r="CS10" i="2" a="1"/>
  <c r="CS10" i="2" s="1"/>
  <c r="CS7" i="2" a="1"/>
  <c r="CS7" i="2" s="1"/>
  <c r="CS23" i="2" a="1"/>
  <c r="CS23" i="2" s="1"/>
  <c r="CS20" i="2" a="1"/>
  <c r="CS20" i="2" s="1"/>
  <c r="CS35" i="2" a="1"/>
  <c r="CS35" i="2" s="1"/>
  <c r="CS41" i="2" a="1"/>
  <c r="CS41" i="2" s="1"/>
  <c r="CS44" i="2" a="1"/>
  <c r="CS44" i="2" s="1"/>
  <c r="CS14" i="2" a="1"/>
  <c r="CS14" i="2" s="1"/>
  <c r="CS26" i="2" a="1"/>
  <c r="CS26" i="2" s="1"/>
  <c r="CS31" i="2" a="1"/>
  <c r="CS31" i="2" s="1"/>
  <c r="CS43" i="2" a="1"/>
  <c r="CS43" i="2" s="1"/>
  <c r="CS22" i="2" a="1"/>
  <c r="CS22" i="2" s="1"/>
  <c r="CS33" i="2" a="1"/>
  <c r="CS33" i="2" s="1"/>
  <c r="CS13" i="2" a="1"/>
  <c r="CS13" i="2" s="1"/>
  <c r="CU19" i="2" l="1"/>
  <c r="CV19" i="2" s="1"/>
  <c r="CW19" i="2" s="1"/>
  <c r="CX19" i="2" s="1"/>
  <c r="CT20" i="2"/>
  <c r="CU20" i="2" l="1"/>
  <c r="CV20" i="2" s="1"/>
  <c r="CW20" i="2" s="1"/>
  <c r="CX20" i="2" s="1"/>
  <c r="CT21" i="2"/>
  <c r="CU21" i="2" l="1"/>
  <c r="CV21" i="2" s="1"/>
  <c r="CW21" i="2" s="1"/>
  <c r="CX21" i="2" s="1"/>
  <c r="CT22" i="2"/>
  <c r="CU22" i="2" l="1"/>
  <c r="CV22" i="2" s="1"/>
  <c r="CW22" i="2" s="1"/>
  <c r="CX22" i="2" s="1"/>
  <c r="CT23" i="2"/>
  <c r="CU23" i="2" l="1"/>
  <c r="CV23" i="2" s="1"/>
  <c r="CW23" i="2" s="1"/>
  <c r="CX23" i="2" s="1"/>
  <c r="CT24" i="2"/>
  <c r="CU24" i="2" l="1"/>
  <c r="CV24" i="2" s="1"/>
  <c r="CW24" i="2" s="1"/>
  <c r="CX24" i="2" s="1"/>
  <c r="CT25" i="2"/>
  <c r="CU25" i="2" l="1"/>
  <c r="CV25" i="2" s="1"/>
  <c r="CW25" i="2" s="1"/>
  <c r="CX25" i="2" s="1"/>
  <c r="CT26" i="2"/>
  <c r="CT27" i="2" l="1"/>
  <c r="CU26" i="2"/>
  <c r="CV26" i="2" s="1"/>
  <c r="CW26" i="2" s="1"/>
  <c r="CX26" i="2" s="1"/>
  <c r="CT28" i="2" l="1"/>
  <c r="CU27" i="2"/>
  <c r="CV27" i="2" s="1"/>
  <c r="CW27" i="2" s="1"/>
  <c r="CX27" i="2" s="1"/>
  <c r="CU28" i="2" l="1"/>
  <c r="CV28" i="2" s="1"/>
  <c r="CW28" i="2" s="1"/>
  <c r="CX28" i="2" s="1"/>
  <c r="CT29" i="2"/>
  <c r="CT30" i="2" l="1"/>
  <c r="CU29" i="2"/>
  <c r="CV29" i="2" s="1"/>
  <c r="CW29" i="2" s="1"/>
  <c r="CX29" i="2" s="1"/>
  <c r="CU30" i="2" l="1"/>
  <c r="CV30" i="2" s="1"/>
  <c r="CW30" i="2" s="1"/>
  <c r="CX30" i="2" s="1"/>
  <c r="CT31" i="2"/>
  <c r="CU31" i="2" l="1"/>
  <c r="CV31" i="2" s="1"/>
  <c r="CW31" i="2" s="1"/>
  <c r="CX31" i="2" s="1"/>
  <c r="CT32" i="2"/>
  <c r="CT33" i="2" l="1"/>
  <c r="CU32" i="2"/>
  <c r="CV32" i="2" s="1"/>
  <c r="CW32" i="2" s="1"/>
  <c r="CX32" i="2" s="1"/>
  <c r="CU33" i="2" l="1"/>
  <c r="CV33" i="2" s="1"/>
  <c r="CW33" i="2" s="1"/>
  <c r="CX33" i="2" s="1"/>
  <c r="CZ3" i="2" s="1"/>
  <c r="CT34" i="2"/>
  <c r="CT35" i="2" l="1"/>
  <c r="CU34" i="2"/>
  <c r="CV34" i="2" s="1"/>
  <c r="CW34" i="2" s="1"/>
  <c r="CX34" i="2" s="1"/>
  <c r="D10" i="4"/>
  <c r="CZ50" i="2"/>
  <c r="CZ183" i="2"/>
  <c r="CZ169" i="2"/>
  <c r="CZ63" i="2"/>
  <c r="CZ57" i="2"/>
  <c r="CZ71" i="2"/>
  <c r="CZ184" i="2"/>
  <c r="CZ202" i="2"/>
  <c r="CZ145" i="2"/>
  <c r="CZ144" i="2"/>
  <c r="CZ42" i="2"/>
  <c r="CZ30" i="2"/>
  <c r="CZ41" i="2"/>
  <c r="CZ170" i="2"/>
  <c r="CZ175" i="2"/>
  <c r="CZ200" i="2"/>
  <c r="CZ177" i="2"/>
  <c r="CZ185" i="2"/>
  <c r="CZ146" i="2"/>
  <c r="CZ15" i="2"/>
  <c r="CZ61" i="2"/>
  <c r="CZ91" i="2"/>
  <c r="CZ162" i="2"/>
  <c r="CZ67" i="2"/>
  <c r="CZ81" i="2"/>
  <c r="CZ188" i="2"/>
  <c r="CZ187" i="2"/>
  <c r="CZ89" i="2"/>
  <c r="CZ133" i="2"/>
  <c r="CZ114" i="2"/>
  <c r="CZ141" i="2"/>
  <c r="CZ22" i="2"/>
  <c r="CZ62" i="2"/>
  <c r="CZ142" i="2"/>
  <c r="CZ138" i="2"/>
  <c r="CZ83" i="2"/>
  <c r="CZ46" i="2"/>
  <c r="CZ103" i="2"/>
  <c r="CZ100" i="2"/>
  <c r="CZ199" i="2"/>
  <c r="CZ8" i="2"/>
  <c r="CZ54" i="2"/>
  <c r="CZ191" i="2"/>
  <c r="CZ13" i="2"/>
  <c r="CZ25" i="2"/>
  <c r="CZ181" i="2"/>
  <c r="CZ39" i="2"/>
  <c r="CZ18" i="2"/>
  <c r="CZ19" i="2"/>
  <c r="CZ12" i="2"/>
  <c r="CZ27" i="2"/>
  <c r="CZ73" i="2"/>
  <c r="CZ128" i="2"/>
  <c r="CZ108" i="2"/>
  <c r="CZ163" i="2"/>
  <c r="CZ112" i="2"/>
  <c r="CZ31" i="2"/>
  <c r="CZ87" i="2"/>
  <c r="CZ95" i="2"/>
  <c r="CZ36" i="2"/>
  <c r="CZ68" i="2"/>
  <c r="CZ75" i="2"/>
  <c r="CZ174" i="2"/>
  <c r="CZ97" i="2"/>
  <c r="CZ149" i="2"/>
  <c r="CZ76" i="2"/>
  <c r="CZ109" i="2"/>
  <c r="CZ155" i="2"/>
  <c r="CZ99" i="2"/>
  <c r="CZ193" i="2"/>
  <c r="CZ77" i="2"/>
  <c r="CZ85" i="2"/>
  <c r="CZ92" i="2"/>
  <c r="CZ194" i="2"/>
  <c r="CZ48" i="2"/>
  <c r="CZ150" i="2"/>
  <c r="CZ119" i="2"/>
  <c r="CZ59" i="2"/>
  <c r="CZ152" i="2"/>
  <c r="CZ136" i="2"/>
  <c r="CZ125" i="2"/>
  <c r="CZ118" i="2"/>
  <c r="CZ37" i="2"/>
  <c r="CZ29" i="2"/>
  <c r="CZ86" i="2"/>
  <c r="CZ203" i="2"/>
  <c r="CZ113" i="2"/>
  <c r="CZ115" i="2"/>
  <c r="CZ132" i="2"/>
  <c r="CZ134" i="2"/>
  <c r="CZ164" i="2"/>
  <c r="CZ78" i="2"/>
  <c r="CZ98" i="2"/>
  <c r="CZ137" i="2"/>
  <c r="CZ110" i="2"/>
  <c r="CZ58" i="2"/>
  <c r="CZ120" i="2"/>
  <c r="CZ147" i="2"/>
  <c r="CZ173" i="2"/>
  <c r="CZ129" i="2"/>
  <c r="CZ72" i="2"/>
  <c r="CZ139" i="2"/>
  <c r="CZ6" i="2"/>
  <c r="CZ167" i="2"/>
  <c r="CZ70" i="2"/>
  <c r="CZ126" i="2"/>
  <c r="CZ90" i="2"/>
  <c r="CZ17" i="2"/>
  <c r="CZ56" i="2"/>
  <c r="CZ24" i="2"/>
  <c r="CZ190" i="2"/>
  <c r="CZ84" i="2"/>
  <c r="CZ49" i="2"/>
  <c r="CZ69" i="2"/>
  <c r="CZ47" i="2"/>
  <c r="CZ140" i="2"/>
  <c r="CZ21" i="2"/>
  <c r="CZ198" i="2"/>
  <c r="CZ179" i="2"/>
  <c r="CZ157" i="2"/>
  <c r="CZ195" i="2"/>
  <c r="CZ121" i="2"/>
  <c r="CZ55" i="2"/>
  <c r="CZ14" i="2"/>
  <c r="CZ79" i="2"/>
  <c r="CZ44" i="2"/>
  <c r="CZ45" i="2"/>
  <c r="CZ178" i="2"/>
  <c r="CZ51" i="2"/>
  <c r="CZ148" i="2"/>
  <c r="CZ52" i="2"/>
  <c r="CZ172" i="2"/>
  <c r="CZ32" i="2"/>
  <c r="CZ104" i="2"/>
  <c r="CZ53" i="2"/>
  <c r="CZ154" i="2"/>
  <c r="CZ158" i="2"/>
  <c r="CZ122" i="2"/>
  <c r="CZ23" i="2"/>
  <c r="CZ117" i="2"/>
  <c r="CZ124" i="2"/>
  <c r="CZ96" i="2"/>
  <c r="CZ11" i="2"/>
  <c r="CZ159" i="2"/>
  <c r="CZ107" i="2"/>
  <c r="CZ153" i="2"/>
  <c r="CZ16" i="2"/>
  <c r="CZ105" i="2"/>
  <c r="CZ106" i="2"/>
  <c r="CZ38" i="2"/>
  <c r="CZ123" i="2"/>
  <c r="CZ192" i="2"/>
  <c r="CZ180" i="2"/>
  <c r="CZ93" i="2"/>
  <c r="CZ9" i="2"/>
  <c r="CZ189" i="2"/>
  <c r="CZ40" i="2"/>
  <c r="CZ165" i="2"/>
  <c r="CZ33" i="2"/>
  <c r="CZ130" i="2"/>
  <c r="CZ143" i="2"/>
  <c r="CZ151" i="2"/>
  <c r="CZ34" i="2"/>
  <c r="CZ161" i="2"/>
  <c r="CZ116" i="2"/>
  <c r="CZ28" i="2"/>
  <c r="CZ135" i="2"/>
  <c r="CZ171" i="2"/>
  <c r="CZ176" i="2"/>
  <c r="CZ64" i="2"/>
  <c r="CZ101" i="2"/>
  <c r="CZ111" i="2"/>
  <c r="CZ66" i="2"/>
  <c r="CZ156" i="2"/>
  <c r="CZ60" i="2"/>
  <c r="CZ186" i="2"/>
  <c r="CZ197" i="2"/>
  <c r="CZ10" i="2"/>
  <c r="CZ131" i="2"/>
  <c r="CZ102" i="2"/>
  <c r="CZ74" i="2"/>
  <c r="CZ88" i="2"/>
  <c r="CZ4" i="2"/>
  <c r="CZ43" i="2"/>
  <c r="CZ166" i="2"/>
  <c r="CZ182" i="2"/>
  <c r="CZ26" i="2"/>
  <c r="CZ35" i="2"/>
  <c r="CZ127" i="2"/>
  <c r="CZ201" i="2"/>
  <c r="CZ94" i="2"/>
  <c r="CZ80" i="2"/>
  <c r="CZ82" i="2"/>
  <c r="CZ20" i="2"/>
  <c r="CZ196" i="2"/>
  <c r="CZ5" i="2"/>
  <c r="CZ160" i="2"/>
  <c r="CZ168" i="2"/>
  <c r="CZ7" i="2"/>
  <c r="CZ65" i="2"/>
  <c r="CT36" i="2" l="1"/>
  <c r="CU35" i="2"/>
  <c r="CV35" i="2" s="1"/>
  <c r="CW35" i="2" s="1"/>
  <c r="CX35" i="2" s="1"/>
  <c r="CU36" i="2" l="1"/>
  <c r="CV36" i="2" s="1"/>
  <c r="CW36" i="2" s="1"/>
  <c r="CX36" i="2" s="1"/>
  <c r="CT37" i="2"/>
  <c r="CU37" i="2" l="1"/>
  <c r="CV37" i="2" s="1"/>
  <c r="CW37" i="2" s="1"/>
  <c r="CX37" i="2" s="1"/>
  <c r="CT38" i="2"/>
  <c r="CT39" i="2" l="1"/>
  <c r="CU38" i="2"/>
  <c r="CV38" i="2" s="1"/>
  <c r="CW38" i="2" s="1"/>
  <c r="CX38" i="2" s="1"/>
  <c r="CU39" i="2" l="1"/>
  <c r="CV39" i="2" s="1"/>
  <c r="CW39" i="2" s="1"/>
  <c r="CX39" i="2" s="1"/>
  <c r="CT40" i="2"/>
  <c r="CU40" i="2" l="1"/>
  <c r="CV40" i="2" s="1"/>
  <c r="CW40" i="2" s="1"/>
  <c r="CX40" i="2" s="1"/>
  <c r="CT41" i="2"/>
  <c r="CU41" i="2" l="1"/>
  <c r="CV41" i="2" s="1"/>
  <c r="CW41" i="2" s="1"/>
  <c r="CX41" i="2" s="1"/>
  <c r="CT42" i="2"/>
  <c r="CU42" i="2" l="1"/>
  <c r="CV42" i="2" s="1"/>
  <c r="CW42" i="2" s="1"/>
  <c r="CX42" i="2" s="1"/>
  <c r="CT43" i="2"/>
  <c r="CU43" i="2" l="1"/>
  <c r="CV43" i="2" s="1"/>
  <c r="CW43" i="2" s="1"/>
  <c r="CX43" i="2" s="1"/>
  <c r="CT44" i="2"/>
  <c r="CT45" i="2" l="1"/>
  <c r="CU44" i="2"/>
  <c r="CV44" i="2" s="1"/>
  <c r="CW44" i="2" s="1"/>
  <c r="CX44" i="2" s="1"/>
  <c r="CT46" i="2" l="1"/>
  <c r="CU45" i="2"/>
  <c r="CV45" i="2" s="1"/>
  <c r="CW45" i="2" s="1"/>
  <c r="CX45" i="2" s="1"/>
  <c r="CU46" i="2" l="1"/>
  <c r="CV46" i="2" s="1"/>
  <c r="CW46" i="2" s="1"/>
  <c r="CX46" i="2" s="1"/>
  <c r="CT47" i="2"/>
  <c r="CU47" i="2" l="1"/>
  <c r="CV47" i="2" s="1"/>
  <c r="CW47" i="2" s="1"/>
  <c r="CX47" i="2" s="1"/>
  <c r="CT48" i="2"/>
  <c r="CT49" i="2" l="1"/>
  <c r="CU48" i="2"/>
  <c r="CV48" i="2" s="1"/>
  <c r="CW48" i="2" s="1"/>
  <c r="CX48" i="2" s="1"/>
  <c r="CU49" i="2" l="1"/>
  <c r="CV49" i="2" s="1"/>
  <c r="CW49" i="2" s="1"/>
  <c r="CX49" i="2" s="1"/>
  <c r="CT50" i="2"/>
  <c r="CT51" i="2" l="1"/>
  <c r="CU50" i="2"/>
  <c r="CV50" i="2" s="1"/>
  <c r="CW50" i="2" s="1"/>
  <c r="CX50" i="2" s="1"/>
  <c r="CU51" i="2" l="1"/>
  <c r="CV51" i="2" s="1"/>
  <c r="CW51" i="2" s="1"/>
  <c r="CX51" i="2" s="1"/>
  <c r="CT52" i="2"/>
  <c r="CU52" i="2" l="1"/>
  <c r="CV52" i="2" s="1"/>
  <c r="CW52" i="2" s="1"/>
  <c r="CX52" i="2" s="1"/>
  <c r="CT53" i="2"/>
  <c r="CT54" i="2" l="1"/>
  <c r="CU53" i="2"/>
  <c r="CV53" i="2" s="1"/>
  <c r="CW53" i="2" s="1"/>
  <c r="CX53" i="2" s="1"/>
  <c r="CU54" i="2" l="1"/>
  <c r="CV54" i="2" s="1"/>
  <c r="CW54" i="2" s="1"/>
  <c r="CX54" i="2" s="1"/>
  <c r="CT55" i="2"/>
  <c r="CU55" i="2" l="1"/>
  <c r="CV55" i="2" s="1"/>
  <c r="CW55" i="2" s="1"/>
  <c r="CX55" i="2" s="1"/>
  <c r="CT56" i="2"/>
  <c r="CU56" i="2" l="1"/>
  <c r="CV56" i="2" s="1"/>
  <c r="CW56" i="2" s="1"/>
  <c r="CX56" i="2" s="1"/>
  <c r="CT57" i="2"/>
  <c r="CU57" i="2" l="1"/>
  <c r="CV57" i="2" s="1"/>
  <c r="CW57" i="2" s="1"/>
  <c r="CX57" i="2" s="1"/>
  <c r="CT58" i="2"/>
  <c r="CU58" i="2" l="1"/>
  <c r="CV58" i="2" s="1"/>
  <c r="CW58" i="2" s="1"/>
  <c r="CX58" i="2" s="1"/>
  <c r="CT59" i="2"/>
  <c r="CU59" i="2" l="1"/>
  <c r="CV59" i="2" s="1"/>
  <c r="CW59" i="2" s="1"/>
  <c r="CX59" i="2" s="1"/>
  <c r="CT60" i="2"/>
  <c r="CT61" i="2" l="1"/>
  <c r="CU60" i="2"/>
  <c r="CV60" i="2" s="1"/>
  <c r="CW60" i="2" s="1"/>
  <c r="CX60" i="2" s="1"/>
  <c r="CT62" i="2" l="1"/>
  <c r="CU61" i="2"/>
  <c r="CV61" i="2" s="1"/>
  <c r="CW61" i="2" s="1"/>
  <c r="CX61" i="2" s="1"/>
  <c r="CU62" i="2" l="1"/>
  <c r="CV62" i="2" s="1"/>
  <c r="CW62" i="2" s="1"/>
  <c r="CX62" i="2" s="1"/>
  <c r="CT63" i="2"/>
  <c r="CT64" i="2" l="1"/>
  <c r="CU63" i="2"/>
  <c r="CV63" i="2" s="1"/>
  <c r="CW63" i="2" s="1"/>
  <c r="CX63" i="2" s="1"/>
  <c r="CU64" i="2" l="1"/>
  <c r="CV64" i="2" s="1"/>
  <c r="CW64" i="2" s="1"/>
  <c r="CX64" i="2" s="1"/>
  <c r="CT65" i="2"/>
  <c r="CU65" i="2" l="1"/>
  <c r="CV65" i="2" s="1"/>
  <c r="CW65" i="2" s="1"/>
  <c r="CX65" i="2" s="1"/>
  <c r="CT66" i="2"/>
  <c r="CT67" i="2" l="1"/>
  <c r="CU66" i="2"/>
  <c r="CV66" i="2" s="1"/>
  <c r="CW66" i="2" s="1"/>
  <c r="CX66" i="2" s="1"/>
  <c r="CT68" i="2" l="1"/>
  <c r="CU67" i="2"/>
  <c r="CV67" i="2" s="1"/>
  <c r="CW67" i="2" s="1"/>
  <c r="CX67" i="2" s="1"/>
  <c r="CT69" i="2" l="1"/>
  <c r="CU68" i="2"/>
  <c r="CV68" i="2" s="1"/>
  <c r="CW68" i="2" s="1"/>
  <c r="CX68" i="2" s="1"/>
  <c r="CU69" i="2" l="1"/>
  <c r="CV69" i="2" s="1"/>
  <c r="CW69" i="2" s="1"/>
  <c r="CX69" i="2" s="1"/>
  <c r="CT70" i="2"/>
  <c r="CT71" i="2" l="1"/>
  <c r="CU70" i="2"/>
  <c r="CV70" i="2" s="1"/>
  <c r="CW70" i="2" s="1"/>
  <c r="CX70" i="2" s="1"/>
  <c r="CU71" i="2" l="1"/>
  <c r="CV71" i="2" s="1"/>
  <c r="CW71" i="2" s="1"/>
  <c r="CX71" i="2" s="1"/>
  <c r="CT72" i="2"/>
  <c r="CU72" i="2" l="1"/>
  <c r="CV72" i="2" s="1"/>
  <c r="CW72" i="2" s="1"/>
  <c r="CX72" i="2" s="1"/>
  <c r="CT73" i="2"/>
  <c r="CU73" i="2" l="1"/>
  <c r="CV73" i="2" s="1"/>
  <c r="CW73" i="2" s="1"/>
  <c r="CX73" i="2" s="1"/>
  <c r="CT74" i="2"/>
  <c r="CU74" i="2" l="1"/>
  <c r="CV74" i="2" s="1"/>
  <c r="CW74" i="2" s="1"/>
  <c r="CX74" i="2" s="1"/>
  <c r="CT75" i="2"/>
  <c r="CU75" i="2" l="1"/>
  <c r="CV75" i="2" s="1"/>
  <c r="CW75" i="2" s="1"/>
  <c r="CX75" i="2" s="1"/>
  <c r="CT76" i="2"/>
  <c r="CU76" i="2" l="1"/>
  <c r="CV76" i="2" s="1"/>
  <c r="CW76" i="2" s="1"/>
  <c r="CX76" i="2" s="1"/>
  <c r="CT77" i="2"/>
  <c r="CT78" i="2" l="1"/>
  <c r="CU77" i="2"/>
  <c r="CV77" i="2" s="1"/>
  <c r="CW77" i="2" s="1"/>
  <c r="CX77" i="2" s="1"/>
  <c r="CT79" i="2" l="1"/>
  <c r="CU78" i="2"/>
  <c r="CV78" i="2" s="1"/>
  <c r="CW78" i="2" s="1"/>
  <c r="CX78" i="2" s="1"/>
  <c r="CU79" i="2" l="1"/>
  <c r="CT80" i="2"/>
  <c r="CU80" i="2" l="1"/>
  <c r="CV80" i="2" s="1"/>
  <c r="CW80" i="2" s="1"/>
  <c r="CX80" i="2" s="1"/>
  <c r="CT81" i="2"/>
  <c r="CV79" i="2"/>
  <c r="CW79" i="2" s="1"/>
  <c r="CX79" i="2" s="1"/>
  <c r="CT82" i="2" l="1"/>
  <c r="CU81" i="2"/>
  <c r="CV81" i="2" s="1"/>
  <c r="CW81" i="2" s="1"/>
  <c r="CX81" i="2" s="1"/>
  <c r="CT83" i="2" l="1"/>
  <c r="CU82" i="2"/>
  <c r="CV82" i="2" s="1"/>
  <c r="CW82" i="2" s="1"/>
  <c r="CX82" i="2" s="1"/>
  <c r="CU83" i="2" l="1"/>
  <c r="CV83" i="2" s="1"/>
  <c r="CW83" i="2" s="1"/>
  <c r="CX83" i="2" s="1"/>
  <c r="CT84" i="2"/>
  <c r="CT85" i="2" l="1"/>
  <c r="CU84" i="2"/>
  <c r="CV84" i="2" s="1"/>
  <c r="CW84" i="2" s="1"/>
  <c r="CX84" i="2" s="1"/>
  <c r="CT86" i="2" l="1"/>
  <c r="CU85" i="2"/>
  <c r="CV85" i="2" s="1"/>
  <c r="CW85" i="2" s="1"/>
  <c r="CX85" i="2" s="1"/>
  <c r="CU86" i="2" l="1"/>
  <c r="CV86" i="2" s="1"/>
  <c r="CW86" i="2" s="1"/>
  <c r="CX86" i="2" s="1"/>
  <c r="CT87" i="2"/>
  <c r="CU87" i="2" l="1"/>
  <c r="CV87" i="2" s="1"/>
  <c r="CW87" i="2" s="1"/>
  <c r="CX87" i="2" s="1"/>
  <c r="CT88" i="2"/>
  <c r="CT89" i="2" l="1"/>
  <c r="CU88" i="2"/>
  <c r="CV88" i="2" s="1"/>
  <c r="CW88" i="2" s="1"/>
  <c r="CX88" i="2" s="1"/>
  <c r="CU89" i="2" l="1"/>
  <c r="CV89" i="2" s="1"/>
  <c r="CW89" i="2" s="1"/>
  <c r="CX89" i="2" s="1"/>
  <c r="CT90" i="2"/>
  <c r="CU90" i="2" l="1"/>
  <c r="CV90" i="2" s="1"/>
  <c r="CW90" i="2" s="1"/>
  <c r="CX90" i="2" s="1"/>
  <c r="CT91" i="2"/>
  <c r="CT92" i="2" l="1"/>
  <c r="CU91" i="2"/>
  <c r="CV91" i="2" s="1"/>
  <c r="CW91" i="2" s="1"/>
  <c r="CX91" i="2" s="1"/>
  <c r="CU92" i="2" l="1"/>
  <c r="CV92" i="2" s="1"/>
  <c r="CW92" i="2" s="1"/>
  <c r="CX92" i="2" s="1"/>
  <c r="CT93" i="2"/>
  <c r="CT94" i="2" l="1"/>
  <c r="CU93" i="2"/>
  <c r="CV93" i="2" s="1"/>
  <c r="CW93" i="2" s="1"/>
  <c r="CX93" i="2" s="1"/>
  <c r="CY88" i="2" s="1"/>
  <c r="CY54" i="2" l="1"/>
  <c r="CY84" i="2"/>
  <c r="CY199" i="2"/>
  <c r="CY93" i="2"/>
  <c r="CY107" i="2"/>
  <c r="CY119" i="2"/>
  <c r="CY160" i="2"/>
  <c r="CY165" i="2"/>
  <c r="CY155" i="2"/>
  <c r="CY53" i="2"/>
  <c r="CY34" i="2"/>
  <c r="CY19" i="2"/>
  <c r="CY77" i="2"/>
  <c r="CY50" i="2"/>
  <c r="CY187" i="2"/>
  <c r="CY202" i="2"/>
  <c r="CY51" i="2"/>
  <c r="CY32" i="2"/>
  <c r="CY12" i="2"/>
  <c r="CY73" i="2"/>
  <c r="CY201" i="2"/>
  <c r="CY191" i="2"/>
  <c r="CY62" i="2"/>
  <c r="CY81" i="2"/>
  <c r="CY67" i="2"/>
  <c r="CY113" i="2"/>
  <c r="CY128" i="2"/>
  <c r="CY23" i="2"/>
  <c r="CY94" i="2"/>
  <c r="CY91" i="2"/>
  <c r="CY118" i="2"/>
  <c r="CY79" i="2"/>
  <c r="CY80" i="2"/>
  <c r="CY186" i="2"/>
  <c r="CY64" i="2"/>
  <c r="CY179" i="2"/>
  <c r="CY137" i="2"/>
  <c r="CY166" i="2"/>
  <c r="CY194" i="2"/>
  <c r="CY4" i="2"/>
  <c r="CY136" i="2"/>
  <c r="CY98" i="2"/>
  <c r="CY71" i="2"/>
  <c r="CY123" i="2"/>
  <c r="CY115" i="2"/>
  <c r="CY72" i="2"/>
  <c r="CY108" i="2"/>
  <c r="CY193" i="2"/>
  <c r="CY114" i="2"/>
  <c r="CY112" i="2"/>
  <c r="CY172" i="2"/>
  <c r="CY139" i="2"/>
  <c r="CY176" i="2"/>
  <c r="CY203" i="2"/>
  <c r="CY161" i="2"/>
  <c r="CY10" i="2"/>
  <c r="CY36" i="2"/>
  <c r="CY154" i="2"/>
  <c r="CY174" i="2"/>
  <c r="CY142" i="2"/>
  <c r="CY95" i="2"/>
  <c r="CY110" i="2"/>
  <c r="CY197" i="2"/>
  <c r="CY3" i="2"/>
  <c r="C10" i="4" s="1"/>
  <c r="E10" i="4" s="1"/>
  <c r="F10" i="4" s="1"/>
  <c r="CY168" i="2"/>
  <c r="CY164" i="2"/>
  <c r="CY49" i="2"/>
  <c r="CY9" i="2"/>
  <c r="CY162" i="2"/>
  <c r="CY76" i="2"/>
  <c r="CY41" i="2"/>
  <c r="CY57" i="2"/>
  <c r="CY31" i="2"/>
  <c r="CY87" i="2"/>
  <c r="CY116" i="2"/>
  <c r="CY169" i="2"/>
  <c r="CY17" i="2"/>
  <c r="CY130" i="2"/>
  <c r="CY92" i="2"/>
  <c r="CY40" i="2"/>
  <c r="CY60" i="2"/>
  <c r="CY149" i="2"/>
  <c r="CY158" i="2"/>
  <c r="CY45" i="2"/>
  <c r="CY14" i="2"/>
  <c r="CY26" i="2"/>
  <c r="CY52" i="2"/>
  <c r="CY68" i="2"/>
  <c r="CY180" i="2"/>
  <c r="CY175" i="2"/>
  <c r="CY11" i="2"/>
  <c r="CY89" i="2"/>
  <c r="CY74" i="2"/>
  <c r="CY192" i="2"/>
  <c r="CY59" i="2"/>
  <c r="CY97" i="2"/>
  <c r="CY198" i="2"/>
  <c r="CY33" i="2"/>
  <c r="CY83" i="2"/>
  <c r="CY131" i="2"/>
  <c r="CY132" i="2"/>
  <c r="CY5" i="2"/>
  <c r="CY177" i="2"/>
  <c r="CY46" i="2"/>
  <c r="CY140" i="2"/>
  <c r="CY129" i="2"/>
  <c r="CY47" i="2"/>
  <c r="CY70" i="2"/>
  <c r="CY152" i="2"/>
  <c r="CY16" i="2"/>
  <c r="CY22" i="2"/>
  <c r="CY48" i="2"/>
  <c r="CY35" i="2"/>
  <c r="CY104" i="2"/>
  <c r="CY156" i="2"/>
  <c r="CY69" i="2"/>
  <c r="CY27" i="2"/>
  <c r="CY153" i="2"/>
  <c r="CY21" i="2"/>
  <c r="CY159" i="2"/>
  <c r="CY6" i="2"/>
  <c r="CY178" i="2"/>
  <c r="CY58" i="2"/>
  <c r="CY124" i="2"/>
  <c r="CY182" i="2"/>
  <c r="CY150" i="2"/>
  <c r="CY55" i="2"/>
  <c r="CY90" i="2"/>
  <c r="CY120" i="2"/>
  <c r="CY44" i="2"/>
  <c r="CY66" i="2"/>
  <c r="CY151" i="2"/>
  <c r="CY189" i="2"/>
  <c r="CY109" i="2"/>
  <c r="CY127" i="2"/>
  <c r="CY25" i="2"/>
  <c r="CY190" i="2"/>
  <c r="CY146" i="2"/>
  <c r="CY29" i="2"/>
  <c r="CY105" i="2"/>
  <c r="CY99" i="2"/>
  <c r="CY39" i="2"/>
  <c r="CY85" i="2"/>
  <c r="CY78" i="2"/>
  <c r="CY173" i="2"/>
  <c r="CY170" i="2"/>
  <c r="CY61" i="2"/>
  <c r="CY117" i="2"/>
  <c r="CY126" i="2"/>
  <c r="CY163" i="2"/>
  <c r="CY24" i="2"/>
  <c r="CY65" i="2"/>
  <c r="CY135" i="2"/>
  <c r="CY184" i="2"/>
  <c r="CY7" i="2"/>
  <c r="CY183" i="2"/>
  <c r="CY30" i="2"/>
  <c r="CY125" i="2"/>
  <c r="CY143" i="2"/>
  <c r="CY188" i="2"/>
  <c r="CY15" i="2"/>
  <c r="CY196" i="2"/>
  <c r="CY157" i="2"/>
  <c r="CY134" i="2"/>
  <c r="CY28" i="2"/>
  <c r="CY18" i="2"/>
  <c r="CY100" i="2"/>
  <c r="CY200" i="2"/>
  <c r="CY141" i="2"/>
  <c r="CY185" i="2"/>
  <c r="CY86" i="2"/>
  <c r="CY75" i="2"/>
  <c r="CY37" i="2"/>
  <c r="CY106" i="2"/>
  <c r="CY111" i="2"/>
  <c r="CY133" i="2"/>
  <c r="CY145" i="2"/>
  <c r="CY103" i="2"/>
  <c r="CY96" i="2"/>
  <c r="CY144" i="2"/>
  <c r="CY8" i="2"/>
  <c r="CY121" i="2"/>
  <c r="CY13" i="2"/>
  <c r="CY167" i="2"/>
  <c r="CY101" i="2"/>
  <c r="CY42" i="2"/>
  <c r="CY181" i="2"/>
  <c r="CY102" i="2"/>
  <c r="CY195" i="2"/>
  <c r="CY56" i="2"/>
  <c r="CY20" i="2"/>
  <c r="CY148" i="2"/>
  <c r="CY82" i="2"/>
  <c r="CY43" i="2"/>
  <c r="CY122" i="2"/>
  <c r="CY138" i="2"/>
  <c r="CY171" i="2"/>
  <c r="CY147" i="2"/>
  <c r="CY38" i="2"/>
  <c r="CY63" i="2"/>
  <c r="CT95" i="2"/>
  <c r="CU94" i="2"/>
  <c r="CV94" i="2" s="1"/>
  <c r="CW94" i="2" s="1"/>
  <c r="CX94" i="2" s="1"/>
  <c r="F16" i="4" l="1"/>
  <c r="G10" i="4"/>
  <c r="CT96" i="2"/>
  <c r="CU95" i="2"/>
  <c r="CV95" i="2" s="1"/>
  <c r="CW95" i="2" s="1"/>
  <c r="CX95" i="2" s="1"/>
  <c r="L10" i="4" l="1"/>
  <c r="L16" i="4" s="1"/>
  <c r="G16" i="4"/>
  <c r="CU96" i="2"/>
  <c r="CV96" i="2" s="1"/>
  <c r="CW96" i="2" s="1"/>
  <c r="CX96" i="2" s="1"/>
  <c r="CT97" i="2"/>
  <c r="CT98" i="2" l="1"/>
  <c r="CU97" i="2"/>
  <c r="CV97" i="2" s="1"/>
  <c r="CW97" i="2" s="1"/>
  <c r="CX97" i="2" s="1"/>
  <c r="CU98" i="2" l="1"/>
  <c r="CV98" i="2" s="1"/>
  <c r="CW98" i="2" s="1"/>
  <c r="CX98" i="2" s="1"/>
  <c r="CT99" i="2"/>
  <c r="CU99" i="2" l="1"/>
  <c r="CV99" i="2" s="1"/>
  <c r="CW99" i="2" s="1"/>
  <c r="CX99" i="2" s="1"/>
  <c r="CT100" i="2"/>
  <c r="CT101" i="2" l="1"/>
  <c r="CU100" i="2"/>
  <c r="CV100" i="2" s="1"/>
  <c r="CW100" i="2" s="1"/>
  <c r="CX100" i="2" s="1"/>
  <c r="CT102" i="2" l="1"/>
  <c r="CU101" i="2"/>
  <c r="CV101" i="2" s="1"/>
  <c r="CW101" i="2" s="1"/>
  <c r="CX101" i="2" s="1"/>
  <c r="CU102" i="2" l="1"/>
  <c r="CV102" i="2" s="1"/>
  <c r="CW102" i="2" s="1"/>
  <c r="CX102" i="2" s="1"/>
  <c r="CT103" i="2"/>
  <c r="CU103" i="2" l="1"/>
  <c r="CV103" i="2" s="1"/>
  <c r="CW103" i="2" s="1"/>
  <c r="CX103" i="2" s="1"/>
  <c r="CT104" i="2"/>
  <c r="CU104" i="2" l="1"/>
  <c r="CV104" i="2" s="1"/>
  <c r="CW104" i="2" s="1"/>
  <c r="CX104" i="2" s="1"/>
  <c r="CT105" i="2"/>
  <c r="CU105" i="2" l="1"/>
  <c r="CV105" i="2" s="1"/>
  <c r="CW105" i="2" s="1"/>
  <c r="CX105" i="2" s="1"/>
  <c r="CT106" i="2"/>
  <c r="CU106" i="2" l="1"/>
  <c r="CV106" i="2" s="1"/>
  <c r="CW106" i="2" s="1"/>
  <c r="CX106" i="2" s="1"/>
  <c r="CT107" i="2"/>
  <c r="CU107" i="2" l="1"/>
  <c r="CV107" i="2" s="1"/>
  <c r="CW107" i="2" s="1"/>
  <c r="CX107" i="2" s="1"/>
  <c r="CT108" i="2"/>
  <c r="CU108" i="2" l="1"/>
  <c r="CV108" i="2" s="1"/>
  <c r="CW108" i="2" s="1"/>
  <c r="CX108" i="2" s="1"/>
  <c r="CT109" i="2"/>
  <c r="CU109" i="2" l="1"/>
  <c r="CV109" i="2" s="1"/>
  <c r="CW109" i="2" s="1"/>
  <c r="CX109" i="2" s="1"/>
  <c r="CT110" i="2"/>
  <c r="CU110" i="2" l="1"/>
  <c r="CV110" i="2" s="1"/>
  <c r="CW110" i="2" s="1"/>
  <c r="CX110" i="2" s="1"/>
  <c r="CT111" i="2"/>
  <c r="CU111" i="2" l="1"/>
  <c r="CV111" i="2" s="1"/>
  <c r="CW111" i="2" s="1"/>
  <c r="CX111" i="2" s="1"/>
  <c r="CT112" i="2"/>
  <c r="CU112" i="2" l="1"/>
  <c r="CV112" i="2" s="1"/>
  <c r="CW112" i="2" s="1"/>
  <c r="CX112" i="2" s="1"/>
  <c r="CT113" i="2"/>
  <c r="CU113" i="2" l="1"/>
  <c r="CV113" i="2" s="1"/>
  <c r="CW113" i="2" s="1"/>
  <c r="CX113" i="2" s="1"/>
  <c r="CT114" i="2"/>
  <c r="CU114" i="2" l="1"/>
  <c r="CV114" i="2" s="1"/>
  <c r="CW114" i="2" s="1"/>
  <c r="CX114" i="2" s="1"/>
  <c r="CT115" i="2"/>
  <c r="CT116" i="2" l="1"/>
  <c r="CU115" i="2"/>
  <c r="CV115" i="2" s="1"/>
  <c r="CW115" i="2" s="1"/>
  <c r="CX115" i="2" s="1"/>
  <c r="CT117" i="2" l="1"/>
  <c r="CU116" i="2"/>
  <c r="CV116" i="2" s="1"/>
  <c r="CW116" i="2" s="1"/>
  <c r="CX116" i="2" s="1"/>
  <c r="CU117" i="2" l="1"/>
  <c r="CV117" i="2" s="1"/>
  <c r="CW117" i="2" s="1"/>
  <c r="CX117" i="2" s="1"/>
  <c r="CT118" i="2"/>
  <c r="CU118" i="2" l="1"/>
  <c r="CV118" i="2" s="1"/>
  <c r="CW118" i="2" s="1"/>
  <c r="CX118" i="2" s="1"/>
  <c r="CT119" i="2"/>
  <c r="CU119" i="2" l="1"/>
  <c r="CV119" i="2" s="1"/>
  <c r="CW119" i="2" s="1"/>
  <c r="CX119" i="2" s="1"/>
  <c r="CT120" i="2"/>
  <c r="CT121" i="2" l="1"/>
  <c r="CU120" i="2"/>
  <c r="CV120" i="2" s="1"/>
  <c r="CW120" i="2" s="1"/>
  <c r="CX120" i="2" s="1"/>
  <c r="CU121" i="2" l="1"/>
  <c r="CV121" i="2" s="1"/>
  <c r="CW121" i="2" s="1"/>
  <c r="CX121" i="2" s="1"/>
  <c r="CT122" i="2"/>
  <c r="CU122" i="2" l="1"/>
  <c r="CV122" i="2" s="1"/>
  <c r="CW122" i="2" s="1"/>
  <c r="CX122" i="2" s="1"/>
  <c r="CT123" i="2"/>
  <c r="CU123" i="2" l="1"/>
  <c r="CV123" i="2" s="1"/>
  <c r="CW123" i="2" s="1"/>
  <c r="CX123" i="2" s="1"/>
  <c r="CT124" i="2"/>
  <c r="CU124" i="2" l="1"/>
  <c r="CV124" i="2" s="1"/>
  <c r="CW124" i="2" s="1"/>
  <c r="CX124" i="2" s="1"/>
  <c r="CT125" i="2"/>
  <c r="CU125" i="2" l="1"/>
  <c r="CV125" i="2" s="1"/>
  <c r="CW125" i="2" s="1"/>
  <c r="CX125" i="2" s="1"/>
  <c r="CT126" i="2"/>
  <c r="CU126" i="2" l="1"/>
  <c r="CV126" i="2" s="1"/>
  <c r="CW126" i="2" s="1"/>
  <c r="CX126" i="2" s="1"/>
  <c r="CT127" i="2"/>
  <c r="CU127" i="2" l="1"/>
  <c r="CV127" i="2" s="1"/>
  <c r="CW127" i="2" s="1"/>
  <c r="CX127" i="2" s="1"/>
  <c r="CT128" i="2"/>
  <c r="CU128" i="2" l="1"/>
  <c r="CV128" i="2" s="1"/>
  <c r="CW128" i="2" s="1"/>
  <c r="CX128" i="2" s="1"/>
  <c r="CT129" i="2"/>
  <c r="CU129" i="2" l="1"/>
  <c r="CV129" i="2" s="1"/>
  <c r="CW129" i="2" s="1"/>
  <c r="CX129" i="2" s="1"/>
  <c r="CT130" i="2"/>
  <c r="CU130" i="2" l="1"/>
  <c r="CV130" i="2" s="1"/>
  <c r="CW130" i="2" s="1"/>
  <c r="CX130" i="2" s="1"/>
  <c r="CT131" i="2"/>
  <c r="CU131" i="2" l="1"/>
  <c r="CV131" i="2" s="1"/>
  <c r="CW131" i="2" s="1"/>
  <c r="CX131" i="2" s="1"/>
  <c r="CT132" i="2"/>
  <c r="CU132" i="2" l="1"/>
  <c r="CV132" i="2" s="1"/>
  <c r="CW132" i="2" s="1"/>
  <c r="CX132" i="2" s="1"/>
  <c r="CT133" i="2"/>
  <c r="CU133" i="2" l="1"/>
  <c r="CV133" i="2" s="1"/>
  <c r="CW133" i="2" s="1"/>
  <c r="CX133" i="2" s="1"/>
  <c r="CT134" i="2"/>
  <c r="CU134" i="2" l="1"/>
  <c r="CV134" i="2" s="1"/>
  <c r="CW134" i="2" s="1"/>
  <c r="CX134" i="2" s="1"/>
  <c r="CT135" i="2"/>
  <c r="CU135" i="2" l="1"/>
  <c r="CV135" i="2" s="1"/>
  <c r="CW135" i="2" s="1"/>
  <c r="CX135" i="2" s="1"/>
  <c r="CT136" i="2"/>
  <c r="CU136" i="2" l="1"/>
  <c r="CV136" i="2" s="1"/>
  <c r="CW136" i="2" s="1"/>
  <c r="CX136" i="2" s="1"/>
  <c r="CT137" i="2"/>
  <c r="CU137" i="2" l="1"/>
  <c r="CV137" i="2" s="1"/>
  <c r="CW137" i="2" s="1"/>
  <c r="CX137" i="2" s="1"/>
  <c r="CT138" i="2"/>
  <c r="CT139" i="2" l="1"/>
  <c r="CU138" i="2"/>
  <c r="CV138" i="2" s="1"/>
  <c r="CW138" i="2" s="1"/>
  <c r="CX138" i="2" s="1"/>
  <c r="CU139" i="2" l="1"/>
  <c r="CV139" i="2" s="1"/>
  <c r="CW139" i="2" s="1"/>
  <c r="CX139" i="2" s="1"/>
  <c r="CT140" i="2"/>
  <c r="CT141" i="2" l="1"/>
  <c r="CU140" i="2"/>
  <c r="CV140" i="2" s="1"/>
  <c r="CW140" i="2" s="1"/>
  <c r="CX140" i="2" s="1"/>
  <c r="CU141" i="2" l="1"/>
  <c r="CV141" i="2" s="1"/>
  <c r="CW141" i="2" s="1"/>
  <c r="CX141" i="2" s="1"/>
  <c r="CT142" i="2"/>
  <c r="CT143" i="2" l="1"/>
  <c r="CU142" i="2"/>
  <c r="CV142" i="2" s="1"/>
  <c r="CW142" i="2" s="1"/>
  <c r="CX142" i="2" s="1"/>
  <c r="CU143" i="2" l="1"/>
  <c r="CV143" i="2" s="1"/>
  <c r="CW143" i="2" s="1"/>
  <c r="CX143" i="2" s="1"/>
  <c r="CT144" i="2"/>
  <c r="CU144" i="2" l="1"/>
  <c r="CV144" i="2" s="1"/>
  <c r="CW144" i="2" s="1"/>
  <c r="CX144" i="2" s="1"/>
  <c r="CT145" i="2"/>
  <c r="CT146" i="2" l="1"/>
  <c r="CU145" i="2"/>
  <c r="CV145" i="2" s="1"/>
  <c r="CW145" i="2" s="1"/>
  <c r="CX145" i="2" s="1"/>
  <c r="CU146" i="2" l="1"/>
  <c r="CV146" i="2" s="1"/>
  <c r="CW146" i="2" s="1"/>
  <c r="CX146" i="2" s="1"/>
  <c r="CT147" i="2"/>
  <c r="CT148" i="2" l="1"/>
  <c r="CU147" i="2"/>
  <c r="CV147" i="2" s="1"/>
  <c r="CW147" i="2" s="1"/>
  <c r="CX147" i="2" s="1"/>
  <c r="CT149" i="2" l="1"/>
  <c r="CU148" i="2"/>
  <c r="CV148" i="2" s="1"/>
  <c r="CW148" i="2" s="1"/>
  <c r="CX148" i="2" s="1"/>
  <c r="CU149" i="2" l="1"/>
  <c r="CV149" i="2" s="1"/>
  <c r="CW149" i="2" s="1"/>
  <c r="CX149" i="2" s="1"/>
  <c r="CT150" i="2"/>
  <c r="CU150" i="2" l="1"/>
  <c r="CV150" i="2" s="1"/>
  <c r="CW150" i="2" s="1"/>
  <c r="CX150" i="2" s="1"/>
  <c r="CT151" i="2"/>
  <c r="CT152" i="2" l="1"/>
  <c r="CU151" i="2"/>
  <c r="CV151" i="2" s="1"/>
  <c r="CW151" i="2" s="1"/>
  <c r="CX151" i="2" s="1"/>
  <c r="CU152" i="2" l="1"/>
  <c r="CV152" i="2" s="1"/>
  <c r="CW152" i="2" s="1"/>
  <c r="CX152" i="2" s="1"/>
  <c r="CT153" i="2"/>
  <c r="CU153" i="2" l="1"/>
  <c r="CV153" i="2" s="1"/>
  <c r="CW153" i="2" s="1"/>
  <c r="CX153" i="2" s="1"/>
  <c r="CT154" i="2"/>
  <c r="CU154" i="2" l="1"/>
  <c r="CV154" i="2" s="1"/>
  <c r="CW154" i="2" s="1"/>
  <c r="CX154" i="2" s="1"/>
  <c r="CT155" i="2"/>
  <c r="CT156" i="2" l="1"/>
  <c r="CU155" i="2"/>
  <c r="CV155" i="2" s="1"/>
  <c r="CW155" i="2" s="1"/>
  <c r="CX155" i="2" s="1"/>
  <c r="CU156" i="2" l="1"/>
  <c r="CV156" i="2" s="1"/>
  <c r="CW156" i="2" s="1"/>
  <c r="CX156" i="2" s="1"/>
  <c r="CT157" i="2"/>
  <c r="CT158" i="2" l="1"/>
  <c r="CU157" i="2"/>
  <c r="CV157" i="2" s="1"/>
  <c r="CW157" i="2" s="1"/>
  <c r="CX157" i="2" s="1"/>
  <c r="CU158" i="2" l="1"/>
  <c r="CV158" i="2" s="1"/>
  <c r="CW158" i="2" s="1"/>
  <c r="CX158" i="2" s="1"/>
  <c r="CT159" i="2"/>
  <c r="CT160" i="2" l="1"/>
  <c r="CU159" i="2"/>
  <c r="CV159" i="2" s="1"/>
  <c r="CW159" i="2" s="1"/>
  <c r="CX159" i="2" s="1"/>
  <c r="CU160" i="2" l="1"/>
  <c r="CV160" i="2" s="1"/>
  <c r="CW160" i="2" s="1"/>
  <c r="CX160" i="2" s="1"/>
  <c r="CT161" i="2"/>
  <c r="CU161" i="2" l="1"/>
  <c r="CV161" i="2" s="1"/>
  <c r="CW161" i="2" s="1"/>
  <c r="CX161" i="2" s="1"/>
  <c r="CT162" i="2"/>
  <c r="CT163" i="2" l="1"/>
  <c r="CU162" i="2"/>
  <c r="CV162" i="2" s="1"/>
  <c r="CW162" i="2" s="1"/>
  <c r="CX162" i="2" s="1"/>
  <c r="CU163" i="2" l="1"/>
  <c r="CV163" i="2" s="1"/>
  <c r="CW163" i="2" s="1"/>
  <c r="CX163" i="2" s="1"/>
  <c r="CT164" i="2"/>
  <c r="CU164" i="2" l="1"/>
  <c r="CV164" i="2" s="1"/>
  <c r="CW164" i="2" s="1"/>
  <c r="CX164" i="2" s="1"/>
  <c r="CT165" i="2"/>
  <c r="CU165" i="2" l="1"/>
  <c r="CV165" i="2" s="1"/>
  <c r="CW165" i="2" s="1"/>
  <c r="CX165" i="2" s="1"/>
  <c r="CT166" i="2"/>
  <c r="CT167" i="2" l="1"/>
  <c r="CU166" i="2"/>
  <c r="CV166" i="2" s="1"/>
  <c r="CW166" i="2" s="1"/>
  <c r="CX166" i="2" s="1"/>
  <c r="CU167" i="2" l="1"/>
  <c r="CV167" i="2" s="1"/>
  <c r="CW167" i="2" s="1"/>
  <c r="CX167" i="2" s="1"/>
  <c r="CT168" i="2"/>
  <c r="CT169" i="2" l="1"/>
  <c r="CU168" i="2"/>
  <c r="CV168" i="2" s="1"/>
  <c r="CW168" i="2" s="1"/>
  <c r="CX168" i="2" s="1"/>
  <c r="CU169" i="2" l="1"/>
  <c r="CV169" i="2" s="1"/>
  <c r="CW169" i="2" s="1"/>
  <c r="CX169" i="2" s="1"/>
  <c r="CT170" i="2"/>
  <c r="CT171" i="2" l="1"/>
  <c r="CU170" i="2"/>
  <c r="CV170" i="2" s="1"/>
  <c r="CW170" i="2" s="1"/>
  <c r="CX170" i="2" s="1"/>
  <c r="CU171" i="2" l="1"/>
  <c r="CV171" i="2" s="1"/>
  <c r="CW171" i="2" s="1"/>
  <c r="CX171" i="2" s="1"/>
  <c r="CT172" i="2"/>
  <c r="CU172" i="2" l="1"/>
  <c r="CV172" i="2" s="1"/>
  <c r="CW172" i="2" s="1"/>
  <c r="CX172" i="2" s="1"/>
  <c r="CT173" i="2"/>
  <c r="CT174" i="2" l="1"/>
  <c r="CU173" i="2"/>
  <c r="CV173" i="2" s="1"/>
  <c r="CW173" i="2" s="1"/>
  <c r="CX173" i="2" s="1"/>
  <c r="CT175" i="2" l="1"/>
  <c r="CU174" i="2"/>
  <c r="CV174" i="2" s="1"/>
  <c r="CW174" i="2" s="1"/>
  <c r="CX174" i="2" s="1"/>
  <c r="CT176" i="2" l="1"/>
  <c r="CU175" i="2"/>
  <c r="CV175" i="2" s="1"/>
  <c r="CW175" i="2" s="1"/>
  <c r="CX175" i="2" s="1"/>
  <c r="CT177" i="2" l="1"/>
  <c r="CU176" i="2"/>
  <c r="CV176" i="2" s="1"/>
  <c r="CW176" i="2" s="1"/>
  <c r="CX176" i="2" s="1"/>
  <c r="CT178" i="2" l="1"/>
  <c r="CU177" i="2"/>
  <c r="CV177" i="2" s="1"/>
  <c r="CW177" i="2" s="1"/>
  <c r="CX177" i="2" s="1"/>
  <c r="CU178" i="2" l="1"/>
  <c r="CV178" i="2" s="1"/>
  <c r="CW178" i="2" s="1"/>
  <c r="CX178" i="2" s="1"/>
  <c r="CT179" i="2"/>
  <c r="CT180" i="2" l="1"/>
  <c r="CU179" i="2"/>
  <c r="CV179" i="2" s="1"/>
  <c r="CW179" i="2" s="1"/>
  <c r="CX179" i="2" s="1"/>
  <c r="CT181" i="2" l="1"/>
  <c r="CU180" i="2"/>
  <c r="CV180" i="2" s="1"/>
  <c r="CW180" i="2" s="1"/>
  <c r="CX180" i="2" s="1"/>
  <c r="CT182" i="2" l="1"/>
  <c r="CU181" i="2"/>
  <c r="CV181" i="2" s="1"/>
  <c r="CW181" i="2" s="1"/>
  <c r="CX181" i="2" s="1"/>
  <c r="CU182" i="2" l="1"/>
  <c r="CV182" i="2" s="1"/>
  <c r="CW182" i="2" s="1"/>
  <c r="CX182" i="2" s="1"/>
  <c r="CT183" i="2"/>
  <c r="CT184" i="2" l="1"/>
  <c r="CU183" i="2"/>
  <c r="CV183" i="2" s="1"/>
  <c r="CW183" i="2" s="1"/>
  <c r="CX183" i="2" s="1"/>
  <c r="CU184" i="2" l="1"/>
  <c r="CV184" i="2" s="1"/>
  <c r="CW184" i="2" s="1"/>
  <c r="CX184" i="2" s="1"/>
  <c r="CT185" i="2"/>
  <c r="CU185" i="2" l="1"/>
  <c r="CV185" i="2" s="1"/>
  <c r="CW185" i="2" s="1"/>
  <c r="CX185" i="2" s="1"/>
  <c r="CT186" i="2"/>
  <c r="CT187" i="2" l="1"/>
  <c r="CU186" i="2"/>
  <c r="CV186" i="2" s="1"/>
  <c r="CW186" i="2" s="1"/>
  <c r="CX186" i="2" s="1"/>
  <c r="CT188" i="2" l="1"/>
  <c r="CU187" i="2"/>
  <c r="CV187" i="2" s="1"/>
  <c r="CW187" i="2" s="1"/>
  <c r="CX187" i="2" s="1"/>
  <c r="CT189" i="2" l="1"/>
  <c r="CU188" i="2"/>
  <c r="CV188" i="2" s="1"/>
  <c r="CW188" i="2" s="1"/>
  <c r="CX188" i="2" s="1"/>
  <c r="CT190" i="2" l="1"/>
  <c r="CU189" i="2"/>
  <c r="CV189" i="2" s="1"/>
  <c r="CW189" i="2" s="1"/>
  <c r="CX189" i="2" s="1"/>
  <c r="CT191" i="2" l="1"/>
  <c r="CU190" i="2"/>
  <c r="CV190" i="2" s="1"/>
  <c r="CW190" i="2" s="1"/>
  <c r="CX190" i="2" s="1"/>
  <c r="CU191" i="2" l="1"/>
  <c r="CV191" i="2" s="1"/>
  <c r="CW191" i="2" s="1"/>
  <c r="CX191" i="2" s="1"/>
  <c r="CT192" i="2"/>
  <c r="CT193" i="2" l="1"/>
  <c r="CU192" i="2"/>
  <c r="CV192" i="2" s="1"/>
  <c r="CW192" i="2" s="1"/>
  <c r="CX192" i="2" s="1"/>
  <c r="CU193" i="2" l="1"/>
  <c r="CV193" i="2" s="1"/>
  <c r="CW193" i="2" s="1"/>
  <c r="CX193" i="2" s="1"/>
  <c r="CT194" i="2"/>
  <c r="CU194" i="2" l="1"/>
  <c r="CV194" i="2" s="1"/>
  <c r="CW194" i="2" s="1"/>
  <c r="CX194" i="2" s="1"/>
  <c r="CT195" i="2"/>
  <c r="CU195" i="2" l="1"/>
  <c r="CV195" i="2" s="1"/>
  <c r="CW195" i="2" s="1"/>
  <c r="CX195" i="2" s="1"/>
  <c r="CT196" i="2"/>
  <c r="CT197" i="2" l="1"/>
  <c r="CU196" i="2"/>
  <c r="CV196" i="2" s="1"/>
  <c r="CW196" i="2" s="1"/>
  <c r="CX196" i="2" s="1"/>
  <c r="CT198" i="2" l="1"/>
  <c r="CU197" i="2"/>
  <c r="CV197" i="2" s="1"/>
  <c r="CW197" i="2" s="1"/>
  <c r="CX197" i="2" s="1"/>
  <c r="CU198" i="2" l="1"/>
  <c r="CV198" i="2" s="1"/>
  <c r="CW198" i="2" s="1"/>
  <c r="CX198" i="2" s="1"/>
  <c r="CT199" i="2"/>
  <c r="CU199" i="2" l="1"/>
  <c r="CV199" i="2" s="1"/>
  <c r="CW199" i="2" s="1"/>
  <c r="CX199" i="2" s="1"/>
  <c r="CT200" i="2"/>
  <c r="CU200" i="2" l="1"/>
  <c r="CV200" i="2" s="1"/>
  <c r="CW200" i="2" s="1"/>
  <c r="CX200" i="2" s="1"/>
  <c r="CT201" i="2"/>
  <c r="CT202" i="2" l="1"/>
  <c r="CU201" i="2"/>
  <c r="CV201" i="2" s="1"/>
  <c r="CW201" i="2" s="1"/>
  <c r="CX201" i="2" s="1"/>
  <c r="CT203" i="2" l="1"/>
  <c r="CU203" i="2" s="1"/>
  <c r="CV203" i="2" s="1"/>
  <c r="CW203" i="2" s="1"/>
  <c r="CX203" i="2" s="1"/>
  <c r="CU202" i="2"/>
  <c r="CV202" i="2" s="1"/>
  <c r="CW202" i="2" s="1"/>
  <c r="CX202" i="2" s="1"/>
</calcChain>
</file>

<file path=xl/sharedStrings.xml><?xml version="1.0" encoding="utf-8"?>
<sst xmlns="http://schemas.openxmlformats.org/spreadsheetml/2006/main" count="1178" uniqueCount="324">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</sst>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8" fillId="4" borderId="0" xfId="0" applyFont="1" applyFill="1" applyAlignment="1">
      <alignment horizontal="left" vertical="center" wrapText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2.6958578672528142</c:v>
                </c:pt>
                <c:pt idx="2">
                  <c:v>3.1456024429294316</c:v>
                </c:pt>
                <c:pt idx="3">
                  <c:v>3.6706496543126392</c:v>
                </c:pt>
                <c:pt idx="4">
                  <c:v>4.283650861728133</c:v>
                </c:pt>
                <c:pt idx="5">
                  <c:v>4.999389736367446</c:v>
                </c:pt>
                <c:pt idx="6">
                  <c:v>5.8351427156981037</c:v>
                </c:pt>
                <c:pt idx="7">
                  <c:v>6.811100558946122</c:v>
                </c:pt>
                <c:pt idx="8">
                  <c:v>7.9508613856785146</c:v>
                </c:pt>
                <c:pt idx="9">
                  <c:v>9.2820073490102306</c:v>
                </c:pt>
                <c:pt idx="10">
                  <c:v>10.836779165307254</c:v>
                </c:pt>
                <c:pt idx="11">
                  <c:v>12.65286514607409</c:v>
                </c:pt>
                <c:pt idx="12">
                  <c:v>14.774324215459131</c:v>
                </c:pt>
                <c:pt idx="13">
                  <c:v>17.252665719305359</c:v>
                </c:pt>
                <c:pt idx="14">
                  <c:v>20.148112721871815</c:v>
                </c:pt>
                <c:pt idx="15">
                  <c:v>23.531080041429274</c:v>
                </c:pt>
                <c:pt idx="16">
                  <c:v>27.483903609727193</c:v>
                </c:pt>
                <c:pt idx="17">
                  <c:v>32.102863986196247</c:v>
                </c:pt>
                <c:pt idx="18">
                  <c:v>37.500554171921223</c:v>
                </c:pt>
                <c:pt idx="19">
                  <c:v>43.808650433928051</c:v>
                </c:pt>
                <c:pt idx="20">
                  <c:v>51.181154881613445</c:v>
                </c:pt>
                <c:pt idx="21">
                  <c:v>59.798190285451518</c:v>
                </c:pt>
                <c:pt idx="22">
                  <c:v>69.870441387809549</c:v>
                </c:pt>
                <c:pt idx="23">
                  <c:v>81.644353071705368</c:v>
                </c:pt>
                <c:pt idx="24">
                  <c:v>95.408214629786869</c:v>
                </c:pt>
                <c:pt idx="25">
                  <c:v>111.49928148626357</c:v>
                </c:pt>
                <c:pt idx="26">
                  <c:v>130.31211162387879</c:v>
                </c:pt>
                <c:pt idx="27">
                  <c:v>152.30832430653254</c:v>
                </c:pt>
                <c:pt idx="28">
                  <c:v>178.02802422784376</c:v>
                </c:pt>
                <c:pt idx="29">
                  <c:v>208.10317584974769</c:v>
                </c:pt>
                <c:pt idx="30">
                  <c:v>243.27326146963856</c:v>
                </c:pt>
                <c:pt idx="31">
                  <c:v>258.94814067849393</c:v>
                </c:pt>
                <c:pt idx="32">
                  <c:v>274.60158300734776</c:v>
                </c:pt>
                <c:pt idx="33">
                  <c:v>290.23498252743809</c:v>
                </c:pt>
                <c:pt idx="34">
                  <c:v>305.84957082840884</c:v>
                </c:pt>
                <c:pt idx="35">
                  <c:v>321.44644345960904</c:v>
                </c:pt>
                <c:pt idx="36">
                  <c:v>221.82117142251073</c:v>
                </c:pt>
                <c:pt idx="37">
                  <c:v>239.97776963491199</c:v>
                </c:pt>
                <c:pt idx="38">
                  <c:v>258.10309568549462</c:v>
                </c:pt>
                <c:pt idx="39">
                  <c:v>276.19965445716304</c:v>
                </c:pt>
                <c:pt idx="40">
                  <c:v>294.26959568611358</c:v>
                </c:pt>
                <c:pt idx="41">
                  <c:v>312.31478349482393</c:v>
                </c:pt>
                <c:pt idx="42">
                  <c:v>255.72039353124964</c:v>
                </c:pt>
                <c:pt idx="43">
                  <c:v>273.88106684535086</c:v>
                </c:pt>
                <c:pt idx="44">
                  <c:v>292.01468408800241</c:v>
                </c:pt>
                <c:pt idx="45">
                  <c:v>310.12316145287963</c:v>
                </c:pt>
                <c:pt idx="46">
                  <c:v>328.20817307415138</c:v>
                </c:pt>
                <c:pt idx="47">
                  <c:v>346.27119353720633</c:v>
                </c:pt>
                <c:pt idx="48">
                  <c:v>364.31353104988244</c:v>
                </c:pt>
                <c:pt idx="49">
                  <c:v>288.58007809052577</c:v>
                </c:pt>
                <c:pt idx="50">
                  <c:v>305.77968125048278</c:v>
                </c:pt>
                <c:pt idx="51">
                  <c:v>322.95778432037196</c:v>
                </c:pt>
                <c:pt idx="52">
                  <c:v>340.11569160143591</c:v>
                </c:pt>
                <c:pt idx="53">
                  <c:v>357.25456506572556</c:v>
                </c:pt>
                <c:pt idx="54">
                  <c:v>374.37544611289837</c:v>
                </c:pt>
                <c:pt idx="55">
                  <c:v>391.47927313799431</c:v>
                </c:pt>
                <c:pt idx="56">
                  <c:v>320.48361258921801</c:v>
                </c:pt>
                <c:pt idx="57">
                  <c:v>336.67903038787364</c:v>
                </c:pt>
                <c:pt idx="58">
                  <c:v>352.85729940854344</c:v>
                </c:pt>
                <c:pt idx="59">
                  <c:v>369.01931645885975</c:v>
                </c:pt>
                <c:pt idx="60">
                  <c:v>385.16589338963871</c:v>
                </c:pt>
                <c:pt idx="61">
                  <c:v>401.29776844134739</c:v>
                </c:pt>
                <c:pt idx="62">
                  <c:v>417.41561567067311</c:v>
                </c:pt>
                <c:pt idx="63">
                  <c:v>433.52005284512489</c:v>
                </c:pt>
                <c:pt idx="64">
                  <c:v>368.77354749803999</c:v>
                </c:pt>
                <c:pt idx="65">
                  <c:v>384.39219996126917</c:v>
                </c:pt>
                <c:pt idx="66">
                  <c:v>399.99706566096523</c:v>
                </c:pt>
                <c:pt idx="67">
                  <c:v>415.58875807076885</c:v>
                </c:pt>
                <c:pt idx="68">
                  <c:v>431.16784088676042</c:v>
                </c:pt>
                <c:pt idx="69">
                  <c:v>446.73483375648271</c:v>
                </c:pt>
                <c:pt idx="70">
                  <c:v>462.29021716786838</c:v>
                </c:pt>
                <c:pt idx="71">
                  <c:v>477.83443664595023</c:v>
                </c:pt>
                <c:pt idx="72">
                  <c:v>416.18008617131954</c:v>
                </c:pt>
                <c:pt idx="73">
                  <c:v>431.26352307198675</c:v>
                </c:pt>
                <c:pt idx="74">
                  <c:v>446.33562973688754</c:v>
                </c:pt>
                <c:pt idx="75">
                  <c:v>461.3968425581499</c:v>
                </c:pt>
                <c:pt idx="76">
                  <c:v>476.44756712169919</c:v>
                </c:pt>
                <c:pt idx="77">
                  <c:v>491.48818130664989</c:v>
                </c:pt>
                <c:pt idx="78">
                  <c:v>506.51903798562699</c:v>
                </c:pt>
                <c:pt idx="79">
                  <c:v>521.54046738795955</c:v>
                </c:pt>
                <c:pt idx="80">
                  <c:v>536.55277917652279</c:v>
                </c:pt>
                <c:pt idx="81">
                  <c:v>463.50656260260411</c:v>
                </c:pt>
                <c:pt idx="82">
                  <c:v>477.88908984737236</c:v>
                </c:pt>
                <c:pt idx="83">
                  <c:v>492.26241502045281</c:v>
                </c:pt>
                <c:pt idx="84">
                  <c:v>506.62684458100836</c:v>
                </c:pt>
                <c:pt idx="85">
                  <c:v>520.98266619811454</c:v>
                </c:pt>
                <c:pt idx="86">
                  <c:v>535.33015039964948</c:v>
                </c:pt>
                <c:pt idx="87">
                  <c:v>549.66955203526913</c:v>
                </c:pt>
                <c:pt idx="88">
                  <c:v>564.00111157883271</c:v>
                </c:pt>
                <c:pt idx="89">
                  <c:v>578.32505629161221</c:v>
                </c:pt>
                <c:pt idx="90">
                  <c:v>497.54781834683246</c:v>
                </c:pt>
                <c:pt idx="91">
                  <c:v>511.3021834460132</c:v>
                </c:pt>
                <c:pt idx="92">
                  <c:v>525.0487354862172</c:v>
                </c:pt>
                <c:pt idx="93">
                  <c:v>538.78770778433466</c:v>
                </c:pt>
                <c:pt idx="94">
                  <c:v>552.51932079162111</c:v>
                </c:pt>
                <c:pt idx="95">
                  <c:v>566.2437831119247</c:v>
                </c:pt>
                <c:pt idx="96">
                  <c:v>579.96129241609663</c:v>
                </c:pt>
                <c:pt idx="97">
                  <c:v>593.67203626542425</c:v>
                </c:pt>
                <c:pt idx="98">
                  <c:v>607.37619285506821</c:v>
                </c:pt>
                <c:pt idx="99">
                  <c:v>621.07393168694807</c:v>
                </c:pt>
                <c:pt idx="100">
                  <c:v>542.69775145946699</c:v>
                </c:pt>
                <c:pt idx="101">
                  <c:v>556.07428889692221</c:v>
                </c:pt>
                <c:pt idx="102">
                  <c:v>569.44408833111663</c:v>
                </c:pt>
                <c:pt idx="103">
                  <c:v>582.80733019679406</c:v>
                </c:pt>
                <c:pt idx="104">
                  <c:v>596.16418598267194</c:v>
                </c:pt>
                <c:pt idx="105">
                  <c:v>609.51481886966769</c:v>
                </c:pt>
                <c:pt idx="106">
                  <c:v>622.85938431032332</c:v>
                </c:pt>
                <c:pt idx="107">
                  <c:v>636.19803055601562</c:v>
                </c:pt>
                <c:pt idx="108">
                  <c:v>649.53089913767428</c:v>
                </c:pt>
                <c:pt idx="109">
                  <c:v>662.85812530500016</c:v>
                </c:pt>
                <c:pt idx="110">
                  <c:v>578.06785471008243</c:v>
                </c:pt>
                <c:pt idx="111">
                  <c:v>591.14539111471265</c:v>
                </c:pt>
                <c:pt idx="112">
                  <c:v>604.21690639023745</c:v>
                </c:pt>
                <c:pt idx="113">
                  <c:v>617.28254910051817</c:v>
                </c:pt>
                <c:pt idx="114">
                  <c:v>630.34246101011342</c:v>
                </c:pt>
                <c:pt idx="115">
                  <c:v>643.39677753283024</c:v>
                </c:pt>
                <c:pt idx="116">
                  <c:v>656.44562814199264</c:v>
                </c:pt>
                <c:pt idx="117">
                  <c:v>669.48913674641392</c:v>
                </c:pt>
                <c:pt idx="118">
                  <c:v>682.5274220355592</c:v>
                </c:pt>
                <c:pt idx="119">
                  <c:v>695.56059779698035</c:v>
                </c:pt>
                <c:pt idx="120">
                  <c:v>415.93410136559504</c:v>
                </c:pt>
                <c:pt idx="121">
                  <c:v>423.30201611855676</c:v>
                </c:pt>
                <c:pt idx="122">
                  <c:v>430.66717084686138</c:v>
                </c:pt>
                <c:pt idx="123">
                  <c:v>438.02961943852762</c:v>
                </c:pt>
                <c:pt idx="124">
                  <c:v>293.61402449000741</c:v>
                </c:pt>
                <c:pt idx="125">
                  <c:v>298.14022151190977</c:v>
                </c:pt>
                <c:pt idx="126">
                  <c:v>302.66488711697389</c:v>
                </c:pt>
                <c:pt idx="127">
                  <c:v>307.18804746662357</c:v>
                </c:pt>
                <c:pt idx="128">
                  <c:v>213.06200089969022</c:v>
                </c:pt>
                <c:pt idx="129">
                  <c:v>216.00348689034254</c:v>
                </c:pt>
                <c:pt idx="130">
                  <c:v>218.94405119022016</c:v>
                </c:pt>
                <c:pt idx="131">
                  <c:v>221.88370795710989</c:v>
                </c:pt>
                <c:pt idx="132">
                  <c:v>9.8479201135599071E-12</c:v>
                </c:pt>
                <c:pt idx="133">
                  <c:v>9.8479201135599071E-12</c:v>
                </c:pt>
                <c:pt idx="134">
                  <c:v>9.8479201135599071E-12</c:v>
                </c:pt>
                <c:pt idx="135">
                  <c:v>9.8479201135599071E-12</c:v>
                </c:pt>
                <c:pt idx="136">
                  <c:v>9.8479201135599071E-12</c:v>
                </c:pt>
                <c:pt idx="137">
                  <c:v>9.8479201135599071E-12</c:v>
                </c:pt>
                <c:pt idx="138">
                  <c:v>9.8479201135599071E-12</c:v>
                </c:pt>
                <c:pt idx="139">
                  <c:v>9.8479201135599071E-12</c:v>
                </c:pt>
                <c:pt idx="140">
                  <c:v>9.8479201135599071E-12</c:v>
                </c:pt>
                <c:pt idx="141">
                  <c:v>9.8479201135599071E-12</c:v>
                </c:pt>
                <c:pt idx="142">
                  <c:v>9.8479201135599071E-12</c:v>
                </c:pt>
                <c:pt idx="143">
                  <c:v>9.8479201135599071E-12</c:v>
                </c:pt>
                <c:pt idx="144">
                  <c:v>9.8479201135599071E-12</c:v>
                </c:pt>
                <c:pt idx="145">
                  <c:v>9.8479201135599071E-12</c:v>
                </c:pt>
                <c:pt idx="146">
                  <c:v>9.8479201135599071E-12</c:v>
                </c:pt>
                <c:pt idx="147">
                  <c:v>9.8479201135599071E-12</c:v>
                </c:pt>
                <c:pt idx="148">
                  <c:v>9.8479201135599071E-12</c:v>
                </c:pt>
                <c:pt idx="149">
                  <c:v>9.8479201135599071E-12</c:v>
                </c:pt>
                <c:pt idx="150">
                  <c:v>9.8479201135599071E-12</c:v>
                </c:pt>
                <c:pt idx="151">
                  <c:v>9.8479201135599071E-12</c:v>
                </c:pt>
                <c:pt idx="152">
                  <c:v>9.8479201135599071E-12</c:v>
                </c:pt>
                <c:pt idx="153">
                  <c:v>9.8479201135599071E-12</c:v>
                </c:pt>
                <c:pt idx="154">
                  <c:v>9.8479201135599071E-12</c:v>
                </c:pt>
                <c:pt idx="155">
                  <c:v>9.8479201135599071E-12</c:v>
                </c:pt>
                <c:pt idx="156">
                  <c:v>9.8479201135599071E-12</c:v>
                </c:pt>
                <c:pt idx="157">
                  <c:v>9.8479201135599071E-12</c:v>
                </c:pt>
                <c:pt idx="158">
                  <c:v>9.8479201135599071E-12</c:v>
                </c:pt>
                <c:pt idx="159">
                  <c:v>9.8479201135599071E-12</c:v>
                </c:pt>
                <c:pt idx="160">
                  <c:v>9.8479201135599071E-12</c:v>
                </c:pt>
                <c:pt idx="161">
                  <c:v>9.8479201135599071E-12</c:v>
                </c:pt>
                <c:pt idx="162">
                  <c:v>9.8479201135599071E-12</c:v>
                </c:pt>
                <c:pt idx="163">
                  <c:v>9.8479201135599071E-12</c:v>
                </c:pt>
                <c:pt idx="164">
                  <c:v>9.8479201135599071E-12</c:v>
                </c:pt>
                <c:pt idx="165">
                  <c:v>9.8479201135599071E-12</c:v>
                </c:pt>
                <c:pt idx="166">
                  <c:v>9.8479201135599071E-12</c:v>
                </c:pt>
                <c:pt idx="167">
                  <c:v>9.8479201135599071E-12</c:v>
                </c:pt>
                <c:pt idx="168">
                  <c:v>9.8479201135599071E-12</c:v>
                </c:pt>
                <c:pt idx="169">
                  <c:v>9.8479201135599071E-12</c:v>
                </c:pt>
                <c:pt idx="170">
                  <c:v>9.8479201135599071E-12</c:v>
                </c:pt>
                <c:pt idx="171">
                  <c:v>9.8479201135599071E-12</c:v>
                </c:pt>
                <c:pt idx="172">
                  <c:v>9.8479201135599071E-12</c:v>
                </c:pt>
                <c:pt idx="173">
                  <c:v>9.8479201135599071E-12</c:v>
                </c:pt>
                <c:pt idx="174">
                  <c:v>9.8479201135599071E-12</c:v>
                </c:pt>
                <c:pt idx="175">
                  <c:v>9.8479201135599071E-12</c:v>
                </c:pt>
                <c:pt idx="176">
                  <c:v>9.8479201135599071E-12</c:v>
                </c:pt>
                <c:pt idx="177">
                  <c:v>9.8479201135599071E-12</c:v>
                </c:pt>
                <c:pt idx="178">
                  <c:v>9.8479201135599071E-12</c:v>
                </c:pt>
                <c:pt idx="179">
                  <c:v>9.8479201135599071E-12</c:v>
                </c:pt>
                <c:pt idx="180">
                  <c:v>9.8479201135599071E-12</c:v>
                </c:pt>
                <c:pt idx="181">
                  <c:v>9.8479201135599071E-12</c:v>
                </c:pt>
                <c:pt idx="182">
                  <c:v>9.8479201135599071E-12</c:v>
                </c:pt>
                <c:pt idx="183">
                  <c:v>9.8479201135599071E-12</c:v>
                </c:pt>
                <c:pt idx="184">
                  <c:v>9.8479201135599071E-12</c:v>
                </c:pt>
                <c:pt idx="185">
                  <c:v>9.8479201135599071E-12</c:v>
                </c:pt>
                <c:pt idx="186">
                  <c:v>9.8479201135599071E-12</c:v>
                </c:pt>
                <c:pt idx="187">
                  <c:v>9.8479201135599071E-12</c:v>
                </c:pt>
                <c:pt idx="188">
                  <c:v>9.8479201135599071E-12</c:v>
                </c:pt>
                <c:pt idx="189">
                  <c:v>9.8479201135599071E-12</c:v>
                </c:pt>
                <c:pt idx="190">
                  <c:v>9.8479201135599071E-12</c:v>
                </c:pt>
                <c:pt idx="191">
                  <c:v>9.8479201135599071E-12</c:v>
                </c:pt>
                <c:pt idx="192">
                  <c:v>9.8479201135599071E-12</c:v>
                </c:pt>
                <c:pt idx="193">
                  <c:v>9.8479201135599071E-12</c:v>
                </c:pt>
                <c:pt idx="194">
                  <c:v>9.8479201135599071E-12</c:v>
                </c:pt>
                <c:pt idx="195">
                  <c:v>9.8479201135599071E-12</c:v>
                </c:pt>
                <c:pt idx="196">
                  <c:v>9.8479201135599071E-12</c:v>
                </c:pt>
                <c:pt idx="197">
                  <c:v>9.8479201135599071E-12</c:v>
                </c:pt>
                <c:pt idx="198">
                  <c:v>9.8479201135599071E-12</c:v>
                </c:pt>
                <c:pt idx="199">
                  <c:v>9.8479201135599071E-12</c:v>
                </c:pt>
                <c:pt idx="200">
                  <c:v>9.8479201135599071E-12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2.6675160418488701</c:v>
                </c:pt>
                <c:pt idx="2">
                  <c:v>3.0797796475340888</c:v>
                </c:pt>
                <c:pt idx="3">
                  <c:v>3.5559878385050854</c:v>
                </c:pt>
                <c:pt idx="4">
                  <c:v>4.1060924309989639</c:v>
                </c:pt>
                <c:pt idx="5">
                  <c:v>4.7415989716746161</c:v>
                </c:pt>
                <c:pt idx="6">
                  <c:v>5.4758100289950429</c:v>
                </c:pt>
                <c:pt idx="7">
                  <c:v>6.3241066841717739</c:v>
                </c:pt>
                <c:pt idx="8">
                  <c:v>7.3042742344467291</c:v>
                </c:pt>
                <c:pt idx="9">
                  <c:v>8.4368790700879845</c:v>
                </c:pt>
                <c:pt idx="10">
                  <c:v>9.7457047850437757</c:v>
                </c:pt>
                <c:pt idx="11">
                  <c:v>11.258256853487337</c:v>
                </c:pt>
                <c:pt idx="12">
                  <c:v>13.006346678015461</c:v>
                </c:pt>
                <c:pt idx="13">
                  <c:v>15.026767521926386</c:v>
                </c:pt>
                <c:pt idx="14">
                  <c:v>17.362076814748239</c:v>
                </c:pt>
                <c:pt idx="15">
                  <c:v>20.06150160983681</c:v>
                </c:pt>
                <c:pt idx="16">
                  <c:v>23.181986625026479</c:v>
                </c:pt>
                <c:pt idx="17">
                  <c:v>26.789407369499227</c:v>
                </c:pt>
                <c:pt idx="18">
                  <c:v>30.959974418863357</c:v>
                </c:pt>
                <c:pt idx="19">
                  <c:v>35.781859023124703</c:v>
                </c:pt>
                <c:pt idx="20">
                  <c:v>41.357075008275459</c:v>
                </c:pt>
                <c:pt idx="21">
                  <c:v>47.803657465333458</c:v>
                </c:pt>
                <c:pt idx="22">
                  <c:v>55.258185131035383</c:v>
                </c:pt>
                <c:pt idx="23">
                  <c:v>63.878700791334211</c:v>
                </c:pt>
                <c:pt idx="24">
                  <c:v>73.848092643840616</c:v>
                </c:pt>
                <c:pt idx="25">
                  <c:v>85.37800952552827</c:v>
                </c:pt>
                <c:pt idx="26">
                  <c:v>98.71339446431891</c:v>
                </c:pt>
                <c:pt idx="27">
                  <c:v>114.13773439901051</c:v>
                </c:pt>
                <c:pt idx="28">
                  <c:v>131.9791394228651</c:v>
                </c:pt>
                <c:pt idx="29">
                  <c:v>152.61738287987308</c:v>
                </c:pt>
                <c:pt idx="30">
                  <c:v>176.49205447088363</c:v>
                </c:pt>
                <c:pt idx="31">
                  <c:v>186.95359711706033</c:v>
                </c:pt>
                <c:pt idx="32">
                  <c:v>197.40148207463395</c:v>
                </c:pt>
                <c:pt idx="33">
                  <c:v>207.83653473133492</c:v>
                </c:pt>
                <c:pt idx="34">
                  <c:v>218.25949073176866</c:v>
                </c:pt>
                <c:pt idx="35">
                  <c:v>228.67100964856897</c:v>
                </c:pt>
                <c:pt idx="36">
                  <c:v>239.07168602996975</c:v>
                </c:pt>
                <c:pt idx="37">
                  <c:v>249.46205842189795</c:v>
                </c:pt>
                <c:pt idx="38">
                  <c:v>259.8426168066029</c:v>
                </c:pt>
                <c:pt idx="39">
                  <c:v>270.21380878920627</c:v>
                </c:pt>
                <c:pt idx="40">
                  <c:v>280.57604478389567</c:v>
                </c:pt>
                <c:pt idx="41">
                  <c:v>290.92970239325638</c:v>
                </c:pt>
                <c:pt idx="42">
                  <c:v>301.27513013111576</c:v>
                </c:pt>
                <c:pt idx="43">
                  <c:v>311.61265060694552</c:v>
                </c:pt>
                <c:pt idx="44">
                  <c:v>321.94256326534446</c:v>
                </c:pt>
                <c:pt idx="45">
                  <c:v>210.01760539829328</c:v>
                </c:pt>
                <c:pt idx="46">
                  <c:v>223.3433746739031</c:v>
                </c:pt>
                <c:pt idx="47">
                  <c:v>236.65091661924077</c:v>
                </c:pt>
                <c:pt idx="48">
                  <c:v>249.94140096875267</c:v>
                </c:pt>
                <c:pt idx="49">
                  <c:v>263.21586282211655</c:v>
                </c:pt>
                <c:pt idx="50">
                  <c:v>276.47522429459542</c:v>
                </c:pt>
                <c:pt idx="51">
                  <c:v>289.72031179267179</c:v>
                </c:pt>
                <c:pt idx="52">
                  <c:v>228.87902042277122</c:v>
                </c:pt>
                <c:pt idx="53">
                  <c:v>241.33853237147972</c:v>
                </c:pt>
                <c:pt idx="54">
                  <c:v>253.78341018742489</c:v>
                </c:pt>
                <c:pt idx="55">
                  <c:v>266.21447290517364</c:v>
                </c:pt>
                <c:pt idx="56">
                  <c:v>278.63245677901716</c:v>
                </c:pt>
                <c:pt idx="57">
                  <c:v>291.03802704516664</c:v>
                </c:pt>
                <c:pt idx="58">
                  <c:v>303.43178757201281</c:v>
                </c:pt>
                <c:pt idx="59">
                  <c:v>315.81428885019949</c:v>
                </c:pt>
                <c:pt idx="60">
                  <c:v>251.78351312244976</c:v>
                </c:pt>
                <c:pt idx="61">
                  <c:v>263.34000449594265</c:v>
                </c:pt>
                <c:pt idx="62">
                  <c:v>274.88505676542917</c:v>
                </c:pt>
                <c:pt idx="63">
                  <c:v>286.41921831121891</c:v>
                </c:pt>
                <c:pt idx="64">
                  <c:v>297.94298971608151</c:v>
                </c:pt>
                <c:pt idx="65">
                  <c:v>309.45682965861977</c:v>
                </c:pt>
                <c:pt idx="66">
                  <c:v>320.96115988314858</c:v>
                </c:pt>
                <c:pt idx="67">
                  <c:v>332.45636941938818</c:v>
                </c:pt>
                <c:pt idx="68">
                  <c:v>281.50796218784762</c:v>
                </c:pt>
                <c:pt idx="69">
                  <c:v>292.545155837614</c:v>
                </c:pt>
                <c:pt idx="70">
                  <c:v>303.57305400018032</c:v>
                </c:pt>
                <c:pt idx="71">
                  <c:v>314.59204211276312</c:v>
                </c:pt>
                <c:pt idx="72">
                  <c:v>325.60247639377735</c:v>
                </c:pt>
                <c:pt idx="73">
                  <c:v>336.60468699221047</c:v>
                </c:pt>
                <c:pt idx="74">
                  <c:v>347.59898070352688</c:v>
                </c:pt>
                <c:pt idx="75">
                  <c:v>358.58564332386726</c:v>
                </c:pt>
                <c:pt idx="76">
                  <c:v>309.45579518663413</c:v>
                </c:pt>
                <c:pt idx="77">
                  <c:v>320.11097004984299</c:v>
                </c:pt>
                <c:pt idx="78">
                  <c:v>330.75829794599554</c:v>
                </c:pt>
                <c:pt idx="79">
                  <c:v>341.39806719991861</c:v>
                </c:pt>
                <c:pt idx="80">
                  <c:v>352.03054668974067</c:v>
                </c:pt>
                <c:pt idx="81">
                  <c:v>362.65598771889108</c:v>
                </c:pt>
                <c:pt idx="82">
                  <c:v>373.27462565717025</c:v>
                </c:pt>
                <c:pt idx="83">
                  <c:v>383.88668138527265</c:v>
                </c:pt>
                <c:pt idx="84">
                  <c:v>394.49236257119691</c:v>
                </c:pt>
                <c:pt idx="85">
                  <c:v>336.95058721961857</c:v>
                </c:pt>
                <c:pt idx="86">
                  <c:v>347.11556558587159</c:v>
                </c:pt>
                <c:pt idx="87">
                  <c:v>357.27401054854323</c:v>
                </c:pt>
                <c:pt idx="88">
                  <c:v>367.42613414859778</c:v>
                </c:pt>
                <c:pt idx="89">
                  <c:v>377.57213574794014</c:v>
                </c:pt>
                <c:pt idx="90">
                  <c:v>387.71220311524468</c:v>
                </c:pt>
                <c:pt idx="91">
                  <c:v>397.84651339222506</c:v>
                </c:pt>
                <c:pt idx="92">
                  <c:v>407.97523395628696</c:v>
                </c:pt>
                <c:pt idx="93">
                  <c:v>418.09852319302132</c:v>
                </c:pt>
                <c:pt idx="94">
                  <c:v>370.27809221654746</c:v>
                </c:pt>
                <c:pt idx="95">
                  <c:v>380.41787655047784</c:v>
                </c:pt>
                <c:pt idx="96">
                  <c:v>390.55178264624448</c:v>
                </c:pt>
                <c:pt idx="97">
                  <c:v>400.67998459146901</c:v>
                </c:pt>
                <c:pt idx="98">
                  <c:v>410.80264695148441</c:v>
                </c:pt>
                <c:pt idx="99">
                  <c:v>420.91992551704237</c:v>
                </c:pt>
                <c:pt idx="100">
                  <c:v>431.03196797636821</c:v>
                </c:pt>
                <c:pt idx="101">
                  <c:v>441.13891452085255</c:v>
                </c:pt>
                <c:pt idx="102">
                  <c:v>451.2408983923292</c:v>
                </c:pt>
                <c:pt idx="103">
                  <c:v>461.33804637878757</c:v>
                </c:pt>
                <c:pt idx="104">
                  <c:v>395.15912626693824</c:v>
                </c:pt>
                <c:pt idx="105">
                  <c:v>404.97257180631692</c:v>
                </c:pt>
                <c:pt idx="106">
                  <c:v>414.78087724967219</c:v>
                </c:pt>
                <c:pt idx="107">
                  <c:v>424.58418132465653</c:v>
                </c:pt>
                <c:pt idx="108">
                  <c:v>434.38261582791301</c:v>
                </c:pt>
                <c:pt idx="109">
                  <c:v>444.17630612325894</c:v>
                </c:pt>
                <c:pt idx="110">
                  <c:v>453.96537159363237</c:v>
                </c:pt>
                <c:pt idx="111">
                  <c:v>463.74992605201828</c:v>
                </c:pt>
                <c:pt idx="112">
                  <c:v>473.53007811588674</c:v>
                </c:pt>
                <c:pt idx="113">
                  <c:v>483.30593154907984</c:v>
                </c:pt>
                <c:pt idx="114">
                  <c:v>432.8155990693013</c:v>
                </c:pt>
                <c:pt idx="115">
                  <c:v>443.01444777265607</c:v>
                </c:pt>
                <c:pt idx="116">
                  <c:v>453.20826667532333</c:v>
                </c:pt>
                <c:pt idx="117">
                  <c:v>463.39718488359148</c:v>
                </c:pt>
                <c:pt idx="118">
                  <c:v>473.58132536211127</c:v>
                </c:pt>
                <c:pt idx="119">
                  <c:v>483.76080535467781</c:v>
                </c:pt>
                <c:pt idx="120">
                  <c:v>493.93573676774707</c:v>
                </c:pt>
                <c:pt idx="121">
                  <c:v>504.10622652070589</c:v>
                </c:pt>
                <c:pt idx="122">
                  <c:v>514.27237686640376</c:v>
                </c:pt>
                <c:pt idx="123">
                  <c:v>524.43428568501929</c:v>
                </c:pt>
                <c:pt idx="124">
                  <c:v>534.59204675396666</c:v>
                </c:pt>
                <c:pt idx="125">
                  <c:v>544.74574999622132</c:v>
                </c:pt>
                <c:pt idx="126">
                  <c:v>462.50915412595759</c:v>
                </c:pt>
                <c:pt idx="127">
                  <c:v>472.57480781864791</c:v>
                </c:pt>
                <c:pt idx="128">
                  <c:v>482.6358981589994</c:v>
                </c:pt>
                <c:pt idx="129">
                  <c:v>492.69253370091127</c:v>
                </c:pt>
                <c:pt idx="130">
                  <c:v>502.74481820472732</c:v>
                </c:pt>
                <c:pt idx="131">
                  <c:v>512.7928509425783</c:v>
                </c:pt>
                <c:pt idx="132">
                  <c:v>522.83672697854365</c:v>
                </c:pt>
                <c:pt idx="133">
                  <c:v>532.87653742616862</c:v>
                </c:pt>
                <c:pt idx="134">
                  <c:v>542.91236968556427</c:v>
                </c:pt>
                <c:pt idx="135">
                  <c:v>552.94430766206358</c:v>
                </c:pt>
                <c:pt idx="136">
                  <c:v>562.97243196818863</c:v>
                </c:pt>
                <c:pt idx="137">
                  <c:v>572.9968201104773</c:v>
                </c:pt>
                <c:pt idx="138">
                  <c:v>484.83750873596932</c:v>
                </c:pt>
                <c:pt idx="139">
                  <c:v>494.62796935081639</c:v>
                </c:pt>
                <c:pt idx="140">
                  <c:v>504.41432391708167</c:v>
                </c:pt>
                <c:pt idx="141">
                  <c:v>514.19666333944122</c:v>
                </c:pt>
                <c:pt idx="142">
                  <c:v>523.97507478125954</c:v>
                </c:pt>
                <c:pt idx="143">
                  <c:v>533.74964188701165</c:v>
                </c:pt>
                <c:pt idx="144">
                  <c:v>543.52044498756334</c:v>
                </c:pt>
                <c:pt idx="145">
                  <c:v>553.28756128992666</c:v>
                </c:pt>
                <c:pt idx="146">
                  <c:v>563.05106505291644</c:v>
                </c:pt>
                <c:pt idx="147">
                  <c:v>572.8110277499942</c:v>
                </c:pt>
                <c:pt idx="148">
                  <c:v>582.56751822043464</c:v>
                </c:pt>
                <c:pt idx="149">
                  <c:v>592.3206028098424</c:v>
                </c:pt>
                <c:pt idx="150">
                  <c:v>367.05615628788252</c:v>
                </c:pt>
                <c:pt idx="151">
                  <c:v>373.02531238000211</c:v>
                </c:pt>
                <c:pt idx="152">
                  <c:v>378.99238662296966</c:v>
                </c:pt>
                <c:pt idx="153">
                  <c:v>384.95741645192157</c:v>
                </c:pt>
                <c:pt idx="154">
                  <c:v>252.8669001492398</c:v>
                </c:pt>
                <c:pt idx="155">
                  <c:v>256.5075597411099</c:v>
                </c:pt>
                <c:pt idx="156">
                  <c:v>260.14705039921705</c:v>
                </c:pt>
                <c:pt idx="157">
                  <c:v>263.7853908188913</c:v>
                </c:pt>
                <c:pt idx="158">
                  <c:v>176.83468552294786</c:v>
                </c:pt>
                <c:pt idx="159">
                  <c:v>179.11325863950739</c:v>
                </c:pt>
                <c:pt idx="160">
                  <c:v>181.39115234734427</c:v>
                </c:pt>
                <c:pt idx="161">
                  <c:v>183.66837640937317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1.4559517368790669</c:v>
                </c:pt>
                <c:pt idx="2">
                  <c:v>1.729987284132541</c:v>
                </c:pt>
                <c:pt idx="3">
                  <c:v>2.0557977278009294</c:v>
                </c:pt>
                <c:pt idx="4">
                  <c:v>2.4432003726025537</c:v>
                </c:pt>
                <c:pt idx="5">
                  <c:v>2.9038803166105365</c:v>
                </c:pt>
                <c:pt idx="6">
                  <c:v>3.4517469258326074</c:v>
                </c:pt>
                <c:pt idx="7">
                  <c:v>4.1033585411030424</c:v>
                </c:pt>
                <c:pt idx="8">
                  <c:v>4.8784285125057369</c:v>
                </c:pt>
                <c:pt idx="9">
                  <c:v>5.8004281759541811</c:v>
                </c:pt>
                <c:pt idx="10">
                  <c:v>6.8973053917546716</c:v>
                </c:pt>
                <c:pt idx="11">
                  <c:v>8.2023408498340427</c:v>
                </c:pt>
                <c:pt idx="12">
                  <c:v>9.7551686228512136</c:v>
                </c:pt>
                <c:pt idx="13">
                  <c:v>11.602992550352086</c:v>
                </c:pt>
                <c:pt idx="14">
                  <c:v>13.802036124085888</c:v>
                </c:pt>
                <c:pt idx="15">
                  <c:v>16.419270807113978</c:v>
                </c:pt>
                <c:pt idx="16">
                  <c:v>19.534476384865641</c:v>
                </c:pt>
                <c:pt idx="17">
                  <c:v>23.24269728636807</c:v>
                </c:pt>
                <c:pt idx="18">
                  <c:v>27.657171152681755</c:v>
                </c:pt>
                <c:pt idx="19">
                  <c:v>32.912820654148106</c:v>
                </c:pt>
                <c:pt idx="20">
                  <c:v>39.170417130515368</c:v>
                </c:pt>
                <c:pt idx="21">
                  <c:v>46.621545600109563</c:v>
                </c:pt>
                <c:pt idx="22">
                  <c:v>55.494525714785674</c:v>
                </c:pt>
                <c:pt idx="23">
                  <c:v>66.061473113123796</c:v>
                </c:pt>
                <c:pt idx="24">
                  <c:v>78.646721284642979</c:v>
                </c:pt>
                <c:pt idx="25">
                  <c:v>93.636866624515463</c:v>
                </c:pt>
                <c:pt idx="26">
                  <c:v>111.4927501710773</c:v>
                </c:pt>
                <c:pt idx="27">
                  <c:v>132.76375017728887</c:v>
                </c:pt>
                <c:pt idx="28">
                  <c:v>158.10483208300809</c:v>
                </c:pt>
                <c:pt idx="29">
                  <c:v>188.29688890963698</c:v>
                </c:pt>
                <c:pt idx="30">
                  <c:v>224.27100831811845</c:v>
                </c:pt>
                <c:pt idx="31">
                  <c:v>240.53376204318738</c:v>
                </c:pt>
                <c:pt idx="32">
                  <c:v>256.7714919771762</c:v>
                </c:pt>
                <c:pt idx="33">
                  <c:v>272.98600338495862</c:v>
                </c:pt>
                <c:pt idx="34">
                  <c:v>289.17886949122021</c:v>
                </c:pt>
                <c:pt idx="35">
                  <c:v>305.35147290504159</c:v>
                </c:pt>
                <c:pt idx="36">
                  <c:v>321.5050378012242</c:v>
                </c:pt>
                <c:pt idx="37">
                  <c:v>337.64065529108387</c:v>
                </c:pt>
                <c:pt idx="38">
                  <c:v>353.75930368720213</c:v>
                </c:pt>
                <c:pt idx="39">
                  <c:v>369.86186488028119</c:v>
                </c:pt>
                <c:pt idx="40">
                  <c:v>385.94913771420806</c:v>
                </c:pt>
                <c:pt idx="41">
                  <c:v>402.02184901423874</c:v>
                </c:pt>
                <c:pt idx="42">
                  <c:v>418.08066275933976</c:v>
                </c:pt>
                <c:pt idx="43">
                  <c:v>253.84068765287489</c:v>
                </c:pt>
                <c:pt idx="44">
                  <c:v>269.54411534645834</c:v>
                </c:pt>
                <c:pt idx="45">
                  <c:v>285.22695568687891</c:v>
                </c:pt>
                <c:pt idx="46">
                  <c:v>300.89050001330901</c:v>
                </c:pt>
                <c:pt idx="47">
                  <c:v>316.5358942158237</c:v>
                </c:pt>
                <c:pt idx="48">
                  <c:v>332.16416164893707</c:v>
                </c:pt>
                <c:pt idx="49">
                  <c:v>347.77622150490646</c:v>
                </c:pt>
                <c:pt idx="50">
                  <c:v>267.82045439526422</c:v>
                </c:pt>
                <c:pt idx="51">
                  <c:v>282.55146979709662</c:v>
                </c:pt>
                <c:pt idx="52">
                  <c:v>297.26528301549314</c:v>
                </c:pt>
                <c:pt idx="53">
                  <c:v>311.96286547341651</c:v>
                </c:pt>
                <c:pt idx="54">
                  <c:v>326.64508957022116</c:v>
                </c:pt>
                <c:pt idx="55">
                  <c:v>341.31274286695992</c:v>
                </c:pt>
                <c:pt idx="56">
                  <c:v>355.96653970474637</c:v>
                </c:pt>
                <c:pt idx="57">
                  <c:v>297.43935110788397</c:v>
                </c:pt>
                <c:pt idx="58">
                  <c:v>311.7383572269693</c:v>
                </c:pt>
                <c:pt idx="59">
                  <c:v>326.02281510462137</c:v>
                </c:pt>
                <c:pt idx="60">
                  <c:v>340.29345196940289</c:v>
                </c:pt>
                <c:pt idx="61">
                  <c:v>354.55092906999738</c:v>
                </c:pt>
                <c:pt idx="62">
                  <c:v>368.79585012980647</c:v>
                </c:pt>
                <c:pt idx="63">
                  <c:v>383.02876842673123</c:v>
                </c:pt>
                <c:pt idx="64">
                  <c:v>325.71840229311169</c:v>
                </c:pt>
                <c:pt idx="65">
                  <c:v>339.45671552357044</c:v>
                </c:pt>
                <c:pt idx="66">
                  <c:v>353.18279929233978</c:v>
                </c:pt>
                <c:pt idx="67">
                  <c:v>366.89719586105952</c:v>
                </c:pt>
                <c:pt idx="68">
                  <c:v>380.60040364107721</c:v>
                </c:pt>
                <c:pt idx="69">
                  <c:v>394.29288222380774</c:v>
                </c:pt>
                <c:pt idx="70">
                  <c:v>407.97505667577428</c:v>
                </c:pt>
                <c:pt idx="71">
                  <c:v>421.647321227367</c:v>
                </c:pt>
                <c:pt idx="72">
                  <c:v>354.38219978506419</c:v>
                </c:pt>
                <c:pt idx="73">
                  <c:v>367.27332514561107</c:v>
                </c:pt>
                <c:pt idx="74">
                  <c:v>380.15457568105836</c:v>
                </c:pt>
                <c:pt idx="75">
                  <c:v>393.02633316528846</c:v>
                </c:pt>
                <c:pt idx="76">
                  <c:v>405.88895232312825</c:v>
                </c:pt>
                <c:pt idx="77">
                  <c:v>418.74276356136397</c:v>
                </c:pt>
                <c:pt idx="78">
                  <c:v>431.58807534691499</c:v>
                </c:pt>
                <c:pt idx="79">
                  <c:v>444.42517628710794</c:v>
                </c:pt>
                <c:pt idx="80">
                  <c:v>379.50930344710491</c:v>
                </c:pt>
                <c:pt idx="81">
                  <c:v>391.59489202964716</c:v>
                </c:pt>
                <c:pt idx="82">
                  <c:v>403.67239195063979</c:v>
                </c:pt>
                <c:pt idx="83">
                  <c:v>415.7420793489016</c:v>
                </c:pt>
                <c:pt idx="84">
                  <c:v>427.80421301983375</c:v>
                </c:pt>
                <c:pt idx="85">
                  <c:v>439.85903597336824</c:v>
                </c:pt>
                <c:pt idx="86">
                  <c:v>451.90677681221678</c:v>
                </c:pt>
                <c:pt idx="87">
                  <c:v>463.94765095548405</c:v>
                </c:pt>
                <c:pt idx="88">
                  <c:v>398.22609617089216</c:v>
                </c:pt>
                <c:pt idx="89">
                  <c:v>409.42150396683786</c:v>
                </c:pt>
                <c:pt idx="90">
                  <c:v>420.6103021791476</c:v>
                </c:pt>
                <c:pt idx="91">
                  <c:v>431.79269144575846</c:v>
                </c:pt>
                <c:pt idx="92">
                  <c:v>442.96886116304557</c:v>
                </c:pt>
                <c:pt idx="93">
                  <c:v>454.13899038945743</c:v>
                </c:pt>
                <c:pt idx="94">
                  <c:v>465.3032486556088</c:v>
                </c:pt>
                <c:pt idx="95">
                  <c:v>476.46179669257441</c:v>
                </c:pt>
                <c:pt idx="96">
                  <c:v>249.87566695731167</c:v>
                </c:pt>
                <c:pt idx="97">
                  <c:v>257.42321497634555</c:v>
                </c:pt>
                <c:pt idx="98">
                  <c:v>264.96575978377672</c:v>
                </c:pt>
                <c:pt idx="99">
                  <c:v>272.50346405734365</c:v>
                </c:pt>
                <c:pt idx="100">
                  <c:v>280.03648073000704</c:v>
                </c:pt>
                <c:pt idx="101">
                  <c:v>287.56495382593954</c:v>
                </c:pt>
                <c:pt idx="102">
                  <c:v>295.08901920431265</c:v>
                </c:pt>
                <c:pt idx="103">
                  <c:v>302.6088052231903</c:v>
                </c:pt>
                <c:pt idx="104">
                  <c:v>310.12443333392656</c:v>
                </c:pt>
                <c:pt idx="105">
                  <c:v>317.63601861488428</c:v>
                </c:pt>
                <c:pt idx="106">
                  <c:v>4.2330868906469593E-12</c:v>
                </c:pt>
                <c:pt idx="107">
                  <c:v>4.2330868906469593E-12</c:v>
                </c:pt>
                <c:pt idx="108">
                  <c:v>4.2330868906469593E-12</c:v>
                </c:pt>
                <c:pt idx="109">
                  <c:v>4.2330868906469593E-12</c:v>
                </c:pt>
                <c:pt idx="110">
                  <c:v>4.2330868906469593E-12</c:v>
                </c:pt>
                <c:pt idx="111">
                  <c:v>4.2330868906469593E-12</c:v>
                </c:pt>
                <c:pt idx="112">
                  <c:v>4.2330868906469593E-12</c:v>
                </c:pt>
                <c:pt idx="113">
                  <c:v>4.2330868906469593E-12</c:v>
                </c:pt>
                <c:pt idx="114">
                  <c:v>4.2330868906469593E-12</c:v>
                </c:pt>
                <c:pt idx="115">
                  <c:v>4.2330868906469593E-12</c:v>
                </c:pt>
                <c:pt idx="116">
                  <c:v>4.2330868906469593E-12</c:v>
                </c:pt>
                <c:pt idx="117">
                  <c:v>4.2330868906469593E-12</c:v>
                </c:pt>
                <c:pt idx="118">
                  <c:v>4.2330868906469593E-12</c:v>
                </c:pt>
                <c:pt idx="119">
                  <c:v>4.2330868906469593E-12</c:v>
                </c:pt>
                <c:pt idx="120">
                  <c:v>4.2330868906469593E-12</c:v>
                </c:pt>
                <c:pt idx="121">
                  <c:v>4.2330868906469593E-12</c:v>
                </c:pt>
                <c:pt idx="122">
                  <c:v>4.2330868906469593E-12</c:v>
                </c:pt>
                <c:pt idx="123">
                  <c:v>4.2330868906469593E-12</c:v>
                </c:pt>
                <c:pt idx="124">
                  <c:v>4.2330868906469593E-12</c:v>
                </c:pt>
                <c:pt idx="125">
                  <c:v>4.2330868906469593E-12</c:v>
                </c:pt>
                <c:pt idx="126">
                  <c:v>4.2330868906469593E-12</c:v>
                </c:pt>
                <c:pt idx="127">
                  <c:v>4.2330868906469593E-12</c:v>
                </c:pt>
                <c:pt idx="128">
                  <c:v>4.2330868906469593E-12</c:v>
                </c:pt>
                <c:pt idx="129">
                  <c:v>4.2330868906469593E-12</c:v>
                </c:pt>
                <c:pt idx="130">
                  <c:v>4.2330868906469593E-12</c:v>
                </c:pt>
                <c:pt idx="131">
                  <c:v>4.2330868906469593E-12</c:v>
                </c:pt>
                <c:pt idx="132">
                  <c:v>4.2330868906469593E-12</c:v>
                </c:pt>
                <c:pt idx="133">
                  <c:v>4.2330868906469593E-12</c:v>
                </c:pt>
                <c:pt idx="134">
                  <c:v>4.2330868906469593E-12</c:v>
                </c:pt>
                <c:pt idx="135">
                  <c:v>4.2330868906469593E-12</c:v>
                </c:pt>
                <c:pt idx="136">
                  <c:v>4.2330868906469593E-12</c:v>
                </c:pt>
                <c:pt idx="137">
                  <c:v>4.2330868906469593E-12</c:v>
                </c:pt>
                <c:pt idx="138">
                  <c:v>4.2330868906469593E-12</c:v>
                </c:pt>
                <c:pt idx="139">
                  <c:v>4.2330868906469593E-12</c:v>
                </c:pt>
                <c:pt idx="140">
                  <c:v>4.2330868906469593E-12</c:v>
                </c:pt>
                <c:pt idx="141">
                  <c:v>4.2330868906469593E-12</c:v>
                </c:pt>
                <c:pt idx="142">
                  <c:v>4.2330868906469593E-12</c:v>
                </c:pt>
                <c:pt idx="143">
                  <c:v>4.2330868906469593E-12</c:v>
                </c:pt>
                <c:pt idx="144">
                  <c:v>4.2330868906469593E-12</c:v>
                </c:pt>
                <c:pt idx="145">
                  <c:v>4.2330868906469593E-12</c:v>
                </c:pt>
                <c:pt idx="146">
                  <c:v>4.2330868906469593E-12</c:v>
                </c:pt>
                <c:pt idx="147">
                  <c:v>4.2330868906469593E-12</c:v>
                </c:pt>
                <c:pt idx="148">
                  <c:v>4.2330868906469593E-12</c:v>
                </c:pt>
                <c:pt idx="149">
                  <c:v>4.2330868906469593E-12</c:v>
                </c:pt>
                <c:pt idx="150">
                  <c:v>4.2330868906469593E-12</c:v>
                </c:pt>
                <c:pt idx="151">
                  <c:v>4.2330868906469593E-12</c:v>
                </c:pt>
                <c:pt idx="152">
                  <c:v>4.2330868906469593E-12</c:v>
                </c:pt>
                <c:pt idx="153">
                  <c:v>4.2330868906469593E-12</c:v>
                </c:pt>
                <c:pt idx="154">
                  <c:v>4.2330868906469593E-12</c:v>
                </c:pt>
                <c:pt idx="155">
                  <c:v>4.2330868906469593E-12</c:v>
                </c:pt>
                <c:pt idx="156">
                  <c:v>4.2330868906469593E-12</c:v>
                </c:pt>
                <c:pt idx="157">
                  <c:v>4.2330868906469593E-12</c:v>
                </c:pt>
                <c:pt idx="158">
                  <c:v>4.2330868906469593E-12</c:v>
                </c:pt>
                <c:pt idx="159">
                  <c:v>4.2330868906469593E-12</c:v>
                </c:pt>
                <c:pt idx="160">
                  <c:v>4.2330868906469593E-12</c:v>
                </c:pt>
                <c:pt idx="161">
                  <c:v>4.2330868906469593E-12</c:v>
                </c:pt>
                <c:pt idx="162">
                  <c:v>4.2330868906469593E-12</c:v>
                </c:pt>
                <c:pt idx="163">
                  <c:v>4.2330868906469593E-12</c:v>
                </c:pt>
                <c:pt idx="164">
                  <c:v>4.2330868906469593E-12</c:v>
                </c:pt>
                <c:pt idx="165">
                  <c:v>4.2330868906469593E-12</c:v>
                </c:pt>
                <c:pt idx="166">
                  <c:v>4.2330868906469593E-12</c:v>
                </c:pt>
                <c:pt idx="167">
                  <c:v>4.2330868906469593E-12</c:v>
                </c:pt>
                <c:pt idx="168">
                  <c:v>4.2330868906469593E-12</c:v>
                </c:pt>
                <c:pt idx="169">
                  <c:v>4.2330868906469593E-12</c:v>
                </c:pt>
                <c:pt idx="170">
                  <c:v>4.2330868906469593E-12</c:v>
                </c:pt>
                <c:pt idx="171">
                  <c:v>4.2330868906469593E-12</c:v>
                </c:pt>
                <c:pt idx="172">
                  <c:v>4.2330868906469593E-12</c:v>
                </c:pt>
                <c:pt idx="173">
                  <c:v>4.2330868906469593E-12</c:v>
                </c:pt>
                <c:pt idx="174">
                  <c:v>4.2330868906469593E-12</c:v>
                </c:pt>
                <c:pt idx="175">
                  <c:v>4.2330868906469593E-12</c:v>
                </c:pt>
                <c:pt idx="176">
                  <c:v>4.2330868906469593E-12</c:v>
                </c:pt>
                <c:pt idx="177">
                  <c:v>4.2330868906469593E-12</c:v>
                </c:pt>
                <c:pt idx="178">
                  <c:v>4.2330868906469593E-12</c:v>
                </c:pt>
                <c:pt idx="179">
                  <c:v>4.2330868906469593E-12</c:v>
                </c:pt>
                <c:pt idx="180">
                  <c:v>4.2330868906469593E-12</c:v>
                </c:pt>
                <c:pt idx="181">
                  <c:v>4.2330868906469593E-12</c:v>
                </c:pt>
                <c:pt idx="182">
                  <c:v>4.2330868906469593E-12</c:v>
                </c:pt>
                <c:pt idx="183">
                  <c:v>4.2330868906469593E-12</c:v>
                </c:pt>
                <c:pt idx="184">
                  <c:v>4.2330868906469593E-12</c:v>
                </c:pt>
                <c:pt idx="185">
                  <c:v>4.2330868906469593E-12</c:v>
                </c:pt>
                <c:pt idx="186">
                  <c:v>4.2330868906469593E-12</c:v>
                </c:pt>
                <c:pt idx="187">
                  <c:v>4.2330868906469593E-12</c:v>
                </c:pt>
                <c:pt idx="188">
                  <c:v>4.2330868906469593E-12</c:v>
                </c:pt>
                <c:pt idx="189">
                  <c:v>4.2330868906469593E-12</c:v>
                </c:pt>
                <c:pt idx="190">
                  <c:v>4.2330868906469593E-12</c:v>
                </c:pt>
                <c:pt idx="191">
                  <c:v>4.2330868906469593E-12</c:v>
                </c:pt>
                <c:pt idx="192">
                  <c:v>4.2330868906469593E-12</c:v>
                </c:pt>
                <c:pt idx="193">
                  <c:v>4.2330868906469593E-12</c:v>
                </c:pt>
                <c:pt idx="194">
                  <c:v>4.2330868906469593E-12</c:v>
                </c:pt>
                <c:pt idx="195">
                  <c:v>4.2330868906469593E-12</c:v>
                </c:pt>
                <c:pt idx="196">
                  <c:v>4.2330868906469593E-12</c:v>
                </c:pt>
                <c:pt idx="197">
                  <c:v>4.2330868906469593E-12</c:v>
                </c:pt>
                <c:pt idx="198">
                  <c:v>4.2330868906469593E-12</c:v>
                </c:pt>
                <c:pt idx="199">
                  <c:v>4.2330868906469593E-12</c:v>
                </c:pt>
                <c:pt idx="200">
                  <c:v>4.2330868906469593E-12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2.0615802021639595</c:v>
                </c:pt>
                <c:pt idx="2">
                  <c:v>2.6306720199279545</c:v>
                </c:pt>
                <c:pt idx="3">
                  <c:v>3.357488018453298</c:v>
                </c:pt>
                <c:pt idx="4">
                  <c:v>4.2859059270606634</c:v>
                </c:pt>
                <c:pt idx="5">
                  <c:v>5.4720527619498105</c:v>
                </c:pt>
                <c:pt idx="6">
                  <c:v>6.9877355562224617</c:v>
                </c:pt>
                <c:pt idx="7">
                  <c:v>8.9248358288257617</c:v>
                </c:pt>
                <c:pt idx="8">
                  <c:v>11.400939260761424</c:v>
                </c:pt>
                <c:pt idx="9">
                  <c:v>14.566548705207111</c:v>
                </c:pt>
                <c:pt idx="10">
                  <c:v>18.614327012382446</c:v>
                </c:pt>
                <c:pt idx="11">
                  <c:v>23.790942352926717</c:v>
                </c:pt>
                <c:pt idx="12">
                  <c:v>30.41225067621362</c:v>
                </c:pt>
                <c:pt idx="13">
                  <c:v>38.88275778896849</c:v>
                </c:pt>
                <c:pt idx="14">
                  <c:v>49.720570316163929</c:v>
                </c:pt>
                <c:pt idx="15">
                  <c:v>63.589387248149137</c:v>
                </c:pt>
                <c:pt idx="16">
                  <c:v>81.339523385051294</c:v>
                </c:pt>
                <c:pt idx="17">
                  <c:v>104.0605203802959</c:v>
                </c:pt>
                <c:pt idx="18">
                  <c:v>133.14862574111029</c:v>
                </c:pt>
                <c:pt idx="19">
                  <c:v>170.39335065109825</c:v>
                </c:pt>
                <c:pt idx="20">
                  <c:v>218.08851241049035</c:v>
                </c:pt>
                <c:pt idx="21">
                  <c:v>159.32874195250244</c:v>
                </c:pt>
                <c:pt idx="22">
                  <c:v>181.66813736078151</c:v>
                </c:pt>
                <c:pt idx="23">
                  <c:v>203.94321057745549</c:v>
                </c:pt>
                <c:pt idx="24">
                  <c:v>226.16197789995076</c:v>
                </c:pt>
                <c:pt idx="25">
                  <c:v>248.33074918569818</c:v>
                </c:pt>
                <c:pt idx="26">
                  <c:v>270.45461449361864</c:v>
                </c:pt>
                <c:pt idx="27">
                  <c:v>292.53776259751828</c:v>
                </c:pt>
                <c:pt idx="28">
                  <c:v>314.583698040076</c:v>
                </c:pt>
                <c:pt idx="29">
                  <c:v>336.59539404232538</c:v>
                </c:pt>
                <c:pt idx="30">
                  <c:v>358.57540326704753</c:v>
                </c:pt>
                <c:pt idx="31">
                  <c:v>266.56923588073727</c:v>
                </c:pt>
                <c:pt idx="32">
                  <c:v>286.78647711903716</c:v>
                </c:pt>
                <c:pt idx="33">
                  <c:v>306.97184146318881</c:v>
                </c:pt>
                <c:pt idx="34">
                  <c:v>327.1277190437109</c:v>
                </c:pt>
                <c:pt idx="35">
                  <c:v>347.25618143588719</c:v>
                </c:pt>
                <c:pt idx="36">
                  <c:v>367.3590405061089</c:v>
                </c:pt>
                <c:pt idx="37">
                  <c:v>387.43789369626415</c:v>
                </c:pt>
                <c:pt idx="38">
                  <c:v>407.49415942665138</c:v>
                </c:pt>
                <c:pt idx="39">
                  <c:v>427.5291051635549</c:v>
                </c:pt>
                <c:pt idx="40">
                  <c:v>447.54386995067108</c:v>
                </c:pt>
                <c:pt idx="41">
                  <c:v>355.11389600890448</c:v>
                </c:pt>
                <c:pt idx="42">
                  <c:v>371.6161159842477</c:v>
                </c:pt>
                <c:pt idx="43">
                  <c:v>388.10236266830719</c:v>
                </c:pt>
                <c:pt idx="44">
                  <c:v>404.57340992986133</c:v>
                </c:pt>
                <c:pt idx="45">
                  <c:v>421.02996350009448</c:v>
                </c:pt>
                <c:pt idx="46">
                  <c:v>437.47266945596533</c:v>
                </c:pt>
                <c:pt idx="47">
                  <c:v>453.90212136173136</c:v>
                </c:pt>
                <c:pt idx="48">
                  <c:v>470.31886632272807</c:v>
                </c:pt>
                <c:pt idx="49">
                  <c:v>486.72341015001916</c:v>
                </c:pt>
                <c:pt idx="50">
                  <c:v>503.11622179266834</c:v>
                </c:pt>
                <c:pt idx="51">
                  <c:v>426.33554561113533</c:v>
                </c:pt>
                <c:pt idx="52">
                  <c:v>439.59333149267508</c:v>
                </c:pt>
                <c:pt idx="53">
                  <c:v>452.84254581303099</c:v>
                </c:pt>
                <c:pt idx="54">
                  <c:v>466.08347466593301</c:v>
                </c:pt>
                <c:pt idx="55">
                  <c:v>479.31638656594276</c:v>
                </c:pt>
                <c:pt idx="56">
                  <c:v>492.54153399430987</c:v>
                </c:pt>
                <c:pt idx="57">
                  <c:v>505.75915477017423</c:v>
                </c:pt>
                <c:pt idx="58">
                  <c:v>518.96947327099519</c:v>
                </c:pt>
                <c:pt idx="59">
                  <c:v>532.17270152227172</c:v>
                </c:pt>
                <c:pt idx="60">
                  <c:v>545.36904017352083</c:v>
                </c:pt>
                <c:pt idx="61">
                  <c:v>483.02020001617831</c:v>
                </c:pt>
                <c:pt idx="62">
                  <c:v>493.33480119409711</c:v>
                </c:pt>
                <c:pt idx="63">
                  <c:v>503.64483183617267</c:v>
                </c:pt>
                <c:pt idx="64">
                  <c:v>513.9503987019458</c:v>
                </c:pt>
                <c:pt idx="65">
                  <c:v>524.2516039201148</c:v>
                </c:pt>
                <c:pt idx="66">
                  <c:v>534.54854527839552</c:v>
                </c:pt>
                <c:pt idx="67">
                  <c:v>544.84131648988216</c:v>
                </c:pt>
                <c:pt idx="68">
                  <c:v>555.13000743824</c:v>
                </c:pt>
                <c:pt idx="69">
                  <c:v>565.4147044037735</c:v>
                </c:pt>
                <c:pt idx="70">
                  <c:v>575.69549027219523</c:v>
                </c:pt>
                <c:pt idx="71">
                  <c:v>524.25160392011492</c:v>
                </c:pt>
                <c:pt idx="72">
                  <c:v>532.17270152227195</c:v>
                </c:pt>
                <c:pt idx="73">
                  <c:v>540.0913190698044</c:v>
                </c:pt>
                <c:pt idx="74">
                  <c:v>548.00749806060492</c:v>
                </c:pt>
                <c:pt idx="75">
                  <c:v>555.92127869561818</c:v>
                </c:pt>
                <c:pt idx="76">
                  <c:v>563.83269993765953</c:v>
                </c:pt>
                <c:pt idx="77">
                  <c:v>571.74179956676232</c:v>
                </c:pt>
                <c:pt idx="78">
                  <c:v>579.64861423230275</c:v>
                </c:pt>
                <c:pt idx="79">
                  <c:v>587.55317950213146</c:v>
                </c:pt>
                <c:pt idx="80">
                  <c:v>595.45552990892566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1.8422770816719243</c:v>
                </c:pt>
                <c:pt idx="2">
                  <c:v>2.2840289470647019</c:v>
                </c:pt>
                <c:pt idx="3">
                  <c:v>2.8321216972614724</c:v>
                </c:pt>
                <c:pt idx="4">
                  <c:v>3.5122487312555548</c:v>
                </c:pt>
                <c:pt idx="5">
                  <c:v>4.3563327298030456</c:v>
                </c:pt>
                <c:pt idx="6">
                  <c:v>5.4040407593902104</c:v>
                </c:pt>
                <c:pt idx="7">
                  <c:v>6.704668972252624</c:v>
                </c:pt>
                <c:pt idx="8">
                  <c:v>8.3194873061901777</c:v>
                </c:pt>
                <c:pt idx="9">
                  <c:v>10.324656755411185</c:v>
                </c:pt>
                <c:pt idx="10">
                  <c:v>12.81485939889563</c:v>
                </c:pt>
                <c:pt idx="11">
                  <c:v>15.907815777318609</c:v>
                </c:pt>
                <c:pt idx="12">
                  <c:v>19.749907075900857</c:v>
                </c:pt>
                <c:pt idx="13">
                  <c:v>24.523172983871586</c:v>
                </c:pt>
                <c:pt idx="14">
                  <c:v>30.454022661510908</c:v>
                </c:pt>
                <c:pt idx="15">
                  <c:v>37.82407919498084</c:v>
                </c:pt>
                <c:pt idx="16">
                  <c:v>46.98368130015691</c:v>
                </c:pt>
                <c:pt idx="17">
                  <c:v>58.368694891148834</c:v>
                </c:pt>
                <c:pt idx="18">
                  <c:v>72.521447744946883</c:v>
                </c:pt>
                <c:pt idx="19">
                  <c:v>90.116800712953889</c:v>
                </c:pt>
                <c:pt idx="20">
                  <c:v>111.99461853472759</c:v>
                </c:pt>
                <c:pt idx="21">
                  <c:v>139.20021450034079</c:v>
                </c:pt>
                <c:pt idx="22">
                  <c:v>173.03473120558579</c:v>
                </c:pt>
                <c:pt idx="23">
                  <c:v>114.16566401588192</c:v>
                </c:pt>
                <c:pt idx="24">
                  <c:v>126.91782453901844</c:v>
                </c:pt>
                <c:pt idx="25">
                  <c:v>139.63892686257512</c:v>
                </c:pt>
                <c:pt idx="26">
                  <c:v>152.3322020421887</c:v>
                </c:pt>
                <c:pt idx="27">
                  <c:v>165.0002975645435</c:v>
                </c:pt>
                <c:pt idx="28">
                  <c:v>177.64542048388753</c:v>
                </c:pt>
                <c:pt idx="29">
                  <c:v>190.26943753249964</c:v>
                </c:pt>
                <c:pt idx="30">
                  <c:v>163.25579792659764</c:v>
                </c:pt>
                <c:pt idx="31">
                  <c:v>175.63004223264269</c:v>
                </c:pt>
                <c:pt idx="32">
                  <c:v>187.98382044887614</c:v>
                </c:pt>
                <c:pt idx="33">
                  <c:v>200.31866793456163</c:v>
                </c:pt>
                <c:pt idx="34">
                  <c:v>212.63591531566453</c:v>
                </c:pt>
                <c:pt idx="35">
                  <c:v>224.93672632266399</c:v>
                </c:pt>
                <c:pt idx="36">
                  <c:v>237.22212690426889</c:v>
                </c:pt>
                <c:pt idx="37">
                  <c:v>199.04889868806444</c:v>
                </c:pt>
                <c:pt idx="38">
                  <c:v>210.47971454591837</c:v>
                </c:pt>
                <c:pt idx="39">
                  <c:v>221.89621521547306</c:v>
                </c:pt>
                <c:pt idx="40">
                  <c:v>233.29924148414139</c:v>
                </c:pt>
                <c:pt idx="41">
                  <c:v>244.68954516678562</c:v>
                </c:pt>
                <c:pt idx="42">
                  <c:v>256.06780231400211</c:v>
                </c:pt>
                <c:pt idx="43">
                  <c:v>267.43462394736417</c:v>
                </c:pt>
                <c:pt idx="44">
                  <c:v>278.7905648722724</c:v>
                </c:pt>
                <c:pt idx="45">
                  <c:v>240.50664114189624</c:v>
                </c:pt>
                <c:pt idx="46">
                  <c:v>250.77517752711836</c:v>
                </c:pt>
                <c:pt idx="47">
                  <c:v>261.0341838085854</c:v>
                </c:pt>
                <c:pt idx="48">
                  <c:v>271.28408759968801</c:v>
                </c:pt>
                <c:pt idx="49">
                  <c:v>281.52528153771664</c:v>
                </c:pt>
                <c:pt idx="50">
                  <c:v>291.75812734056302</c:v>
                </c:pt>
                <c:pt idx="51">
                  <c:v>301.98295926410395</c:v>
                </c:pt>
                <c:pt idx="52">
                  <c:v>312.20008706652453</c:v>
                </c:pt>
                <c:pt idx="53">
                  <c:v>269.69721947373961</c:v>
                </c:pt>
                <c:pt idx="54">
                  <c:v>278.73392936875115</c:v>
                </c:pt>
                <c:pt idx="55">
                  <c:v>287.76406752068698</c:v>
                </c:pt>
                <c:pt idx="56">
                  <c:v>296.78786940408617</c:v>
                </c:pt>
                <c:pt idx="57">
                  <c:v>305.80555499350123</c:v>
                </c:pt>
                <c:pt idx="58">
                  <c:v>314.81733022074968</c:v>
                </c:pt>
                <c:pt idx="59">
                  <c:v>323.82338825647292</c:v>
                </c:pt>
                <c:pt idx="60">
                  <c:v>332.82391064158543</c:v>
                </c:pt>
                <c:pt idx="61">
                  <c:v>295.27961937705624</c:v>
                </c:pt>
                <c:pt idx="62">
                  <c:v>303.19603692702043</c:v>
                </c:pt>
                <c:pt idx="63">
                  <c:v>311.10785626365026</c:v>
                </c:pt>
                <c:pt idx="64">
                  <c:v>319.01521092750278</c:v>
                </c:pt>
                <c:pt idx="65">
                  <c:v>326.91822729265635</c:v>
                </c:pt>
                <c:pt idx="66">
                  <c:v>334.81702511906929</c:v>
                </c:pt>
                <c:pt idx="67">
                  <c:v>342.71171805005548</c:v>
                </c:pt>
                <c:pt idx="68">
                  <c:v>350.60241406149657</c:v>
                </c:pt>
                <c:pt idx="69">
                  <c:v>358.4892158684782</c:v>
                </c:pt>
                <c:pt idx="70">
                  <c:v>366.37222129425163</c:v>
                </c:pt>
                <c:pt idx="71">
                  <c:v>319.22695486341257</c:v>
                </c:pt>
                <c:pt idx="72">
                  <c:v>325.98702192014736</c:v>
                </c:pt>
                <c:pt idx="73">
                  <c:v>332.74399255627156</c:v>
                </c:pt>
                <c:pt idx="74">
                  <c:v>339.49793858676009</c:v>
                </c:pt>
                <c:pt idx="75">
                  <c:v>346.2489287331145</c:v>
                </c:pt>
                <c:pt idx="76">
                  <c:v>352.99702881567652</c:v>
                </c:pt>
                <c:pt idx="77">
                  <c:v>359.74230193045855</c:v>
                </c:pt>
                <c:pt idx="78">
                  <c:v>366.48480861200733</c:v>
                </c:pt>
                <c:pt idx="79">
                  <c:v>373.22460698365103</c:v>
                </c:pt>
                <c:pt idx="80">
                  <c:v>379.96175289631816</c:v>
                </c:pt>
                <c:pt idx="81">
                  <c:v>343.17963401951494</c:v>
                </c:pt>
                <c:pt idx="82">
                  <c:v>349.00204812814195</c:v>
                </c:pt>
                <c:pt idx="83">
                  <c:v>354.82233108272385</c:v>
                </c:pt>
                <c:pt idx="84">
                  <c:v>360.64052281289787</c:v>
                </c:pt>
                <c:pt idx="85">
                  <c:v>366.45666185339746</c:v>
                </c:pt>
                <c:pt idx="86">
                  <c:v>372.27078541464448</c:v>
                </c:pt>
                <c:pt idx="87">
                  <c:v>378.08292944869754</c:v>
                </c:pt>
                <c:pt idx="88">
                  <c:v>383.89312871093108</c:v>
                </c:pt>
                <c:pt idx="89">
                  <c:v>389.70141681778205</c:v>
                </c:pt>
                <c:pt idx="90">
                  <c:v>395.5078263008723</c:v>
                </c:pt>
                <c:pt idx="91">
                  <c:v>357.65940426642766</c:v>
                </c:pt>
                <c:pt idx="92">
                  <c:v>362.67705994559395</c:v>
                </c:pt>
                <c:pt idx="93">
                  <c:v>367.69319830999831</c:v>
                </c:pt>
                <c:pt idx="94">
                  <c:v>372.70784300487713</c:v>
                </c:pt>
                <c:pt idx="95">
                  <c:v>377.72101698652563</c:v>
                </c:pt>
                <c:pt idx="96">
                  <c:v>382.73274255145543</c:v>
                </c:pt>
                <c:pt idx="97">
                  <c:v>387.74304136394403</c:v>
                </c:pt>
                <c:pt idx="98">
                  <c:v>392.75193448208393</c:v>
                </c:pt>
                <c:pt idx="99">
                  <c:v>397.7594423824342</c:v>
                </c:pt>
                <c:pt idx="100">
                  <c:v>402.76558498336334</c:v>
                </c:pt>
                <c:pt idx="101">
                  <c:v>171.08446567832164</c:v>
                </c:pt>
                <c:pt idx="102">
                  <c:v>173.67728261749457</c:v>
                </c:pt>
                <c:pt idx="103">
                  <c:v>176.26918957548196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1.9508946107432275</c:v>
                </c:pt>
                <c:pt idx="2">
                  <c:v>2.4541577777849692</c:v>
                </c:pt>
                <c:pt idx="3">
                  <c:v>3.0877594432242415</c:v>
                </c:pt>
                <c:pt idx="4">
                  <c:v>3.8855812951691147</c:v>
                </c:pt>
                <c:pt idx="5">
                  <c:v>4.8903432539889566</c:v>
                </c:pt>
                <c:pt idx="6">
                  <c:v>6.1559164125763592</c:v>
                </c:pt>
                <c:pt idx="7">
                  <c:v>7.7502430654644883</c:v>
                </c:pt>
                <c:pt idx="8">
                  <c:v>9.759023606181179</c:v>
                </c:pt>
                <c:pt idx="9">
                  <c:v>12.290372228750266</c:v>
                </c:pt>
                <c:pt idx="10">
                  <c:v>15.480696673450021</c:v>
                </c:pt>
                <c:pt idx="11">
                  <c:v>19.502124662623089</c:v>
                </c:pt>
                <c:pt idx="12">
                  <c:v>24.571884917422917</c:v>
                </c:pt>
                <c:pt idx="13">
                  <c:v>30.964158461385495</c:v>
                </c:pt>
                <c:pt idx="14">
                  <c:v>39.025052288726734</c:v>
                </c:pt>
                <c:pt idx="15">
                  <c:v>49.1915199822785</c:v>
                </c:pt>
                <c:pt idx="16">
                  <c:v>67.141068601994363</c:v>
                </c:pt>
                <c:pt idx="17">
                  <c:v>84.965895845508868</c:v>
                </c:pt>
                <c:pt idx="18">
                  <c:v>102.69609677832152</c:v>
                </c:pt>
                <c:pt idx="19">
                  <c:v>120.35039026570223</c:v>
                </c:pt>
                <c:pt idx="20">
                  <c:v>137.94151075020798</c:v>
                </c:pt>
                <c:pt idx="21">
                  <c:v>155.47866232925674</c:v>
                </c:pt>
                <c:pt idx="22">
                  <c:v>172.96879566591463</c:v>
                </c:pt>
                <c:pt idx="23">
                  <c:v>120.81303316585546</c:v>
                </c:pt>
                <c:pt idx="24">
                  <c:v>137.39493931950179</c:v>
                </c:pt>
                <c:pt idx="25">
                  <c:v>153.92869031769388</c:v>
                </c:pt>
                <c:pt idx="26">
                  <c:v>170.42019183619729</c:v>
                </c:pt>
                <c:pt idx="27">
                  <c:v>186.8741105331159</c:v>
                </c:pt>
                <c:pt idx="28">
                  <c:v>158.76051047616974</c:v>
                </c:pt>
                <c:pt idx="29">
                  <c:v>175.59896515661083</c:v>
                </c:pt>
                <c:pt idx="30">
                  <c:v>192.39950654022337</c:v>
                </c:pt>
                <c:pt idx="31">
                  <c:v>209.16591247422164</c:v>
                </c:pt>
                <c:pt idx="32">
                  <c:v>225.90130495746598</c:v>
                </c:pt>
                <c:pt idx="33">
                  <c:v>242.60830522574886</c:v>
                </c:pt>
                <c:pt idx="34">
                  <c:v>203.58097513744312</c:v>
                </c:pt>
                <c:pt idx="35">
                  <c:v>220.02792534458789</c:v>
                </c:pt>
                <c:pt idx="36">
                  <c:v>236.44664825214033</c:v>
                </c:pt>
                <c:pt idx="37">
                  <c:v>252.83938003643598</c:v>
                </c:pt>
                <c:pt idx="38">
                  <c:v>269.20804307840729</c:v>
                </c:pt>
                <c:pt idx="39">
                  <c:v>285.55430680854636</c:v>
                </c:pt>
                <c:pt idx="40">
                  <c:v>301.87963387321702</c:v>
                </c:pt>
                <c:pt idx="41">
                  <c:v>318.18531578207222</c:v>
                </c:pt>
                <c:pt idx="42">
                  <c:v>258.41598708702207</c:v>
                </c:pt>
                <c:pt idx="43">
                  <c:v>273.64897539352847</c:v>
                </c:pt>
                <c:pt idx="44">
                  <c:v>288.86291050410301</c:v>
                </c:pt>
                <c:pt idx="45">
                  <c:v>304.05893725366747</c:v>
                </c:pt>
                <c:pt idx="46">
                  <c:v>319.23807668113341</c:v>
                </c:pt>
                <c:pt idx="47">
                  <c:v>334.40124478994881</c:v>
                </c:pt>
                <c:pt idx="48">
                  <c:v>349.54926772624776</c:v>
                </c:pt>
                <c:pt idx="49">
                  <c:v>364.68289418741483</c:v>
                </c:pt>
                <c:pt idx="50">
                  <c:v>379.80280566271313</c:v>
                </c:pt>
                <c:pt idx="51">
                  <c:v>322.84049712168786</c:v>
                </c:pt>
                <c:pt idx="52">
                  <c:v>336.46900936276592</c:v>
                </c:pt>
                <c:pt idx="53">
                  <c:v>350.08536930552197</c:v>
                </c:pt>
                <c:pt idx="54">
                  <c:v>363.69011622210314</c:v>
                </c:pt>
                <c:pt idx="55">
                  <c:v>377.28374574247255</c:v>
                </c:pt>
                <c:pt idx="56">
                  <c:v>390.8667148646162</c:v>
                </c:pt>
                <c:pt idx="57">
                  <c:v>404.43944623185251</c:v>
                </c:pt>
                <c:pt idx="58">
                  <c:v>418.00233180594455</c:v>
                </c:pt>
                <c:pt idx="59">
                  <c:v>431.55573603859699</c:v>
                </c:pt>
                <c:pt idx="60">
                  <c:v>445.09999862375906</c:v>
                </c:pt>
                <c:pt idx="61">
                  <c:v>387.77711671492489</c:v>
                </c:pt>
                <c:pt idx="62">
                  <c:v>399.46857547560211</c:v>
                </c:pt>
                <c:pt idx="63">
                  <c:v>411.15262834415722</c:v>
                </c:pt>
                <c:pt idx="64">
                  <c:v>422.82951547202788</c:v>
                </c:pt>
                <c:pt idx="65">
                  <c:v>434.4994626626833</c:v>
                </c:pt>
                <c:pt idx="66">
                  <c:v>446.16268259938084</c:v>
                </c:pt>
                <c:pt idx="67">
                  <c:v>457.81937593784551</c:v>
                </c:pt>
                <c:pt idx="68">
                  <c:v>469.46973228186403</c:v>
                </c:pt>
                <c:pt idx="69">
                  <c:v>481.11393105699329</c:v>
                </c:pt>
                <c:pt idx="70">
                  <c:v>492.75214229528314</c:v>
                </c:pt>
                <c:pt idx="71">
                  <c:v>435.52165251525486</c:v>
                </c:pt>
                <c:pt idx="72">
                  <c:v>445.12148725674388</c:v>
                </c:pt>
                <c:pt idx="73">
                  <c:v>454.71688879830623</c:v>
                </c:pt>
                <c:pt idx="74">
                  <c:v>464.30796390444101</c:v>
                </c:pt>
                <c:pt idx="75">
                  <c:v>473.8948145679185</c:v>
                </c:pt>
                <c:pt idx="76">
                  <c:v>483.47753831734195</c:v>
                </c:pt>
                <c:pt idx="77">
                  <c:v>493.05622849905507</c:v>
                </c:pt>
                <c:pt idx="78">
                  <c:v>502.63097453599829</c:v>
                </c:pt>
                <c:pt idx="79">
                  <c:v>512.20186216581487</c:v>
                </c:pt>
                <c:pt idx="80">
                  <c:v>521.76897366023286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1.545384337885112</c:v>
                </c:pt>
                <c:pt idx="2">
                  <c:v>2.0594424300176861</c:v>
                </c:pt>
                <c:pt idx="3">
                  <c:v>2.7452192667189284</c:v>
                </c:pt>
                <c:pt idx="4">
                  <c:v>3.6603044649082057</c:v>
                </c:pt>
                <c:pt idx="5">
                  <c:v>4.8816731202633106</c:v>
                </c:pt>
                <c:pt idx="6">
                  <c:v>6.5122336202803943</c:v>
                </c:pt>
                <c:pt idx="7">
                  <c:v>8.689594084308613</c:v>
                </c:pt>
                <c:pt idx="8">
                  <c:v>11.597801346787515</c:v>
                </c:pt>
                <c:pt idx="9">
                  <c:v>15.483063261232511</c:v>
                </c:pt>
                <c:pt idx="10">
                  <c:v>20.674809684542026</c:v>
                </c:pt>
                <c:pt idx="11">
                  <c:v>27.613909825305683</c:v>
                </c:pt>
                <c:pt idx="12">
                  <c:v>36.890484021423227</c:v>
                </c:pt>
                <c:pt idx="13">
                  <c:v>49.294580596795633</c:v>
                </c:pt>
                <c:pt idx="14">
                  <c:v>65.884105961339586</c:v>
                </c:pt>
                <c:pt idx="15">
                  <c:v>88.075896259566719</c:v>
                </c:pt>
                <c:pt idx="16">
                  <c:v>117.7678328922068</c:v>
                </c:pt>
                <c:pt idx="17">
                  <c:v>157.50260848244861</c:v>
                </c:pt>
                <c:pt idx="18">
                  <c:v>179.70595518792945</c:v>
                </c:pt>
                <c:pt idx="19">
                  <c:v>132.97388983659252</c:v>
                </c:pt>
                <c:pt idx="20">
                  <c:v>152.86943896886694</c:v>
                </c:pt>
                <c:pt idx="21">
                  <c:v>172.70331237548908</c:v>
                </c:pt>
                <c:pt idx="22">
                  <c:v>192.48359588354273</c:v>
                </c:pt>
                <c:pt idx="23">
                  <c:v>212.21657377861251</c:v>
                </c:pt>
                <c:pt idx="24">
                  <c:v>231.90726431287155</c:v>
                </c:pt>
                <c:pt idx="25">
                  <c:v>213.00429846398242</c:v>
                </c:pt>
                <c:pt idx="26">
                  <c:v>234.75851000278365</c:v>
                </c:pt>
                <c:pt idx="27">
                  <c:v>256.46672277143176</c:v>
                </c:pt>
                <c:pt idx="28">
                  <c:v>278.13337690481899</c:v>
                </c:pt>
                <c:pt idx="29">
                  <c:v>299.7621639530588</c:v>
                </c:pt>
                <c:pt idx="30">
                  <c:v>321.35619915728893</c:v>
                </c:pt>
                <c:pt idx="31">
                  <c:v>280.85629757171887</c:v>
                </c:pt>
                <c:pt idx="32">
                  <c:v>302.53394335035017</c:v>
                </c:pt>
                <c:pt idx="33">
                  <c:v>324.17703159647129</c:v>
                </c:pt>
                <c:pt idx="34">
                  <c:v>345.78819272563675</c:v>
                </c:pt>
                <c:pt idx="35">
                  <c:v>367.36970159006069</c:v>
                </c:pt>
                <c:pt idx="36">
                  <c:v>388.9235440399566</c:v>
                </c:pt>
                <c:pt idx="37">
                  <c:v>344.73921004537561</c:v>
                </c:pt>
                <c:pt idx="38">
                  <c:v>365.88348121982995</c:v>
                </c:pt>
                <c:pt idx="39">
                  <c:v>387.00107705464347</c:v>
                </c:pt>
                <c:pt idx="40">
                  <c:v>408.09365696719084</c:v>
                </c:pt>
                <c:pt idx="41">
                  <c:v>429.16269492791668</c:v>
                </c:pt>
                <c:pt idx="42">
                  <c:v>450.20950845799757</c:v>
                </c:pt>
                <c:pt idx="43">
                  <c:v>401.57800498402798</c:v>
                </c:pt>
                <c:pt idx="44">
                  <c:v>421.90851607468539</c:v>
                </c:pt>
                <c:pt idx="45">
                  <c:v>442.21794178774491</c:v>
                </c:pt>
                <c:pt idx="46">
                  <c:v>462.50738609025535</c:v>
                </c:pt>
                <c:pt idx="47">
                  <c:v>482.77784825058984</c:v>
                </c:pt>
                <c:pt idx="48">
                  <c:v>503.03023683654936</c:v>
                </c:pt>
                <c:pt idx="49">
                  <c:v>446.02280074933924</c:v>
                </c:pt>
                <c:pt idx="50">
                  <c:v>465.26039693590161</c:v>
                </c:pt>
                <c:pt idx="51">
                  <c:v>484.48103896188763</c:v>
                </c:pt>
                <c:pt idx="52">
                  <c:v>503.68549366084079</c:v>
                </c:pt>
                <c:pt idx="53">
                  <c:v>522.87446466016388</c:v>
                </c:pt>
                <c:pt idx="54">
                  <c:v>542.04859976654836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2.8530458900838358</c:v>
                </c:pt>
                <c:pt idx="2">
                  <c:v>3.3039212099420436</c:v>
                </c:pt>
                <c:pt idx="3">
                  <c:v>3.8263060507819229</c:v>
                </c:pt>
                <c:pt idx="4">
                  <c:v>4.431580333413633</c:v>
                </c:pt>
                <c:pt idx="5">
                  <c:v>5.1329406942075515</c:v>
                </c:pt>
                <c:pt idx="6">
                  <c:v>5.945691362151531</c:v>
                </c:pt>
                <c:pt idx="7">
                  <c:v>6.887581735097335</c:v>
                </c:pt>
                <c:pt idx="8">
                  <c:v>7.9791981712630529</c:v>
                </c:pt>
                <c:pt idx="9">
                  <c:v>9.2444187244984306</c:v>
                </c:pt>
                <c:pt idx="10">
                  <c:v>10.71094096024798</c:v>
                </c:pt>
                <c:pt idx="11">
                  <c:v>12.410894625303198</c:v>
                </c:pt>
                <c:pt idx="12">
                  <c:v>14.381552845209095</c:v>
                </c:pt>
                <c:pt idx="13">
                  <c:v>16.666157731457787</c:v>
                </c:pt>
                <c:pt idx="14">
                  <c:v>19.314878846195473</c:v>
                </c:pt>
                <c:pt idx="15">
                  <c:v>22.385925953013096</c:v>
                </c:pt>
                <c:pt idx="16">
                  <c:v>25.946840945811488</c:v>
                </c:pt>
                <c:pt idx="17">
                  <c:v>30.07599787199096</c:v>
                </c:pt>
                <c:pt idx="18">
                  <c:v>34.864344642284394</c:v>
                </c:pt>
                <c:pt idx="19">
                  <c:v>40.417425453185118</c:v>
                </c:pt>
                <c:pt idx="20">
                  <c:v>46.85772926204951</c:v>
                </c:pt>
                <c:pt idx="21">
                  <c:v>53.997264050020341</c:v>
                </c:pt>
                <c:pt idx="22">
                  <c:v>61.11193021719297</c:v>
                </c:pt>
                <c:pt idx="23">
                  <c:v>68.20504112725159</c:v>
                </c:pt>
                <c:pt idx="24">
                  <c:v>75.279161153107964</c:v>
                </c:pt>
                <c:pt idx="25">
                  <c:v>82.336331256201902</c:v>
                </c:pt>
                <c:pt idx="26">
                  <c:v>89.378212635083344</c:v>
                </c:pt>
                <c:pt idx="27">
                  <c:v>96.406182465466884</c:v>
                </c:pt>
                <c:pt idx="28">
                  <c:v>103.4214001190029</c:v>
                </c:pt>
                <c:pt idx="29">
                  <c:v>110.42485439447108</c:v>
                </c:pt>
                <c:pt idx="30">
                  <c:v>117.41739809202973</c:v>
                </c:pt>
                <c:pt idx="31">
                  <c:v>106.39394697312774</c:v>
                </c:pt>
                <c:pt idx="32">
                  <c:v>114.45214701436738</c:v>
                </c:pt>
                <c:pt idx="33">
                  <c:v>122.49645924610248</c:v>
                </c:pt>
                <c:pt idx="34">
                  <c:v>130.52792583199741</c:v>
                </c:pt>
                <c:pt idx="35">
                  <c:v>138.54744992970467</c:v>
                </c:pt>
                <c:pt idx="36">
                  <c:v>146.55582138792067</c:v>
                </c:pt>
                <c:pt idx="37">
                  <c:v>154.55373651713788</c:v>
                </c:pt>
                <c:pt idx="38">
                  <c:v>162.54181354343521</c:v>
                </c:pt>
                <c:pt idx="39">
                  <c:v>170.52060485833434</c:v>
                </c:pt>
                <c:pt idx="40">
                  <c:v>178.49060685103368</c:v>
                </c:pt>
                <c:pt idx="41">
                  <c:v>150.76651294924488</c:v>
                </c:pt>
                <c:pt idx="42">
                  <c:v>158.75917749509551</c:v>
                </c:pt>
                <c:pt idx="43">
                  <c:v>166.7423022044338</c:v>
                </c:pt>
                <c:pt idx="44">
                  <c:v>174.71640889684599</c:v>
                </c:pt>
                <c:pt idx="45">
                  <c:v>182.68196779156222</c:v>
                </c:pt>
                <c:pt idx="46">
                  <c:v>190.63940468778446</c:v>
                </c:pt>
                <c:pt idx="47">
                  <c:v>198.58910688128825</c:v>
                </c:pt>
                <c:pt idx="48">
                  <c:v>206.53142808247776</c:v>
                </c:pt>
                <c:pt idx="49">
                  <c:v>214.46669253715814</c:v>
                </c:pt>
                <c:pt idx="50">
                  <c:v>222.39519850462258</c:v>
                </c:pt>
                <c:pt idx="51">
                  <c:v>192.94141347040133</c:v>
                </c:pt>
                <c:pt idx="52">
                  <c:v>201.09798978871825</c:v>
                </c:pt>
                <c:pt idx="53">
                  <c:v>209.24690241829512</c:v>
                </c:pt>
                <c:pt idx="54">
                  <c:v>217.38849228051936</c:v>
                </c:pt>
                <c:pt idx="55">
                  <c:v>225.52307264142624</c:v>
                </c:pt>
                <c:pt idx="56">
                  <c:v>233.65093229382555</c:v>
                </c:pt>
                <c:pt idx="57">
                  <c:v>241.77233827291846</c:v>
                </c:pt>
                <c:pt idx="58">
                  <c:v>249.88753818750442</c:v>
                </c:pt>
                <c:pt idx="59">
                  <c:v>257.9967622321725</c:v>
                </c:pt>
                <c:pt idx="60">
                  <c:v>266.10022493300397</c:v>
                </c:pt>
                <c:pt idx="61">
                  <c:v>232.19256837318724</c:v>
                </c:pt>
                <c:pt idx="62">
                  <c:v>239.89872721876361</c:v>
                </c:pt>
                <c:pt idx="63">
                  <c:v>247.59925035462186</c:v>
                </c:pt>
                <c:pt idx="64">
                  <c:v>255.29433798898617</c:v>
                </c:pt>
                <c:pt idx="65">
                  <c:v>262.98417726074234</c:v>
                </c:pt>
                <c:pt idx="66">
                  <c:v>270.6689434582824</c:v>
                </c:pt>
                <c:pt idx="67">
                  <c:v>278.3488010925501</c:v>
                </c:pt>
                <c:pt idx="68">
                  <c:v>286.02390484535346</c:v>
                </c:pt>
                <c:pt idx="69">
                  <c:v>293.69440041047329</c:v>
                </c:pt>
                <c:pt idx="70">
                  <c:v>301.36042524223012</c:v>
                </c:pt>
                <c:pt idx="71">
                  <c:v>266.93103161478717</c:v>
                </c:pt>
                <c:pt idx="72">
                  <c:v>273.99055606211823</c:v>
                </c:pt>
                <c:pt idx="73">
                  <c:v>281.04599322042537</c:v>
                </c:pt>
                <c:pt idx="74">
                  <c:v>288.09746029565309</c:v>
                </c:pt>
                <c:pt idx="75">
                  <c:v>295.14506828119107</c:v>
                </c:pt>
                <c:pt idx="76">
                  <c:v>302.18892243096451</c:v>
                </c:pt>
                <c:pt idx="77">
                  <c:v>309.22912268606916</c:v>
                </c:pt>
                <c:pt idx="78">
                  <c:v>316.26576406048815</c:v>
                </c:pt>
                <c:pt idx="79">
                  <c:v>323.29893699066071</c:v>
                </c:pt>
                <c:pt idx="80">
                  <c:v>330.32872765301573</c:v>
                </c:pt>
                <c:pt idx="81">
                  <c:v>297.42436812094394</c:v>
                </c:pt>
                <c:pt idx="82">
                  <c:v>303.84576526452736</c:v>
                </c:pt>
                <c:pt idx="83">
                  <c:v>310.2641438699784</c:v>
                </c:pt>
                <c:pt idx="84">
                  <c:v>316.67957526595029</c:v>
                </c:pt>
                <c:pt idx="85">
                  <c:v>323.09212765183327</c:v>
                </c:pt>
                <c:pt idx="86">
                  <c:v>329.50186629581282</c:v>
                </c:pt>
                <c:pt idx="87">
                  <c:v>335.90885371669873</c:v>
                </c:pt>
                <c:pt idx="88">
                  <c:v>342.31314985114523</c:v>
                </c:pt>
                <c:pt idx="89">
                  <c:v>348.7148122076938</c:v>
                </c:pt>
                <c:pt idx="90">
                  <c:v>355.11389600890431</c:v>
                </c:pt>
                <c:pt idx="91">
                  <c:v>323.91934746238644</c:v>
                </c:pt>
                <c:pt idx="92">
                  <c:v>329.91530269151457</c:v>
                </c:pt>
                <c:pt idx="93">
                  <c:v>335.90885371669873</c:v>
                </c:pt>
                <c:pt idx="94">
                  <c:v>341.90004953828526</c:v>
                </c:pt>
                <c:pt idx="95">
                  <c:v>347.88893729723378</c:v>
                </c:pt>
                <c:pt idx="96">
                  <c:v>353.8755623771869</c:v>
                </c:pt>
                <c:pt idx="97">
                  <c:v>359.85996849926727</c:v>
                </c:pt>
                <c:pt idx="98">
                  <c:v>365.84219781023461</c:v>
                </c:pt>
                <c:pt idx="99">
                  <c:v>371.82229096457166</c:v>
                </c:pt>
                <c:pt idx="100">
                  <c:v>377.80028720100813</c:v>
                </c:pt>
                <c:pt idx="101">
                  <c:v>346.65004418592645</c:v>
                </c:pt>
                <c:pt idx="102">
                  <c:v>352.63713376572537</c:v>
                </c:pt>
                <c:pt idx="103">
                  <c:v>358.62199547388735</c:v>
                </c:pt>
                <c:pt idx="104">
                  <c:v>364.60467177597525</c:v>
                </c:pt>
                <c:pt idx="105">
                  <c:v>370.58520362876374</c:v>
                </c:pt>
                <c:pt idx="106">
                  <c:v>376.56363055787489</c:v>
                </c:pt>
                <c:pt idx="107">
                  <c:v>382.53999073022356</c:v>
                </c:pt>
                <c:pt idx="108">
                  <c:v>388.5143210216952</c:v>
                </c:pt>
                <c:pt idx="109">
                  <c:v>394.48665708044115</c:v>
                </c:pt>
                <c:pt idx="110">
                  <c:v>400.45703338613868</c:v>
                </c:pt>
                <c:pt idx="111">
                  <c:v>367.49209034996039</c:v>
                </c:pt>
                <c:pt idx="112">
                  <c:v>373.67775378131802</c:v>
                </c:pt>
                <c:pt idx="113">
                  <c:v>379.86118591400549</c:v>
                </c:pt>
                <c:pt idx="114">
                  <c:v>386.04242822867786</c:v>
                </c:pt>
                <c:pt idx="115">
                  <c:v>392.22152076799506</c:v>
                </c:pt>
                <c:pt idx="116">
                  <c:v>398.39850220884665</c:v>
                </c:pt>
                <c:pt idx="117">
                  <c:v>404.57340992986138</c:v>
                </c:pt>
                <c:pt idx="118">
                  <c:v>410.74628007457659</c:v>
                </c:pt>
                <c:pt idx="119">
                  <c:v>416.9171476106103</c:v>
                </c:pt>
                <c:pt idx="120">
                  <c:v>423.08604638514629</c:v>
                </c:pt>
                <c:pt idx="121">
                  <c:v>381.92184132571992</c:v>
                </c:pt>
                <c:pt idx="122">
                  <c:v>381.92184132571992</c:v>
                </c:pt>
                <c:pt idx="123">
                  <c:v>381.92184132571992</c:v>
                </c:pt>
                <c:pt idx="124">
                  <c:v>381.92184132571992</c:v>
                </c:pt>
                <c:pt idx="125">
                  <c:v>381.92184132571992</c:v>
                </c:pt>
                <c:pt idx="126">
                  <c:v>381.92184132571992</c:v>
                </c:pt>
                <c:pt idx="127">
                  <c:v>381.92184132571992</c:v>
                </c:pt>
                <c:pt idx="128">
                  <c:v>381.92184132571992</c:v>
                </c:pt>
                <c:pt idx="129">
                  <c:v>381.92184132571992</c:v>
                </c:pt>
                <c:pt idx="130">
                  <c:v>381.92184132571992</c:v>
                </c:pt>
                <c:pt idx="131">
                  <c:v>381.92184132571992</c:v>
                </c:pt>
                <c:pt idx="132">
                  <c:v>381.92184132571992</c:v>
                </c:pt>
                <c:pt idx="133">
                  <c:v>381.92184132571992</c:v>
                </c:pt>
                <c:pt idx="134">
                  <c:v>381.92184132571992</c:v>
                </c:pt>
                <c:pt idx="135">
                  <c:v>381.92184132571992</c:v>
                </c:pt>
                <c:pt idx="136">
                  <c:v>381.92184132571992</c:v>
                </c:pt>
                <c:pt idx="137">
                  <c:v>381.92184132571992</c:v>
                </c:pt>
                <c:pt idx="138">
                  <c:v>381.92184132571992</c:v>
                </c:pt>
                <c:pt idx="139">
                  <c:v>381.92184132571992</c:v>
                </c:pt>
                <c:pt idx="140">
                  <c:v>381.92184132571992</c:v>
                </c:pt>
                <c:pt idx="141">
                  <c:v>381.92184132571992</c:v>
                </c:pt>
                <c:pt idx="142">
                  <c:v>381.92184132571992</c:v>
                </c:pt>
                <c:pt idx="143">
                  <c:v>381.92184132571992</c:v>
                </c:pt>
                <c:pt idx="144">
                  <c:v>381.92184132571992</c:v>
                </c:pt>
                <c:pt idx="145">
                  <c:v>381.92184132571992</c:v>
                </c:pt>
                <c:pt idx="146">
                  <c:v>381.92184132571992</c:v>
                </c:pt>
                <c:pt idx="147">
                  <c:v>381.92184132571992</c:v>
                </c:pt>
                <c:pt idx="148">
                  <c:v>381.92184132571992</c:v>
                </c:pt>
                <c:pt idx="149">
                  <c:v>381.92184132571992</c:v>
                </c:pt>
                <c:pt idx="150">
                  <c:v>381.92184132571992</c:v>
                </c:pt>
                <c:pt idx="151">
                  <c:v>381.92184132571992</c:v>
                </c:pt>
                <c:pt idx="152">
                  <c:v>381.92184132571992</c:v>
                </c:pt>
                <c:pt idx="153">
                  <c:v>381.92184132571992</c:v>
                </c:pt>
                <c:pt idx="154">
                  <c:v>381.92184132571992</c:v>
                </c:pt>
                <c:pt idx="155">
                  <c:v>381.92184132571992</c:v>
                </c:pt>
                <c:pt idx="156">
                  <c:v>381.92184132571992</c:v>
                </c:pt>
                <c:pt idx="157">
                  <c:v>381.92184132571992</c:v>
                </c:pt>
                <c:pt idx="158">
                  <c:v>381.92184132571992</c:v>
                </c:pt>
                <c:pt idx="159">
                  <c:v>381.92184132571992</c:v>
                </c:pt>
                <c:pt idx="160">
                  <c:v>381.92184132571992</c:v>
                </c:pt>
                <c:pt idx="161">
                  <c:v>381.92184132571992</c:v>
                </c:pt>
                <c:pt idx="162">
                  <c:v>381.92184132571992</c:v>
                </c:pt>
                <c:pt idx="163">
                  <c:v>381.92184132571992</c:v>
                </c:pt>
                <c:pt idx="164">
                  <c:v>381.92184132571992</c:v>
                </c:pt>
                <c:pt idx="165">
                  <c:v>381.92184132571992</c:v>
                </c:pt>
                <c:pt idx="166">
                  <c:v>381.92184132571992</c:v>
                </c:pt>
                <c:pt idx="167">
                  <c:v>381.92184132571992</c:v>
                </c:pt>
                <c:pt idx="168">
                  <c:v>381.92184132571992</c:v>
                </c:pt>
                <c:pt idx="169">
                  <c:v>381.92184132571992</c:v>
                </c:pt>
                <c:pt idx="170">
                  <c:v>381.92184132571992</c:v>
                </c:pt>
                <c:pt idx="171">
                  <c:v>381.92184132571992</c:v>
                </c:pt>
                <c:pt idx="172">
                  <c:v>381.92184132571992</c:v>
                </c:pt>
                <c:pt idx="173">
                  <c:v>381.92184132571992</c:v>
                </c:pt>
                <c:pt idx="174">
                  <c:v>381.92184132571992</c:v>
                </c:pt>
                <c:pt idx="175">
                  <c:v>381.92184132571992</c:v>
                </c:pt>
                <c:pt idx="176">
                  <c:v>381.92184132571992</c:v>
                </c:pt>
                <c:pt idx="177">
                  <c:v>381.92184132571992</c:v>
                </c:pt>
                <c:pt idx="178">
                  <c:v>381.92184132571992</c:v>
                </c:pt>
                <c:pt idx="179">
                  <c:v>381.92184132571992</c:v>
                </c:pt>
                <c:pt idx="180">
                  <c:v>381.92184132571992</c:v>
                </c:pt>
                <c:pt idx="181">
                  <c:v>381.92184132571992</c:v>
                </c:pt>
                <c:pt idx="182">
                  <c:v>381.92184132571992</c:v>
                </c:pt>
                <c:pt idx="183">
                  <c:v>381.92184132571992</c:v>
                </c:pt>
                <c:pt idx="184">
                  <c:v>381.92184132571992</c:v>
                </c:pt>
                <c:pt idx="185">
                  <c:v>381.92184132571992</c:v>
                </c:pt>
                <c:pt idx="186">
                  <c:v>381.92184132571992</c:v>
                </c:pt>
                <c:pt idx="187">
                  <c:v>381.92184132571992</c:v>
                </c:pt>
                <c:pt idx="188">
                  <c:v>381.92184132571992</c:v>
                </c:pt>
                <c:pt idx="189">
                  <c:v>381.92184132571992</c:v>
                </c:pt>
                <c:pt idx="190">
                  <c:v>381.92184132571992</c:v>
                </c:pt>
                <c:pt idx="191">
                  <c:v>381.92184132571992</c:v>
                </c:pt>
                <c:pt idx="192">
                  <c:v>381.92184132571992</c:v>
                </c:pt>
                <c:pt idx="193">
                  <c:v>381.92184132571992</c:v>
                </c:pt>
                <c:pt idx="194">
                  <c:v>381.92184132571992</c:v>
                </c:pt>
                <c:pt idx="195">
                  <c:v>381.92184132571992</c:v>
                </c:pt>
                <c:pt idx="196">
                  <c:v>381.92184132571992</c:v>
                </c:pt>
                <c:pt idx="197">
                  <c:v>381.92184132571992</c:v>
                </c:pt>
                <c:pt idx="198">
                  <c:v>381.92184132571992</c:v>
                </c:pt>
                <c:pt idx="199">
                  <c:v>381.92184132571992</c:v>
                </c:pt>
                <c:pt idx="200">
                  <c:v>381.92184132571992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2.1267425626404166</c:v>
                </c:pt>
                <c:pt idx="2">
                  <c:v>2.6113033444158478</c:v>
                </c:pt>
                <c:pt idx="3">
                  <c:v>3.2066929820822483</c:v>
                </c:pt>
                <c:pt idx="4">
                  <c:v>3.9383522466078311</c:v>
                </c:pt>
                <c:pt idx="5">
                  <c:v>4.837581633726594</c:v>
                </c:pt>
                <c:pt idx="6">
                  <c:v>5.9428952681111182</c:v>
                </c:pt>
                <c:pt idx="7">
                  <c:v>7.3016885377372143</c:v>
                </c:pt>
                <c:pt idx="8">
                  <c:v>8.9722923501024479</c:v>
                </c:pt>
                <c:pt idx="9">
                  <c:v>11.026503878575264</c:v>
                </c:pt>
                <c:pt idx="10">
                  <c:v>13.552704606353993</c:v>
                </c:pt>
                <c:pt idx="11">
                  <c:v>16.659702304068958</c:v>
                </c:pt>
                <c:pt idx="12">
                  <c:v>20.48146543886924</c:v>
                </c:pt>
                <c:pt idx="13">
                  <c:v>25.182957819894042</c:v>
                </c:pt>
                <c:pt idx="14">
                  <c:v>30.967329780360515</c:v>
                </c:pt>
                <c:pt idx="15">
                  <c:v>38.084782031878483</c:v>
                </c:pt>
                <c:pt idx="16">
                  <c:v>46.843492158551534</c:v>
                </c:pt>
                <c:pt idx="17">
                  <c:v>57.623084826795569</c:v>
                </c:pt>
                <c:pt idx="18">
                  <c:v>70.891239221245428</c:v>
                </c:pt>
                <c:pt idx="19">
                  <c:v>87.224165978006326</c:v>
                </c:pt>
                <c:pt idx="20">
                  <c:v>107.33185714845045</c:v>
                </c:pt>
                <c:pt idx="21">
                  <c:v>92.440417535208709</c:v>
                </c:pt>
                <c:pt idx="22">
                  <c:v>104.09280280992657</c:v>
                </c:pt>
                <c:pt idx="23">
                  <c:v>115.71294725246356</c:v>
                </c:pt>
                <c:pt idx="24">
                  <c:v>127.30454982664817</c:v>
                </c:pt>
                <c:pt idx="25">
                  <c:v>138.87057896251073</c:v>
                </c:pt>
                <c:pt idx="26">
                  <c:v>150.41346709462951</c:v>
                </c:pt>
                <c:pt idx="27">
                  <c:v>161.93524209822169</c:v>
                </c:pt>
                <c:pt idx="28">
                  <c:v>173.4376192251149</c:v>
                </c:pt>
                <c:pt idx="29">
                  <c:v>184.92206730027257</c:v>
                </c:pt>
                <c:pt idx="30">
                  <c:v>196.38985757072433</c:v>
                </c:pt>
                <c:pt idx="31">
                  <c:v>152.31085748839175</c:v>
                </c:pt>
                <c:pt idx="32">
                  <c:v>164.99466444586508</c:v>
                </c:pt>
                <c:pt idx="33">
                  <c:v>177.65544090327509</c:v>
                </c:pt>
                <c:pt idx="34">
                  <c:v>190.29506050529335</c:v>
                </c:pt>
                <c:pt idx="35">
                  <c:v>202.91512736140427</c:v>
                </c:pt>
                <c:pt idx="36">
                  <c:v>215.5170295411389</c:v>
                </c:pt>
                <c:pt idx="37">
                  <c:v>228.10197937735384</c:v>
                </c:pt>
                <c:pt idx="38">
                  <c:v>240.67104439435138</c:v>
                </c:pt>
                <c:pt idx="39">
                  <c:v>253.22517142759932</c:v>
                </c:pt>
                <c:pt idx="40">
                  <c:v>265.76520570407035</c:v>
                </c:pt>
                <c:pt idx="41">
                  <c:v>209.1458448219461</c:v>
                </c:pt>
                <c:pt idx="42">
                  <c:v>221.88388047112758</c:v>
                </c:pt>
                <c:pt idx="43">
                  <c:v>234.60514077955409</c:v>
                </c:pt>
                <c:pt idx="44">
                  <c:v>247.31066393125744</c:v>
                </c:pt>
                <c:pt idx="45">
                  <c:v>260.00137265549102</c:v>
                </c:pt>
                <c:pt idx="46">
                  <c:v>272.67809219613241</c:v>
                </c:pt>
                <c:pt idx="47">
                  <c:v>285.34156476136314</c:v>
                </c:pt>
                <c:pt idx="48">
                  <c:v>297.99246127187001</c:v>
                </c:pt>
                <c:pt idx="49">
                  <c:v>310.6313910082286</c:v>
                </c:pt>
                <c:pt idx="50">
                  <c:v>323.25890960508161</c:v>
                </c:pt>
                <c:pt idx="51">
                  <c:v>259.13655029971625</c:v>
                </c:pt>
                <c:pt idx="52">
                  <c:v>271.23823623053107</c:v>
                </c:pt>
                <c:pt idx="53">
                  <c:v>283.32777917829992</c:v>
                </c:pt>
                <c:pt idx="54">
                  <c:v>295.40577049938929</c:v>
                </c:pt>
                <c:pt idx="55">
                  <c:v>307.47274922302068</c:v>
                </c:pt>
                <c:pt idx="56">
                  <c:v>319.52920859735246</c:v>
                </c:pt>
                <c:pt idx="57">
                  <c:v>331.57560159538241</c:v>
                </c:pt>
                <c:pt idx="58">
                  <c:v>343.61234557851338</c:v>
                </c:pt>
                <c:pt idx="59">
                  <c:v>355.63982627225022</c:v>
                </c:pt>
                <c:pt idx="60">
                  <c:v>367.65840117579245</c:v>
                </c:pt>
                <c:pt idx="61">
                  <c:v>301.58425810607827</c:v>
                </c:pt>
                <c:pt idx="62">
                  <c:v>312.92813674795326</c:v>
                </c:pt>
                <c:pt idx="63">
                  <c:v>324.26289679369751</c:v>
                </c:pt>
                <c:pt idx="64">
                  <c:v>335.58890203834693</c:v>
                </c:pt>
                <c:pt idx="65">
                  <c:v>346.90648970669787</c:v>
                </c:pt>
                <c:pt idx="66">
                  <c:v>358.21597321598944</c:v>
                </c:pt>
                <c:pt idx="67">
                  <c:v>369.51764457134669</c:v>
                </c:pt>
                <c:pt idx="68">
                  <c:v>380.81177645277194</c:v>
                </c:pt>
                <c:pt idx="69">
                  <c:v>392.09862404156002</c:v>
                </c:pt>
                <c:pt idx="70">
                  <c:v>403.37842662539197</c:v>
                </c:pt>
                <c:pt idx="71">
                  <c:v>338.0250320233921</c:v>
                </c:pt>
                <c:pt idx="72">
                  <c:v>348.48170670735544</c:v>
                </c:pt>
                <c:pt idx="73">
                  <c:v>358.93149748554174</c:v>
                </c:pt>
                <c:pt idx="74">
                  <c:v>369.37463311055052</c:v>
                </c:pt>
                <c:pt idx="75">
                  <c:v>379.81132833930855</c:v>
                </c:pt>
                <c:pt idx="76">
                  <c:v>390.24178515868539</c:v>
                </c:pt>
                <c:pt idx="77">
                  <c:v>400.6661938731977</c:v>
                </c:pt>
                <c:pt idx="78">
                  <c:v>411.08473407358173</c:v>
                </c:pt>
                <c:pt idx="79">
                  <c:v>421.49757550203185</c:v>
                </c:pt>
                <c:pt idx="80">
                  <c:v>431.90487882746362</c:v>
                </c:pt>
                <c:pt idx="81">
                  <c:v>368.37351902098612</c:v>
                </c:pt>
                <c:pt idx="82">
                  <c:v>377.66731760316748</c:v>
                </c:pt>
                <c:pt idx="83">
                  <c:v>386.95613821648561</c:v>
                </c:pt>
                <c:pt idx="84">
                  <c:v>396.24011726494069</c:v>
                </c:pt>
                <c:pt idx="85">
                  <c:v>405.51938423600359</c:v>
                </c:pt>
                <c:pt idx="86">
                  <c:v>414.79406220499732</c:v>
                </c:pt>
                <c:pt idx="87">
                  <c:v>424.06426829200262</c:v>
                </c:pt>
                <c:pt idx="88">
                  <c:v>433.33011407671597</c:v>
                </c:pt>
                <c:pt idx="89">
                  <c:v>442.59170597596631</c:v>
                </c:pt>
                <c:pt idx="90">
                  <c:v>451.84914558797851</c:v>
                </c:pt>
                <c:pt idx="91">
                  <c:v>393.09838129270651</c:v>
                </c:pt>
                <c:pt idx="92">
                  <c:v>401.37997774727069</c:v>
                </c:pt>
                <c:pt idx="93">
                  <c:v>409.65787734799045</c:v>
                </c:pt>
                <c:pt idx="94">
                  <c:v>417.93216537382659</c:v>
                </c:pt>
                <c:pt idx="95">
                  <c:v>426.20292344968533</c:v>
                </c:pt>
                <c:pt idx="96">
                  <c:v>434.47022977240545</c:v>
                </c:pt>
                <c:pt idx="97">
                  <c:v>442.73415931864457</c:v>
                </c:pt>
                <c:pt idx="98">
                  <c:v>450.9947840364282</c:v>
                </c:pt>
                <c:pt idx="99">
                  <c:v>459.2521730219317</c:v>
                </c:pt>
                <c:pt idx="100">
                  <c:v>467.50639268287995</c:v>
                </c:pt>
                <c:pt idx="101">
                  <c:v>413.79546762331188</c:v>
                </c:pt>
                <c:pt idx="102">
                  <c:v>421.35497160818039</c:v>
                </c:pt>
                <c:pt idx="103">
                  <c:v>428.91155541604172</c:v>
                </c:pt>
                <c:pt idx="104">
                  <c:v>436.46527778190324</c:v>
                </c:pt>
                <c:pt idx="105">
                  <c:v>444.01619524073749</c:v>
                </c:pt>
                <c:pt idx="106">
                  <c:v>451.56436224672308</c:v>
                </c:pt>
                <c:pt idx="107">
                  <c:v>459.10983128409163</c:v>
                </c:pt>
                <c:pt idx="108">
                  <c:v>466.65265297030766</c:v>
                </c:pt>
                <c:pt idx="109">
                  <c:v>474.19287615222612</c:v>
                </c:pt>
                <c:pt idx="110">
                  <c:v>481.73054799581541</c:v>
                </c:pt>
                <c:pt idx="111">
                  <c:v>431.33475645394896</c:v>
                </c:pt>
                <c:pt idx="112">
                  <c:v>437.89019219663459</c:v>
                </c:pt>
                <c:pt idx="113">
                  <c:v>444.44352291137534</c:v>
                </c:pt>
                <c:pt idx="114">
                  <c:v>450.99478403642848</c:v>
                </c:pt>
                <c:pt idx="115">
                  <c:v>457.5440098958091</c:v>
                </c:pt>
                <c:pt idx="116">
                  <c:v>464.09123375012331</c:v>
                </c:pt>
                <c:pt idx="117">
                  <c:v>470.63648784438351</c:v>
                </c:pt>
                <c:pt idx="118">
                  <c:v>477.17980345302357</c:v>
                </c:pt>
                <c:pt idx="119">
                  <c:v>483.72121092231441</c:v>
                </c:pt>
                <c:pt idx="120">
                  <c:v>490.26073971036709</c:v>
                </c:pt>
                <c:pt idx="121">
                  <c:v>437.60521728369798</c:v>
                </c:pt>
                <c:pt idx="122">
                  <c:v>437.60521728369798</c:v>
                </c:pt>
                <c:pt idx="123">
                  <c:v>437.60521728369798</c:v>
                </c:pt>
                <c:pt idx="124">
                  <c:v>437.60521728369798</c:v>
                </c:pt>
                <c:pt idx="125">
                  <c:v>437.60521728369798</c:v>
                </c:pt>
                <c:pt idx="126">
                  <c:v>437.60521728369798</c:v>
                </c:pt>
                <c:pt idx="127">
                  <c:v>437.60521728369798</c:v>
                </c:pt>
                <c:pt idx="128">
                  <c:v>437.60521728369798</c:v>
                </c:pt>
                <c:pt idx="129">
                  <c:v>437.60521728369798</c:v>
                </c:pt>
                <c:pt idx="130">
                  <c:v>437.60521728369798</c:v>
                </c:pt>
                <c:pt idx="131">
                  <c:v>437.60521728369798</c:v>
                </c:pt>
                <c:pt idx="132">
                  <c:v>437.60521728369798</c:v>
                </c:pt>
                <c:pt idx="133">
                  <c:v>437.60521728369798</c:v>
                </c:pt>
                <c:pt idx="134">
                  <c:v>437.60521728369798</c:v>
                </c:pt>
                <c:pt idx="135">
                  <c:v>437.60521728369798</c:v>
                </c:pt>
                <c:pt idx="136">
                  <c:v>437.60521728369798</c:v>
                </c:pt>
                <c:pt idx="137">
                  <c:v>437.60521728369798</c:v>
                </c:pt>
                <c:pt idx="138">
                  <c:v>437.60521728369798</c:v>
                </c:pt>
                <c:pt idx="139">
                  <c:v>437.60521728369798</c:v>
                </c:pt>
                <c:pt idx="140">
                  <c:v>437.60521728369798</c:v>
                </c:pt>
                <c:pt idx="141">
                  <c:v>437.60521728369798</c:v>
                </c:pt>
                <c:pt idx="142">
                  <c:v>437.60521728369798</c:v>
                </c:pt>
                <c:pt idx="143">
                  <c:v>437.60521728369798</c:v>
                </c:pt>
                <c:pt idx="144">
                  <c:v>437.60521728369798</c:v>
                </c:pt>
                <c:pt idx="145">
                  <c:v>437.60521728369798</c:v>
                </c:pt>
                <c:pt idx="146">
                  <c:v>437.60521728369798</c:v>
                </c:pt>
                <c:pt idx="147">
                  <c:v>437.60521728369798</c:v>
                </c:pt>
                <c:pt idx="148">
                  <c:v>437.60521728369798</c:v>
                </c:pt>
                <c:pt idx="149">
                  <c:v>437.60521728369798</c:v>
                </c:pt>
                <c:pt idx="150">
                  <c:v>437.60521728369798</c:v>
                </c:pt>
                <c:pt idx="151">
                  <c:v>437.60521728369798</c:v>
                </c:pt>
                <c:pt idx="152">
                  <c:v>437.60521728369798</c:v>
                </c:pt>
                <c:pt idx="153">
                  <c:v>437.60521728369798</c:v>
                </c:pt>
                <c:pt idx="154">
                  <c:v>437.60521728369798</c:v>
                </c:pt>
                <c:pt idx="155">
                  <c:v>437.60521728369798</c:v>
                </c:pt>
                <c:pt idx="156">
                  <c:v>437.60521728369798</c:v>
                </c:pt>
                <c:pt idx="157">
                  <c:v>437.60521728369798</c:v>
                </c:pt>
                <c:pt idx="158">
                  <c:v>437.60521728369798</c:v>
                </c:pt>
                <c:pt idx="159">
                  <c:v>437.60521728369798</c:v>
                </c:pt>
                <c:pt idx="160">
                  <c:v>437.60521728369798</c:v>
                </c:pt>
                <c:pt idx="161">
                  <c:v>437.60521728369798</c:v>
                </c:pt>
                <c:pt idx="162">
                  <c:v>437.60521728369798</c:v>
                </c:pt>
                <c:pt idx="163">
                  <c:v>437.60521728369798</c:v>
                </c:pt>
                <c:pt idx="164">
                  <c:v>437.60521728369798</c:v>
                </c:pt>
                <c:pt idx="165">
                  <c:v>437.60521728369798</c:v>
                </c:pt>
                <c:pt idx="166">
                  <c:v>437.60521728369798</c:v>
                </c:pt>
                <c:pt idx="167">
                  <c:v>437.60521728369798</c:v>
                </c:pt>
                <c:pt idx="168">
                  <c:v>437.60521728369798</c:v>
                </c:pt>
                <c:pt idx="169">
                  <c:v>437.60521728369798</c:v>
                </c:pt>
                <c:pt idx="170">
                  <c:v>437.60521728369798</c:v>
                </c:pt>
                <c:pt idx="171">
                  <c:v>437.60521728369798</c:v>
                </c:pt>
                <c:pt idx="172">
                  <c:v>437.60521728369798</c:v>
                </c:pt>
                <c:pt idx="173">
                  <c:v>437.60521728369798</c:v>
                </c:pt>
                <c:pt idx="174">
                  <c:v>437.60521728369798</c:v>
                </c:pt>
                <c:pt idx="175">
                  <c:v>437.60521728369798</c:v>
                </c:pt>
                <c:pt idx="176">
                  <c:v>437.60521728369798</c:v>
                </c:pt>
                <c:pt idx="177">
                  <c:v>437.60521728369798</c:v>
                </c:pt>
                <c:pt idx="178">
                  <c:v>437.60521728369798</c:v>
                </c:pt>
                <c:pt idx="179">
                  <c:v>437.60521728369798</c:v>
                </c:pt>
                <c:pt idx="180">
                  <c:v>437.60521728369798</c:v>
                </c:pt>
                <c:pt idx="181">
                  <c:v>437.60521728369798</c:v>
                </c:pt>
                <c:pt idx="182">
                  <c:v>437.60521728369798</c:v>
                </c:pt>
                <c:pt idx="183">
                  <c:v>437.60521728369798</c:v>
                </c:pt>
                <c:pt idx="184">
                  <c:v>437.60521728369798</c:v>
                </c:pt>
                <c:pt idx="185">
                  <c:v>437.60521728369798</c:v>
                </c:pt>
                <c:pt idx="186">
                  <c:v>437.60521728369798</c:v>
                </c:pt>
                <c:pt idx="187">
                  <c:v>437.60521728369798</c:v>
                </c:pt>
                <c:pt idx="188">
                  <c:v>437.60521728369798</c:v>
                </c:pt>
                <c:pt idx="189">
                  <c:v>437.60521728369798</c:v>
                </c:pt>
                <c:pt idx="190">
                  <c:v>437.60521728369798</c:v>
                </c:pt>
                <c:pt idx="191">
                  <c:v>437.60521728369798</c:v>
                </c:pt>
                <c:pt idx="192">
                  <c:v>437.60521728369798</c:v>
                </c:pt>
                <c:pt idx="193">
                  <c:v>437.60521728369798</c:v>
                </c:pt>
                <c:pt idx="194">
                  <c:v>437.60521728369798</c:v>
                </c:pt>
                <c:pt idx="195">
                  <c:v>437.60521728369798</c:v>
                </c:pt>
                <c:pt idx="196">
                  <c:v>437.60521728369798</c:v>
                </c:pt>
                <c:pt idx="197">
                  <c:v>437.60521728369798</c:v>
                </c:pt>
                <c:pt idx="198">
                  <c:v>437.60521728369798</c:v>
                </c:pt>
                <c:pt idx="199">
                  <c:v>437.60521728369798</c:v>
                </c:pt>
                <c:pt idx="200">
                  <c:v>437.60521728369798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abSelected="1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70" t="s">
        <v>291</v>
      </c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</row>
    <row r="13" spans="2:13" ht="15" customHeight="1" x14ac:dyDescent="0.25">
      <c r="B13" s="270"/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</row>
    <row r="14" spans="2:13" ht="15" customHeight="1" x14ac:dyDescent="0.25">
      <c r="B14" s="270"/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</row>
    <row r="15" spans="2:13" ht="18.75" customHeight="1" x14ac:dyDescent="0.25">
      <c r="B15" s="270"/>
      <c r="C15" s="270"/>
      <c r="D15" s="270"/>
      <c r="E15" s="270"/>
      <c r="F15" s="270"/>
      <c r="G15" s="270"/>
      <c r="H15" s="270"/>
      <c r="I15" s="270"/>
      <c r="J15" s="270"/>
      <c r="K15" s="270"/>
      <c r="L15" s="270"/>
      <c r="M15" s="270"/>
    </row>
    <row r="16" spans="2:13" ht="18.75" customHeight="1" x14ac:dyDescent="0.25">
      <c r="B16" s="270"/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</row>
    <row r="18" spans="2:13" ht="12" customHeight="1" x14ac:dyDescent="0.25">
      <c r="B18" s="270" t="s">
        <v>292</v>
      </c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</row>
    <row r="19" spans="2:13" ht="12" customHeight="1" x14ac:dyDescent="0.25">
      <c r="B19" s="270"/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</row>
    <row r="20" spans="2:13" ht="12" customHeight="1" x14ac:dyDescent="0.25">
      <c r="B20" s="270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</row>
    <row r="21" spans="2:13" ht="12" customHeight="1" x14ac:dyDescent="0.25"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0"/>
    </row>
    <row r="22" spans="2:13" ht="12" customHeight="1" x14ac:dyDescent="0.25">
      <c r="B22" s="270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</row>
    <row r="23" spans="2:13" ht="12" customHeight="1" x14ac:dyDescent="0.25"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</row>
    <row r="24" spans="2:13" ht="12" customHeight="1" x14ac:dyDescent="0.25"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</row>
    <row r="25" spans="2:13" ht="12" customHeight="1" x14ac:dyDescent="0.25"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270"/>
    </row>
    <row r="26" spans="2:13" ht="12" customHeight="1" x14ac:dyDescent="0.25"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270"/>
    </row>
    <row r="27" spans="2:13" ht="12" customHeight="1" x14ac:dyDescent="0.25">
      <c r="B27" s="270"/>
      <c r="C27" s="270"/>
      <c r="D27" s="270"/>
      <c r="E27" s="270"/>
      <c r="F27" s="270"/>
      <c r="G27" s="270"/>
      <c r="H27" s="270"/>
      <c r="I27" s="270"/>
      <c r="J27" s="270"/>
      <c r="K27" s="270"/>
      <c r="L27" s="270"/>
      <c r="M27" s="270"/>
    </row>
    <row r="28" spans="2:13" ht="12" customHeight="1" x14ac:dyDescent="0.25">
      <c r="B28" s="270"/>
      <c r="C28" s="270"/>
      <c r="D28" s="270"/>
      <c r="E28" s="270"/>
      <c r="F28" s="270"/>
      <c r="G28" s="270"/>
      <c r="H28" s="270"/>
      <c r="I28" s="270"/>
      <c r="J28" s="270"/>
      <c r="K28" s="270"/>
      <c r="L28" s="270"/>
      <c r="M28" s="270"/>
    </row>
    <row r="29" spans="2:13" ht="12" customHeight="1" x14ac:dyDescent="0.25">
      <c r="B29" s="270"/>
      <c r="C29" s="270"/>
      <c r="D29" s="270"/>
      <c r="E29" s="270"/>
      <c r="F29" s="270"/>
      <c r="G29" s="270"/>
      <c r="H29" s="270"/>
      <c r="I29" s="270"/>
      <c r="J29" s="270"/>
      <c r="K29" s="270"/>
      <c r="L29" s="270"/>
      <c r="M29" s="270"/>
    </row>
    <row r="30" spans="2:13" ht="12" customHeight="1" x14ac:dyDescent="0.25">
      <c r="B30" s="270"/>
      <c r="C30" s="270"/>
      <c r="D30" s="270"/>
      <c r="E30" s="270"/>
      <c r="F30" s="270"/>
      <c r="G30" s="270"/>
      <c r="H30" s="270"/>
      <c r="I30" s="270"/>
      <c r="J30" s="270"/>
      <c r="K30" s="270"/>
      <c r="L30" s="270"/>
      <c r="M30" s="270"/>
    </row>
    <row r="31" spans="2:13" ht="12" customHeight="1" x14ac:dyDescent="0.25">
      <c r="B31" s="270"/>
      <c r="C31" s="270"/>
      <c r="D31" s="270"/>
      <c r="E31" s="270"/>
      <c r="F31" s="270"/>
      <c r="G31" s="270"/>
      <c r="H31" s="270"/>
      <c r="I31" s="270"/>
      <c r="J31" s="270"/>
      <c r="K31" s="270"/>
      <c r="L31" s="270"/>
      <c r="M31" s="27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60" zoomScale="80" zoomScaleNormal="80" workbookViewId="0">
      <selection activeCell="E18" sqref="E18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7" t="s">
        <v>190</v>
      </c>
      <c r="D1" s="257"/>
      <c r="E1" s="25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2" t="s">
        <v>192</v>
      </c>
      <c r="C3" s="263"/>
      <c r="D3" s="263"/>
      <c r="E3" s="263"/>
      <c r="F3" s="264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7" t="s">
        <v>231</v>
      </c>
      <c r="B5" s="267"/>
      <c r="C5" s="24">
        <v>25.59</v>
      </c>
      <c r="D5" s="268" t="s">
        <v>229</v>
      </c>
      <c r="E5" s="269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6" t="s">
        <v>226</v>
      </c>
      <c r="B7" s="266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14</v>
      </c>
      <c r="C9" s="32">
        <v>0.25</v>
      </c>
      <c r="D9" s="33">
        <f t="shared" ref="D9:D18" si="0">C9*$C$5</f>
        <v>6.3975</v>
      </c>
      <c r="E9" s="34">
        <v>131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14</v>
      </c>
      <c r="C10" s="32">
        <v>0.22</v>
      </c>
      <c r="D10" s="33">
        <f t="shared" si="0"/>
        <v>5.6298000000000004</v>
      </c>
      <c r="E10" s="34">
        <v>161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164</v>
      </c>
      <c r="C11" s="32">
        <v>0.11</v>
      </c>
      <c r="D11" s="33">
        <f t="shared" si="0"/>
        <v>2.8149000000000002</v>
      </c>
      <c r="E11" s="34">
        <v>105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27</v>
      </c>
      <c r="C12" s="32">
        <v>0.11</v>
      </c>
      <c r="D12" s="33">
        <f t="shared" si="0"/>
        <v>2.8149000000000002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41</v>
      </c>
      <c r="C13" s="32">
        <v>0.09</v>
      </c>
      <c r="D13" s="33">
        <f t="shared" si="0"/>
        <v>2.3030999999999997</v>
      </c>
      <c r="E13" s="34">
        <v>103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 t="s">
        <v>35</v>
      </c>
      <c r="C14" s="32">
        <v>7.0000000000000007E-2</v>
      </c>
      <c r="D14" s="33">
        <f t="shared" si="0"/>
        <v>1.7913000000000001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 t="s">
        <v>156</v>
      </c>
      <c r="C15" s="32">
        <v>0.06</v>
      </c>
      <c r="D15" s="33">
        <f t="shared" si="0"/>
        <v>1.5353999999999999</v>
      </c>
      <c r="E15" s="34">
        <v>54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 t="s">
        <v>1</v>
      </c>
      <c r="C16" s="32">
        <v>0.05</v>
      </c>
      <c r="D16" s="33">
        <f t="shared" si="0"/>
        <v>1.2795000000000001</v>
      </c>
      <c r="E16" s="34">
        <v>120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 t="s">
        <v>50</v>
      </c>
      <c r="C17" s="32">
        <v>0.04</v>
      </c>
      <c r="D17" s="33">
        <f t="shared" si="0"/>
        <v>1.0236000000000001</v>
      </c>
      <c r="E17" s="34">
        <v>120</v>
      </c>
      <c r="F17" s="35" t="str">
        <f t="array" ref="F17">IF(E17="","",IF(INDEX(A:A,MAX(IF(ISNUMBER($A$244:$A$263),ROW($A$244:$A$263),"")))&lt;&gt;E17,"Corrigez : révolution incorrecte","OK"))</f>
        <v>OK</v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25.589999999999996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6" t="s">
        <v>227</v>
      </c>
      <c r="B30" s="266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30</v>
      </c>
      <c r="B36" s="60">
        <f>190.14/1.56</f>
        <v>121.88461538461537</v>
      </c>
      <c r="C36" s="60"/>
      <c r="D36" s="60"/>
      <c r="E36" s="51"/>
      <c r="F36" s="51"/>
      <c r="G36" s="51"/>
      <c r="H36" s="51"/>
      <c r="I36" s="49">
        <f>IFERROR(B36/A36,"")</f>
        <v>4.0628205128205126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35</v>
      </c>
      <c r="B37" s="60">
        <f>252.98/1.56</f>
        <v>162.16666666666666</v>
      </c>
      <c r="C37" s="60">
        <v>1</v>
      </c>
      <c r="D37" s="60">
        <f>94.54/1.56</f>
        <v>60.602564102564102</v>
      </c>
      <c r="E37" s="51"/>
      <c r="F37" s="51"/>
      <c r="G37" s="51"/>
      <c r="H37" s="51"/>
      <c r="I37" s="53">
        <f t="shared" ref="I37:I55" si="1">IF(A37&lt;&gt;0,(B37-(B36-D36))/(A37-A36),"")</f>
        <v>8.0564102564102562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41</v>
      </c>
      <c r="B38" s="60">
        <f>245.62/1.56</f>
        <v>157.44871794871796</v>
      </c>
      <c r="C38" s="60">
        <v>2</v>
      </c>
      <c r="D38" s="60">
        <f>60.08/1.56</f>
        <v>38.512820512820511</v>
      </c>
      <c r="E38" s="51"/>
      <c r="F38" s="51"/>
      <c r="G38" s="51"/>
      <c r="H38" s="51"/>
      <c r="I38" s="53">
        <f t="shared" si="1"/>
        <v>9.3141025641025674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48</v>
      </c>
      <c r="B39" s="60">
        <f>287.59/1.56</f>
        <v>184.35256410256409</v>
      </c>
      <c r="C39" s="60">
        <v>3</v>
      </c>
      <c r="D39" s="60">
        <f>74.92/1.56</f>
        <v>48.025641025641022</v>
      </c>
      <c r="E39" s="51"/>
      <c r="F39" s="51"/>
      <c r="G39" s="51"/>
      <c r="H39" s="51"/>
      <c r="I39" s="49">
        <f t="shared" si="1"/>
        <v>9.3452380952380913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55</v>
      </c>
      <c r="B40" s="60">
        <f>309.57/1.56</f>
        <v>198.44230769230768</v>
      </c>
      <c r="C40" s="60">
        <v>4</v>
      </c>
      <c r="D40" s="60">
        <f>70.43/1.56</f>
        <v>45.147435897435898</v>
      </c>
      <c r="E40" s="51"/>
      <c r="F40" s="51"/>
      <c r="G40" s="51"/>
      <c r="H40" s="51"/>
      <c r="I40" s="49">
        <f t="shared" si="1"/>
        <v>8.8736263736263741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63</v>
      </c>
      <c r="B41" s="60">
        <f>343.65/1.56</f>
        <v>220.28846153846152</v>
      </c>
      <c r="C41" s="60">
        <v>5</v>
      </c>
      <c r="D41" s="60">
        <f>65.09/1.56</f>
        <v>41.724358974358978</v>
      </c>
      <c r="E41" s="51"/>
      <c r="F41" s="51"/>
      <c r="G41" s="51"/>
      <c r="H41" s="51"/>
      <c r="I41" s="53">
        <f t="shared" si="1"/>
        <v>8.374198717948719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71</v>
      </c>
      <c r="B42" s="60">
        <f>379.65/1.56</f>
        <v>243.36538461538458</v>
      </c>
      <c r="C42" s="60">
        <v>6</v>
      </c>
      <c r="D42" s="60">
        <f>62.3/1.56</f>
        <v>39.935897435897431</v>
      </c>
      <c r="E42" s="51"/>
      <c r="F42" s="51"/>
      <c r="G42" s="51"/>
      <c r="H42" s="51"/>
      <c r="I42" s="53">
        <f t="shared" si="1"/>
        <v>8.1001602564102555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80</v>
      </c>
      <c r="B43" s="60">
        <f>427.46/1.56</f>
        <v>274.0128205128205</v>
      </c>
      <c r="C43" s="60">
        <v>7</v>
      </c>
      <c r="D43" s="60">
        <f>71.15/1.56</f>
        <v>45.608974358974358</v>
      </c>
      <c r="E43" s="51"/>
      <c r="F43" s="51"/>
      <c r="G43" s="51"/>
      <c r="H43" s="51"/>
      <c r="I43" s="49">
        <f t="shared" si="1"/>
        <v>7.8425925925925934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89</v>
      </c>
      <c r="B44" s="60">
        <f>461.54/1.56</f>
        <v>295.85897435897436</v>
      </c>
      <c r="C44" s="60">
        <v>8</v>
      </c>
      <c r="D44" s="60">
        <f>77.05/1.56</f>
        <v>49.391025641025635</v>
      </c>
      <c r="E44" s="51"/>
      <c r="F44" s="51"/>
      <c r="G44" s="51"/>
      <c r="H44" s="51"/>
      <c r="I44" s="49">
        <f t="shared" si="1"/>
        <v>7.4950142450142483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99</v>
      </c>
      <c r="B45" s="60">
        <f>496.47/1.56</f>
        <v>318.25</v>
      </c>
      <c r="C45" s="60">
        <v>9</v>
      </c>
      <c r="D45" s="60">
        <f>74.91/1.56</f>
        <v>48.019230769230766</v>
      </c>
      <c r="E45" s="51"/>
      <c r="F45" s="51"/>
      <c r="G45" s="51"/>
      <c r="H45" s="51"/>
      <c r="I45" s="49">
        <f t="shared" si="1"/>
        <v>7.1782051282051267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>
        <v>109</v>
      </c>
      <c r="B46" s="60">
        <f>530.66/1.56</f>
        <v>340.16666666666663</v>
      </c>
      <c r="C46" s="60">
        <v>10</v>
      </c>
      <c r="D46" s="60">
        <f>80.01/1.56</f>
        <v>51.28846153846154</v>
      </c>
      <c r="E46" s="51"/>
      <c r="F46" s="51"/>
      <c r="G46" s="51"/>
      <c r="H46" s="51"/>
      <c r="I46" s="49">
        <f t="shared" si="1"/>
        <v>6.9935897435897401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>
        <v>119</v>
      </c>
      <c r="B47" s="60">
        <f>557.45/1.56</f>
        <v>357.33974358974359</v>
      </c>
      <c r="C47" s="60">
        <v>11</v>
      </c>
      <c r="D47" s="60">
        <f>234.04/1.56</f>
        <v>150.02564102564102</v>
      </c>
      <c r="E47" s="51"/>
      <c r="F47" s="51"/>
      <c r="G47" s="51"/>
      <c r="H47" s="51"/>
      <c r="I47" s="49">
        <f t="shared" si="1"/>
        <v>6.8461538461538511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>
        <v>123</v>
      </c>
      <c r="B48" s="60">
        <f>347.31/1.56</f>
        <v>222.63461538461539</v>
      </c>
      <c r="C48" s="60">
        <v>12</v>
      </c>
      <c r="D48" s="60">
        <f>120.39/1.56</f>
        <v>77.17307692307692</v>
      </c>
      <c r="E48" s="51"/>
      <c r="F48" s="51"/>
      <c r="G48" s="51"/>
      <c r="H48" s="51"/>
      <c r="I48" s="49">
        <f t="shared" si="1"/>
        <v>3.8301282051282044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>
        <v>127</v>
      </c>
      <c r="B49" s="60">
        <f>241.49/1.56</f>
        <v>154.80128205128204</v>
      </c>
      <c r="C49" s="60">
        <v>13</v>
      </c>
      <c r="D49" s="60">
        <f>77.87/1.56</f>
        <v>49.916666666666671</v>
      </c>
      <c r="E49" s="51"/>
      <c r="F49" s="51"/>
      <c r="G49" s="51"/>
      <c r="H49" s="51"/>
      <c r="I49" s="49">
        <f t="shared" si="1"/>
        <v>2.3349358974358978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>
        <v>131</v>
      </c>
      <c r="B50" s="50">
        <f>173.02/1.56</f>
        <v>110.91025641025641</v>
      </c>
      <c r="C50" s="50">
        <v>14</v>
      </c>
      <c r="D50" s="50">
        <f>173.02/1.56</f>
        <v>110.91025641025641</v>
      </c>
      <c r="E50" s="51"/>
      <c r="F50" s="51"/>
      <c r="G50" s="51"/>
      <c r="H50" s="51"/>
      <c r="I50" s="49">
        <f t="shared" si="1"/>
        <v>1.5064102564102591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Chêne sessile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30</v>
      </c>
      <c r="B62" s="60">
        <f>136.82/1.56</f>
        <v>87.705128205128204</v>
      </c>
      <c r="C62" s="60"/>
      <c r="D62" s="60"/>
      <c r="E62" s="51"/>
      <c r="F62" s="51"/>
      <c r="G62" s="51"/>
      <c r="H62" s="51"/>
      <c r="I62" s="53">
        <f>IFERROR(B62/A62,"")</f>
        <v>2.9235042735042733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44</v>
      </c>
      <c r="B63" s="60">
        <f>253.38/1.56</f>
        <v>162.42307692307691</v>
      </c>
      <c r="C63" s="60">
        <v>1</v>
      </c>
      <c r="D63" s="60">
        <f>100.49/1.56</f>
        <v>64.416666666666657</v>
      </c>
      <c r="E63" s="51"/>
      <c r="F63" s="51"/>
      <c r="G63" s="51"/>
      <c r="H63" s="51"/>
      <c r="I63" s="49">
        <f>IF(A63&lt;&gt;0,(B63-(B62-D62))/(A63-A62),"")</f>
        <v>5.3369963369963358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51</v>
      </c>
      <c r="B64" s="60">
        <f>227.43/1.56</f>
        <v>145.78846153846155</v>
      </c>
      <c r="C64" s="60">
        <v>2</v>
      </c>
      <c r="D64" s="60">
        <f>58.79/1.56</f>
        <v>37.685897435897431</v>
      </c>
      <c r="E64" s="51"/>
      <c r="F64" s="51"/>
      <c r="G64" s="51"/>
      <c r="H64" s="51"/>
      <c r="I64" s="49">
        <f>IF(A64&lt;&gt;0,(B64-(B63-D63))/(A64-A63),"")</f>
        <v>6.8260073260073284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59</v>
      </c>
      <c r="B65" s="60">
        <f>248.44/1.56</f>
        <v>159.25641025641025</v>
      </c>
      <c r="C65" s="60">
        <v>3</v>
      </c>
      <c r="D65" s="60">
        <f>60.75/1.56</f>
        <v>38.942307692307693</v>
      </c>
      <c r="E65" s="51"/>
      <c r="F65" s="51"/>
      <c r="G65" s="51"/>
      <c r="H65" s="51"/>
      <c r="I65" s="49">
        <f>IF(A65&lt;&gt;0,(B65-(B64-D64))/(A65-A64),"")</f>
        <v>6.3942307692307665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67</v>
      </c>
      <c r="B66" s="60">
        <f>261.86/1.56</f>
        <v>167.85897435897436</v>
      </c>
      <c r="C66" s="60">
        <v>4</v>
      </c>
      <c r="D66" s="60">
        <f>49.91/1.56</f>
        <v>31.993589743589741</v>
      </c>
      <c r="E66" s="51"/>
      <c r="F66" s="51"/>
      <c r="G66" s="51"/>
      <c r="H66" s="51"/>
      <c r="I66" s="49">
        <f t="shared" ref="I66:I81" si="2">IF(A66&lt;&gt;0,(B66-(B65-D65))/(A66-A65),"")</f>
        <v>5.9431089743589762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75</v>
      </c>
      <c r="B67" s="60">
        <f>282.96/1.56</f>
        <v>181.38461538461536</v>
      </c>
      <c r="C67" s="60">
        <v>5</v>
      </c>
      <c r="D67" s="60">
        <f>48.23/1.56</f>
        <v>30.916666666666664</v>
      </c>
      <c r="E67" s="51"/>
      <c r="F67" s="51"/>
      <c r="G67" s="51"/>
      <c r="H67" s="51"/>
      <c r="I67" s="49">
        <f t="shared" si="2"/>
        <v>5.6899038461538431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84</v>
      </c>
      <c r="B68" s="60">
        <f>312.01/1.56</f>
        <v>200.00641025641025</v>
      </c>
      <c r="C68" s="60">
        <v>6</v>
      </c>
      <c r="D68" s="60">
        <f>54.73/1.56</f>
        <v>35.083333333333329</v>
      </c>
      <c r="E68" s="51"/>
      <c r="F68" s="51"/>
      <c r="G68" s="51"/>
      <c r="H68" s="51"/>
      <c r="I68" s="49">
        <f t="shared" si="2"/>
        <v>5.5042735042735051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93</v>
      </c>
      <c r="B69" s="50">
        <f>331.14/1.56</f>
        <v>212.26923076923075</v>
      </c>
      <c r="C69" s="50">
        <v>7</v>
      </c>
      <c r="D69" s="50">
        <f>46.93/1.56</f>
        <v>30.083333333333332</v>
      </c>
      <c r="E69" s="51"/>
      <c r="F69" s="51"/>
      <c r="G69" s="51"/>
      <c r="H69" s="51"/>
      <c r="I69" s="49">
        <f t="shared" si="2"/>
        <v>5.2606837606837598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103</v>
      </c>
      <c r="B70" s="50">
        <f>366.24/1.56</f>
        <v>234.76923076923077</v>
      </c>
      <c r="C70" s="50">
        <v>8</v>
      </c>
      <c r="D70" s="50">
        <f>61.64/1.56</f>
        <v>39.512820512820511</v>
      </c>
      <c r="E70" s="51"/>
      <c r="F70" s="51"/>
      <c r="G70" s="51"/>
      <c r="H70" s="51"/>
      <c r="I70" s="49">
        <f t="shared" si="2"/>
        <v>5.2583333333333373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113</v>
      </c>
      <c r="B71" s="50">
        <f>384.1/1.56</f>
        <v>246.21794871794873</v>
      </c>
      <c r="C71" s="50">
        <v>9</v>
      </c>
      <c r="D71" s="50">
        <f>49.3/1.56</f>
        <v>31.602564102564099</v>
      </c>
      <c r="E71" s="51"/>
      <c r="F71" s="51"/>
      <c r="G71" s="51"/>
      <c r="H71" s="51"/>
      <c r="I71" s="49">
        <f t="shared" si="2"/>
        <v>5.0961538461538449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>
        <v>125</v>
      </c>
      <c r="B72" s="50">
        <f>434.14/1.56</f>
        <v>278.29487179487177</v>
      </c>
      <c r="C72" s="50">
        <v>10</v>
      </c>
      <c r="D72" s="50">
        <f>75.13/1.56</f>
        <v>48.160256410256409</v>
      </c>
      <c r="E72" s="51"/>
      <c r="F72" s="51"/>
      <c r="G72" s="51"/>
      <c r="H72" s="51"/>
      <c r="I72" s="49">
        <f t="shared" si="2"/>
        <v>5.3066239316239274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>
        <v>137</v>
      </c>
      <c r="B73" s="50">
        <f>457.19/1.56</f>
        <v>293.07051282051282</v>
      </c>
      <c r="C73" s="50">
        <v>11</v>
      </c>
      <c r="D73" s="50">
        <f>79.81/1.56</f>
        <v>51.160256410256409</v>
      </c>
      <c r="E73" s="51"/>
      <c r="F73" s="51"/>
      <c r="G73" s="51"/>
      <c r="H73" s="51"/>
      <c r="I73" s="49">
        <f t="shared" si="2"/>
        <v>5.2446581196581219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>
        <v>149</v>
      </c>
      <c r="B74" s="50">
        <f>472.97/1.56</f>
        <v>303.18589743589746</v>
      </c>
      <c r="C74" s="50">
        <v>12</v>
      </c>
      <c r="D74" s="50">
        <f>187.99/1.56</f>
        <v>120.50641025641026</v>
      </c>
      <c r="E74" s="51"/>
      <c r="F74" s="51"/>
      <c r="G74" s="51"/>
      <c r="H74" s="51"/>
      <c r="I74" s="49">
        <f t="shared" si="2"/>
        <v>5.1063034188034209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>
        <v>153</v>
      </c>
      <c r="B75" s="50">
        <f>304.29/1.56</f>
        <v>195.05769230769232</v>
      </c>
      <c r="C75" s="50">
        <v>13</v>
      </c>
      <c r="D75" s="50">
        <f>109.38/1.56</f>
        <v>70.115384615384613</v>
      </c>
      <c r="E75" s="51"/>
      <c r="F75" s="51"/>
      <c r="G75" s="51"/>
      <c r="H75" s="51"/>
      <c r="I75" s="49">
        <f t="shared" si="2"/>
        <v>3.0945512820512846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>
        <v>157</v>
      </c>
      <c r="B76" s="50">
        <f>206.59/1.56</f>
        <v>132.42948717948718</v>
      </c>
      <c r="C76" s="50">
        <v>14</v>
      </c>
      <c r="D76" s="50">
        <f>71.31/1.56</f>
        <v>45.71153846153846</v>
      </c>
      <c r="E76" s="51"/>
      <c r="F76" s="51"/>
      <c r="G76" s="51"/>
      <c r="H76" s="51"/>
      <c r="I76" s="49">
        <f t="shared" si="2"/>
        <v>1.8717948717948687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>
        <v>161</v>
      </c>
      <c r="B77" s="50">
        <f>142.53/1.56</f>
        <v>91.365384615384613</v>
      </c>
      <c r="C77" s="50">
        <v>15</v>
      </c>
      <c r="D77" s="50">
        <f>142.53/1.56</f>
        <v>91.365384615384613</v>
      </c>
      <c r="E77" s="51"/>
      <c r="F77" s="51"/>
      <c r="G77" s="51"/>
      <c r="H77" s="51"/>
      <c r="I77" s="49">
        <f t="shared" si="2"/>
        <v>1.1618589743589709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Cèdre de l'Atlas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30</v>
      </c>
      <c r="B88" s="60">
        <f>281.83/1.3</f>
        <v>216.79230769230767</v>
      </c>
      <c r="C88" s="60"/>
      <c r="D88" s="60"/>
      <c r="E88" s="51"/>
      <c r="F88" s="51"/>
      <c r="G88" s="51"/>
      <c r="H88" s="87"/>
      <c r="I88" s="53">
        <f>IFERROR(B88/A88,"")</f>
        <v>7.2264102564102561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42</v>
      </c>
      <c r="B89" s="60">
        <f>533.48/1.3</f>
        <v>410.3692307692308</v>
      </c>
      <c r="C89" s="60">
        <v>1</v>
      </c>
      <c r="D89" s="60">
        <f>233.8/1.3</f>
        <v>179.84615384615384</v>
      </c>
      <c r="E89" s="51"/>
      <c r="F89" s="51"/>
      <c r="G89" s="51"/>
      <c r="H89" s="87"/>
      <c r="I89" s="53">
        <f t="shared" ref="I89:I107" si="3">IF(A89&lt;&gt;0,(B89-(B88-D88))/(A89-A88),"")</f>
        <v>16.131410256410259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49</v>
      </c>
      <c r="B90" s="60">
        <f>441.81/1.3</f>
        <v>339.85384615384612</v>
      </c>
      <c r="C90" s="60">
        <v>2</v>
      </c>
      <c r="D90" s="60">
        <f>122.82/1.3</f>
        <v>94.476923076923072</v>
      </c>
      <c r="E90" s="87"/>
      <c r="F90" s="87"/>
      <c r="G90" s="87"/>
      <c r="H90" s="87"/>
      <c r="I90" s="53">
        <f t="shared" si="3"/>
        <v>15.618681318681309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56</v>
      </c>
      <c r="B91" s="60">
        <f>452.47/1.3</f>
        <v>348.05384615384617</v>
      </c>
      <c r="C91" s="60">
        <v>3</v>
      </c>
      <c r="D91" s="60">
        <f>94.6/1.3</f>
        <v>72.769230769230759</v>
      </c>
      <c r="E91" s="87"/>
      <c r="F91" s="87"/>
      <c r="G91" s="87"/>
      <c r="H91" s="87"/>
      <c r="I91" s="53">
        <f t="shared" si="3"/>
        <v>14.668131868131875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63</v>
      </c>
      <c r="B92" s="60">
        <f>487.73/1.3</f>
        <v>375.17692307692306</v>
      </c>
      <c r="C92" s="60">
        <v>4</v>
      </c>
      <c r="D92" s="60">
        <f>92.46/1.3</f>
        <v>71.123076923076923</v>
      </c>
      <c r="E92" s="87"/>
      <c r="F92" s="87"/>
      <c r="G92" s="87"/>
      <c r="H92" s="87"/>
      <c r="I92" s="53">
        <f t="shared" si="3"/>
        <v>14.270329670329668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71</v>
      </c>
      <c r="B93" s="60">
        <f>538.14/1.3</f>
        <v>413.95384615384614</v>
      </c>
      <c r="C93" s="60">
        <v>5</v>
      </c>
      <c r="D93" s="60">
        <f>104.52/1.3</f>
        <v>80.399999999999991</v>
      </c>
      <c r="E93" s="87"/>
      <c r="F93" s="87"/>
      <c r="G93" s="87"/>
      <c r="H93" s="87"/>
      <c r="I93" s="53">
        <f t="shared" si="3"/>
        <v>13.737499999999997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79</v>
      </c>
      <c r="B94" s="60">
        <f>567.92/1.3</f>
        <v>436.86153846153843</v>
      </c>
      <c r="C94" s="60">
        <v>6</v>
      </c>
      <c r="D94" s="60">
        <f>100.54/1.3</f>
        <v>77.338461538461544</v>
      </c>
      <c r="E94" s="87"/>
      <c r="F94" s="87"/>
      <c r="G94" s="87"/>
      <c r="H94" s="87"/>
      <c r="I94" s="53">
        <f t="shared" si="3"/>
        <v>12.913461538461533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87</v>
      </c>
      <c r="B95" s="60">
        <v>456.51538461538462</v>
      </c>
      <c r="C95" s="60">
        <v>7</v>
      </c>
      <c r="D95" s="60">
        <v>77.330769230769235</v>
      </c>
      <c r="E95" s="87"/>
      <c r="F95" s="87"/>
      <c r="G95" s="87"/>
      <c r="H95" s="87"/>
      <c r="I95" s="53">
        <f t="shared" si="3"/>
        <v>12.124038461538468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95</v>
      </c>
      <c r="B96" s="60">
        <v>469.12307692307689</v>
      </c>
      <c r="C96" s="60">
        <v>8</v>
      </c>
      <c r="D96" s="60">
        <v>234.42307692307691</v>
      </c>
      <c r="E96" s="87"/>
      <c r="F96" s="87"/>
      <c r="G96" s="87"/>
      <c r="H96" s="87"/>
      <c r="I96" s="53">
        <f t="shared" si="3"/>
        <v>11.242307692307691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>
        <v>105</v>
      </c>
      <c r="B97" s="60">
        <v>309.71538461538461</v>
      </c>
      <c r="C97" s="60">
        <v>9</v>
      </c>
      <c r="D97" s="60">
        <v>309.71538461538461</v>
      </c>
      <c r="E97" s="87"/>
      <c r="F97" s="87"/>
      <c r="G97" s="87"/>
      <c r="H97" s="87"/>
      <c r="I97" s="53">
        <f t="shared" si="3"/>
        <v>7.5015384615384617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Mélèze d'Europe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20</v>
      </c>
      <c r="B114" s="60">
        <v>158</v>
      </c>
      <c r="C114" s="50">
        <v>1</v>
      </c>
      <c r="D114" s="60">
        <v>60</v>
      </c>
      <c r="E114" s="51"/>
      <c r="F114" s="51">
        <v>0.5</v>
      </c>
      <c r="G114" s="51">
        <v>0.5</v>
      </c>
      <c r="H114" s="51"/>
      <c r="I114" s="53">
        <f>IFERROR(B114/A114,"")</f>
        <v>7.9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30</v>
      </c>
      <c r="B115" s="60">
        <v>263</v>
      </c>
      <c r="C115" s="50">
        <v>2</v>
      </c>
      <c r="D115" s="60">
        <v>84</v>
      </c>
      <c r="E115" s="51">
        <v>0.2</v>
      </c>
      <c r="F115" s="51">
        <v>0.4</v>
      </c>
      <c r="G115" s="51">
        <v>0.4</v>
      </c>
      <c r="H115" s="51"/>
      <c r="I115" s="53">
        <f t="shared" ref="I115:I133" si="4">IF(A115&lt;&gt;0,(B115-(B114-D114))/(A115-A114),"")</f>
        <v>16.5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40</v>
      </c>
      <c r="B116" s="60">
        <v>330</v>
      </c>
      <c r="C116" s="50">
        <v>3</v>
      </c>
      <c r="D116" s="60">
        <v>82</v>
      </c>
      <c r="E116" s="51"/>
      <c r="F116" s="51"/>
      <c r="G116" s="51"/>
      <c r="H116" s="51"/>
      <c r="I116" s="53">
        <f t="shared" si="4"/>
        <v>15.1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50</v>
      </c>
      <c r="B117" s="60">
        <v>372</v>
      </c>
      <c r="C117" s="50">
        <v>4</v>
      </c>
      <c r="D117" s="60">
        <v>68</v>
      </c>
      <c r="E117" s="51"/>
      <c r="F117" s="51"/>
      <c r="G117" s="51"/>
      <c r="H117" s="51"/>
      <c r="I117" s="53">
        <f t="shared" si="4"/>
        <v>12.4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60</v>
      </c>
      <c r="B118" s="60">
        <v>404</v>
      </c>
      <c r="C118" s="50">
        <v>5</v>
      </c>
      <c r="D118" s="60">
        <v>55</v>
      </c>
      <c r="E118" s="51"/>
      <c r="F118" s="51"/>
      <c r="G118" s="51"/>
      <c r="H118" s="51"/>
      <c r="I118" s="53">
        <f t="shared" si="4"/>
        <v>10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70</v>
      </c>
      <c r="B119" s="60">
        <v>427</v>
      </c>
      <c r="C119" s="50">
        <v>6</v>
      </c>
      <c r="D119" s="60">
        <v>45</v>
      </c>
      <c r="E119" s="51"/>
      <c r="F119" s="51"/>
      <c r="G119" s="51"/>
      <c r="H119" s="51"/>
      <c r="I119" s="53">
        <f t="shared" si="4"/>
        <v>7.8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80</v>
      </c>
      <c r="B120" s="60">
        <f>406+36</f>
        <v>442</v>
      </c>
      <c r="C120" s="60">
        <v>7</v>
      </c>
      <c r="D120" s="60">
        <f>B120</f>
        <v>442</v>
      </c>
      <c r="E120" s="87"/>
      <c r="F120" s="87"/>
      <c r="G120" s="87"/>
      <c r="H120" s="87"/>
      <c r="I120" s="53">
        <f t="shared" si="4"/>
        <v>6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Pin sylvestre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22</v>
      </c>
      <c r="B140" s="60">
        <f>176.73/1.3</f>
        <v>135.94615384615383</v>
      </c>
      <c r="C140" s="50">
        <v>1</v>
      </c>
      <c r="D140" s="60">
        <f>74.65/1.3</f>
        <v>57.423076923076927</v>
      </c>
      <c r="E140" s="51"/>
      <c r="F140" s="51">
        <v>0.5</v>
      </c>
      <c r="G140" s="51">
        <v>0.5</v>
      </c>
      <c r="H140" s="51"/>
      <c r="I140" s="57">
        <f>IFERROR(B140/A140,"")</f>
        <v>6.179370629370629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29</v>
      </c>
      <c r="B141" s="60">
        <f>194.81/1.3</f>
        <v>149.85384615384615</v>
      </c>
      <c r="C141" s="50">
        <v>2</v>
      </c>
      <c r="D141" s="60">
        <f>41.28/1.3</f>
        <v>31.753846153846155</v>
      </c>
      <c r="E141" s="51">
        <v>0.1</v>
      </c>
      <c r="F141" s="51">
        <v>0.45</v>
      </c>
      <c r="G141" s="51">
        <v>0.45</v>
      </c>
      <c r="H141" s="51"/>
      <c r="I141" s="57">
        <f t="shared" ref="I141:I159" si="5">IF(A141&lt;&gt;0,(B141-(B140-D140))/(A141-A140),"")</f>
        <v>10.190109890109893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36</v>
      </c>
      <c r="B142" s="60">
        <f>244.25/1.3</f>
        <v>187.88461538461539</v>
      </c>
      <c r="C142" s="50">
        <v>3</v>
      </c>
      <c r="D142" s="60">
        <f>52.24/1.3</f>
        <v>40.184615384615384</v>
      </c>
      <c r="E142" s="51"/>
      <c r="F142" s="51"/>
      <c r="G142" s="51"/>
      <c r="H142" s="51"/>
      <c r="I142" s="57">
        <f t="shared" si="5"/>
        <v>9.9692307692307711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44</v>
      </c>
      <c r="B143" s="60">
        <f>288.21/1.3</f>
        <v>221.7</v>
      </c>
      <c r="C143" s="50">
        <v>4</v>
      </c>
      <c r="D143" s="60">
        <f>51.34/1.3</f>
        <v>39.492307692307691</v>
      </c>
      <c r="E143" s="51"/>
      <c r="F143" s="51"/>
      <c r="G143" s="51"/>
      <c r="H143" s="51"/>
      <c r="I143" s="57">
        <f t="shared" si="5"/>
        <v>9.25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52</v>
      </c>
      <c r="B144" s="60">
        <f>323.65/1.3</f>
        <v>248.96153846153842</v>
      </c>
      <c r="C144" s="50">
        <v>5</v>
      </c>
      <c r="D144" s="60">
        <f>54.64/1.3</f>
        <v>42.030769230769231</v>
      </c>
      <c r="E144" s="51"/>
      <c r="F144" s="51"/>
      <c r="G144" s="51"/>
      <c r="H144" s="51"/>
      <c r="I144" s="57">
        <f t="shared" si="5"/>
        <v>8.3442307692307658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60</v>
      </c>
      <c r="B145" s="60">
        <f>345.57/1.3</f>
        <v>265.82307692307688</v>
      </c>
      <c r="C145" s="50">
        <v>6</v>
      </c>
      <c r="D145" s="60">
        <f>48.28/1.3</f>
        <v>37.138461538461542</v>
      </c>
      <c r="E145" s="51"/>
      <c r="F145" s="51"/>
      <c r="G145" s="51"/>
      <c r="H145" s="51"/>
      <c r="I145" s="57">
        <f t="shared" si="5"/>
        <v>7.361538461538462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70</v>
      </c>
      <c r="B146" s="60">
        <f>381.29/1.3</f>
        <v>293.3</v>
      </c>
      <c r="C146" s="50">
        <v>7</v>
      </c>
      <c r="D146" s="60">
        <f>57.36/1.3</f>
        <v>44.123076923076923</v>
      </c>
      <c r="E146" s="51"/>
      <c r="F146" s="51"/>
      <c r="G146" s="51"/>
      <c r="H146" s="51"/>
      <c r="I146" s="57">
        <f t="shared" si="5"/>
        <v>6.461538461538467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>
        <v>80</v>
      </c>
      <c r="B147" s="60">
        <f>395.78/1.3</f>
        <v>304.44615384615383</v>
      </c>
      <c r="C147" s="50">
        <v>8</v>
      </c>
      <c r="D147" s="60">
        <f>45.39/1.3</f>
        <v>34.915384615384617</v>
      </c>
      <c r="E147" s="51"/>
      <c r="F147" s="51"/>
      <c r="G147" s="51"/>
      <c r="H147" s="51"/>
      <c r="I147" s="57">
        <f>IF(A147&lt;&gt;0,(B147-(B146-D146))/(A147-A146),"")</f>
        <v>5.5269230769230742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>
        <v>90</v>
      </c>
      <c r="B148" s="60">
        <f>412.37/1.3</f>
        <v>317.2076923076923</v>
      </c>
      <c r="C148" s="50">
        <v>9</v>
      </c>
      <c r="D148" s="60">
        <f>45.71/1.3</f>
        <v>35.161538461538463</v>
      </c>
      <c r="E148" s="51"/>
      <c r="F148" s="51"/>
      <c r="G148" s="51"/>
      <c r="H148" s="51"/>
      <c r="I148" s="57">
        <f t="shared" si="5"/>
        <v>4.7676923076923057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>
        <v>100</v>
      </c>
      <c r="B149" s="60">
        <f>420.12/1.3</f>
        <v>323.16923076923075</v>
      </c>
      <c r="C149" s="50">
        <v>10</v>
      </c>
      <c r="D149" s="60">
        <f>248.15/1.3</f>
        <v>190.88461538461539</v>
      </c>
      <c r="E149" s="51"/>
      <c r="F149" s="51"/>
      <c r="G149" s="51"/>
      <c r="H149" s="51"/>
      <c r="I149" s="57">
        <f t="shared" si="5"/>
        <v>4.1123076923076898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>
        <v>103</v>
      </c>
      <c r="B150" s="60">
        <f>180.12/1.3</f>
        <v>138.55384615384617</v>
      </c>
      <c r="C150" s="50">
        <v>11</v>
      </c>
      <c r="D150" s="60">
        <f>180.12/1.3</f>
        <v>138.55384615384617</v>
      </c>
      <c r="E150" s="51"/>
      <c r="F150" s="51"/>
      <c r="G150" s="51"/>
      <c r="H150" s="51"/>
      <c r="I150" s="57">
        <f t="shared" si="5"/>
        <v>2.0897435897436005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>Pin laricio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>
        <v>15</v>
      </c>
      <c r="B166" s="60">
        <v>35.707692307692305</v>
      </c>
      <c r="C166" s="60"/>
      <c r="D166" s="60"/>
      <c r="E166" s="51"/>
      <c r="F166" s="51"/>
      <c r="G166" s="51"/>
      <c r="H166" s="51"/>
      <c r="I166" s="49">
        <f>IFERROR(B166/A166,"")</f>
        <v>2.3805128205128203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>
        <v>22</v>
      </c>
      <c r="B167" s="60">
        <v>129.98461538461538</v>
      </c>
      <c r="C167" s="60">
        <v>1</v>
      </c>
      <c r="D167" s="60">
        <v>52.746153846153838</v>
      </c>
      <c r="E167" s="51"/>
      <c r="F167" s="51">
        <v>0.5</v>
      </c>
      <c r="G167" s="51">
        <v>0.5</v>
      </c>
      <c r="H167" s="51"/>
      <c r="I167" s="49">
        <f t="shared" ref="I167:I185" si="6">IF(A167&lt;&gt;0,(B167-(B166-D166))/(A167-A166),"")</f>
        <v>13.468131868131868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>
        <v>27</v>
      </c>
      <c r="B168" s="60">
        <v>140.71538461538461</v>
      </c>
      <c r="C168" s="60">
        <v>2</v>
      </c>
      <c r="D168" s="60">
        <v>34.646153846153844</v>
      </c>
      <c r="E168" s="51"/>
      <c r="F168" s="51">
        <v>0.5</v>
      </c>
      <c r="G168" s="51">
        <v>0.5</v>
      </c>
      <c r="H168" s="51"/>
      <c r="I168" s="49">
        <f t="shared" si="6"/>
        <v>12.695384615384615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>
        <v>33</v>
      </c>
      <c r="B169" s="60">
        <v>183.89999999999998</v>
      </c>
      <c r="C169" s="60">
        <v>3</v>
      </c>
      <c r="D169" s="60">
        <v>43.007692307692302</v>
      </c>
      <c r="E169" s="51"/>
      <c r="F169" s="51"/>
      <c r="G169" s="51"/>
      <c r="H169" s="51"/>
      <c r="I169" s="49">
        <f t="shared" si="6"/>
        <v>12.97179487179487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>
        <v>41</v>
      </c>
      <c r="B170" s="60">
        <v>242.81538461538463</v>
      </c>
      <c r="C170" s="60">
        <v>4</v>
      </c>
      <c r="D170" s="60">
        <v>58.484615384615381</v>
      </c>
      <c r="E170" s="51"/>
      <c r="F170" s="51"/>
      <c r="G170" s="51"/>
      <c r="H170" s="51"/>
      <c r="I170" s="49">
        <f t="shared" si="6"/>
        <v>12.74038461538462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>
        <v>50</v>
      </c>
      <c r="B171" s="60">
        <v>291.0846153846154</v>
      </c>
      <c r="C171" s="60">
        <v>5</v>
      </c>
      <c r="D171" s="60">
        <v>55.292307692307688</v>
      </c>
      <c r="E171" s="51"/>
      <c r="F171" s="51"/>
      <c r="G171" s="51"/>
      <c r="H171" s="51"/>
      <c r="I171" s="49">
        <f t="shared" si="6"/>
        <v>11.861538461538462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>
        <v>60</v>
      </c>
      <c r="B172" s="60">
        <v>342.42307692307691</v>
      </c>
      <c r="C172" s="60">
        <v>6</v>
      </c>
      <c r="D172" s="60">
        <v>54.261538461538464</v>
      </c>
      <c r="E172" s="51"/>
      <c r="F172" s="51"/>
      <c r="G172" s="51"/>
      <c r="H172" s="51"/>
      <c r="I172" s="49">
        <f t="shared" si="6"/>
        <v>10.66307692307692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>
        <v>70</v>
      </c>
      <c r="B173" s="50">
        <v>379.99230769230769</v>
      </c>
      <c r="C173" s="50">
        <v>7</v>
      </c>
      <c r="D173" s="50">
        <v>52.669230769230765</v>
      </c>
      <c r="E173" s="51"/>
      <c r="F173" s="51"/>
      <c r="G173" s="51"/>
      <c r="H173" s="51"/>
      <c r="I173" s="49">
        <f t="shared" si="6"/>
        <v>9.1830769230769249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>
        <v>80</v>
      </c>
      <c r="B174" s="50">
        <v>402.90769230769229</v>
      </c>
      <c r="C174" s="50">
        <v>8</v>
      </c>
      <c r="D174" s="50">
        <v>402.90769230769229</v>
      </c>
      <c r="E174" s="51"/>
      <c r="F174" s="51"/>
      <c r="G174" s="51"/>
      <c r="H174" s="51"/>
      <c r="I174" s="49">
        <f t="shared" si="6"/>
        <v>7.5584615384615343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>Séquoia toujours vert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>
        <v>17</v>
      </c>
      <c r="B192" s="60">
        <f>207.67/1.3</f>
        <v>159.74615384615385</v>
      </c>
      <c r="C192" s="60"/>
      <c r="D192" s="60"/>
      <c r="E192" s="51"/>
      <c r="F192" s="51"/>
      <c r="G192" s="51"/>
      <c r="H192" s="51"/>
      <c r="I192" s="49">
        <f>IFERROR(B192/A192,"")</f>
        <v>9.3968325791855207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>
        <v>18</v>
      </c>
      <c r="B193" s="60">
        <f>237.76/1.3</f>
        <v>182.89230769230767</v>
      </c>
      <c r="C193" s="60">
        <v>1</v>
      </c>
      <c r="D193" s="60">
        <f>90.07/1.3</f>
        <v>69.284615384615378</v>
      </c>
      <c r="E193" s="51"/>
      <c r="F193" s="51">
        <v>0.5</v>
      </c>
      <c r="G193" s="51">
        <v>0.5</v>
      </c>
      <c r="H193" s="51"/>
      <c r="I193" s="49">
        <f t="shared" ref="I193:I211" si="7">IF(A193&lt;&gt;0,(B193-(B192-D192))/(A193-A192),"")</f>
        <v>23.146153846153823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>
        <v>24</v>
      </c>
      <c r="B194" s="60">
        <f>308.83/1.3</f>
        <v>237.56153846153845</v>
      </c>
      <c r="C194" s="60">
        <v>2</v>
      </c>
      <c r="D194" s="60">
        <f>55.46/1.3</f>
        <v>42.661538461538463</v>
      </c>
      <c r="E194" s="51">
        <v>0.2</v>
      </c>
      <c r="F194" s="51">
        <v>0.4</v>
      </c>
      <c r="G194" s="51">
        <v>0.4</v>
      </c>
      <c r="H194" s="51"/>
      <c r="I194" s="49">
        <f t="shared" si="7"/>
        <v>20.658974358974358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>
        <v>30</v>
      </c>
      <c r="B195" s="60">
        <f>431.43/1.3</f>
        <v>331.86923076923074</v>
      </c>
      <c r="C195" s="60">
        <v>3</v>
      </c>
      <c r="D195" s="60">
        <f>85.37/1.3</f>
        <v>65.669230769230765</v>
      </c>
      <c r="E195" s="51"/>
      <c r="F195" s="51"/>
      <c r="G195" s="51"/>
      <c r="H195" s="51"/>
      <c r="I195" s="49">
        <f t="shared" si="7"/>
        <v>22.828205128205127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>
        <v>36</v>
      </c>
      <c r="B196" s="60">
        <f>524.56/1.3</f>
        <v>403.50769230769225</v>
      </c>
      <c r="C196" s="60">
        <v>4</v>
      </c>
      <c r="D196" s="60">
        <f>90.09/1.3</f>
        <v>69.3</v>
      </c>
      <c r="E196" s="51"/>
      <c r="F196" s="51"/>
      <c r="G196" s="51"/>
      <c r="H196" s="51"/>
      <c r="I196" s="49">
        <f t="shared" si="7"/>
        <v>22.884615384615376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>
        <v>42</v>
      </c>
      <c r="B197" s="60">
        <f>609.34/1.3</f>
        <v>468.72307692307692</v>
      </c>
      <c r="C197" s="60">
        <v>5</v>
      </c>
      <c r="D197" s="60">
        <f>95.41/1.3</f>
        <v>73.392307692307682</v>
      </c>
      <c r="E197" s="51"/>
      <c r="F197" s="51"/>
      <c r="G197" s="51"/>
      <c r="H197" s="51"/>
      <c r="I197" s="49">
        <f t="shared" si="7"/>
        <v>22.419230769230779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>
        <v>48</v>
      </c>
      <c r="B198" s="60">
        <f>682.61/1.3</f>
        <v>525.0846153846154</v>
      </c>
      <c r="C198" s="60">
        <v>6</v>
      </c>
      <c r="D198" s="60">
        <f>105.73/1.3</f>
        <v>81.330769230769235</v>
      </c>
      <c r="E198" s="51"/>
      <c r="F198" s="51"/>
      <c r="G198" s="51"/>
      <c r="H198" s="51"/>
      <c r="I198" s="49">
        <f t="shared" si="7"/>
        <v>21.625641025641027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>
        <v>54</v>
      </c>
      <c r="B199" s="50">
        <v>566.79999999999995</v>
      </c>
      <c r="C199" s="50">
        <v>7</v>
      </c>
      <c r="D199" s="50">
        <v>566.79999999999995</v>
      </c>
      <c r="E199" s="51"/>
      <c r="F199" s="51"/>
      <c r="G199" s="51"/>
      <c r="H199" s="51"/>
      <c r="I199" s="49">
        <f t="shared" si="7"/>
        <v>20.507692307692299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>Alisier torminal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>
        <v>20</v>
      </c>
      <c r="B218" s="60">
        <v>21</v>
      </c>
      <c r="C218" s="50"/>
      <c r="D218" s="60"/>
      <c r="E218" s="63"/>
      <c r="F218" s="63"/>
      <c r="G218" s="63"/>
      <c r="H218" s="63"/>
      <c r="I218" s="53">
        <f>IFERROR(B218/A218,"")</f>
        <v>1.05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>
        <v>30</v>
      </c>
      <c r="B219" s="60">
        <f>45+9</f>
        <v>54</v>
      </c>
      <c r="C219" s="50">
        <v>1</v>
      </c>
      <c r="D219" s="60">
        <v>9</v>
      </c>
      <c r="E219" s="63"/>
      <c r="F219" s="63"/>
      <c r="G219" s="63"/>
      <c r="H219" s="63"/>
      <c r="I219" s="53">
        <f t="shared" ref="I219:I237" si="8">IF(A219&lt;&gt;0,(B219-(B218-D218))/(A219-A218),"")</f>
        <v>3.3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>
        <v>40</v>
      </c>
      <c r="B220" s="60">
        <f>66+17</f>
        <v>83</v>
      </c>
      <c r="C220" s="50">
        <v>2</v>
      </c>
      <c r="D220" s="60">
        <v>17</v>
      </c>
      <c r="E220" s="63"/>
      <c r="F220" s="63"/>
      <c r="G220" s="63"/>
      <c r="H220" s="63"/>
      <c r="I220" s="53">
        <f t="shared" si="8"/>
        <v>3.8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>
        <v>50</v>
      </c>
      <c r="B221" s="55">
        <f>86+18</f>
        <v>104</v>
      </c>
      <c r="C221" s="55">
        <v>3</v>
      </c>
      <c r="D221" s="55">
        <v>18</v>
      </c>
      <c r="E221" s="63"/>
      <c r="F221" s="63"/>
      <c r="G221" s="63"/>
      <c r="H221" s="63"/>
      <c r="I221" s="53">
        <f t="shared" si="8"/>
        <v>3.8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>
        <v>60</v>
      </c>
      <c r="B222" s="55">
        <f>105+20</f>
        <v>125</v>
      </c>
      <c r="C222" s="55">
        <v>4</v>
      </c>
      <c r="D222" s="55">
        <v>20</v>
      </c>
      <c r="E222" s="63"/>
      <c r="F222" s="63"/>
      <c r="G222" s="63"/>
      <c r="H222" s="63"/>
      <c r="I222" s="53">
        <f t="shared" si="8"/>
        <v>3.9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>
        <v>70</v>
      </c>
      <c r="B223" s="55">
        <f>122+20</f>
        <v>142</v>
      </c>
      <c r="C223" s="55">
        <v>5</v>
      </c>
      <c r="D223" s="55">
        <v>20</v>
      </c>
      <c r="E223" s="63"/>
      <c r="F223" s="63"/>
      <c r="G223" s="63"/>
      <c r="H223" s="63"/>
      <c r="I223" s="53">
        <f t="shared" si="8"/>
        <v>3.7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>
        <v>80</v>
      </c>
      <c r="B224" s="55">
        <f>137+19</f>
        <v>156</v>
      </c>
      <c r="C224" s="55">
        <v>6</v>
      </c>
      <c r="D224" s="55">
        <v>19</v>
      </c>
      <c r="E224" s="63"/>
      <c r="F224" s="63"/>
      <c r="G224" s="63"/>
      <c r="H224" s="63"/>
      <c r="I224" s="53">
        <f t="shared" si="8"/>
        <v>3.4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>
        <v>90</v>
      </c>
      <c r="B225" s="55">
        <f>150+18</f>
        <v>168</v>
      </c>
      <c r="C225" s="55">
        <v>7</v>
      </c>
      <c r="D225" s="55">
        <v>18</v>
      </c>
      <c r="E225" s="63"/>
      <c r="F225" s="63"/>
      <c r="G225" s="63"/>
      <c r="H225" s="63"/>
      <c r="I225" s="53">
        <f t="shared" si="8"/>
        <v>3.1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>
        <v>100</v>
      </c>
      <c r="B226" s="55">
        <f>161+18</f>
        <v>179</v>
      </c>
      <c r="C226" s="55">
        <v>8</v>
      </c>
      <c r="D226" s="55">
        <v>18</v>
      </c>
      <c r="E226" s="63"/>
      <c r="F226" s="63"/>
      <c r="G226" s="63"/>
      <c r="H226" s="63"/>
      <c r="I226" s="53">
        <f t="shared" si="8"/>
        <v>2.9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>
        <v>110</v>
      </c>
      <c r="B227" s="55">
        <f>171+19</f>
        <v>190</v>
      </c>
      <c r="C227" s="55">
        <v>9</v>
      </c>
      <c r="D227" s="55">
        <v>19</v>
      </c>
      <c r="E227" s="63"/>
      <c r="F227" s="63"/>
      <c r="G227" s="63"/>
      <c r="H227" s="63"/>
      <c r="I227" s="53">
        <f t="shared" si="8"/>
        <v>2.9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>
        <v>120</v>
      </c>
      <c r="B228" s="55">
        <f>181+20</f>
        <v>201</v>
      </c>
      <c r="C228" s="55">
        <v>10</v>
      </c>
      <c r="D228" s="55">
        <v>20</v>
      </c>
      <c r="E228" s="63"/>
      <c r="F228" s="63"/>
      <c r="G228" s="63"/>
      <c r="H228" s="63"/>
      <c r="I228" s="53">
        <f t="shared" si="8"/>
        <v>3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>Tilleul</v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>
        <v>20</v>
      </c>
      <c r="B244" s="60">
        <f>53+18</f>
        <v>71</v>
      </c>
      <c r="C244" s="60">
        <v>1</v>
      </c>
      <c r="D244" s="60">
        <v>18</v>
      </c>
      <c r="E244" s="51"/>
      <c r="F244" s="51"/>
      <c r="G244" s="51"/>
      <c r="H244" s="63"/>
      <c r="I244" s="53">
        <f>IFERROR(B244/A244,"")</f>
        <v>3.55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>
        <v>30</v>
      </c>
      <c r="B245" s="60">
        <f>93+39</f>
        <v>132</v>
      </c>
      <c r="C245" s="60">
        <v>2</v>
      </c>
      <c r="D245" s="60">
        <v>39</v>
      </c>
      <c r="E245" s="63"/>
      <c r="F245" s="63"/>
      <c r="G245" s="63"/>
      <c r="H245" s="63"/>
      <c r="I245" s="53">
        <f>IF(A245&lt;&gt;0,(B245-(B244-D244))/(A245-A244),"")</f>
        <v>7.9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>
        <v>40</v>
      </c>
      <c r="B246" s="60">
        <f>132+48</f>
        <v>180</v>
      </c>
      <c r="C246" s="60">
        <v>3</v>
      </c>
      <c r="D246" s="60">
        <v>48</v>
      </c>
      <c r="E246" s="63"/>
      <c r="F246" s="63"/>
      <c r="G246" s="63"/>
      <c r="H246" s="63"/>
      <c r="I246" s="53">
        <f>IF(A246&lt;&gt;0,(B246-(B245-D245))/(A246-A245),"")</f>
        <v>8.6999999999999993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>
        <v>50</v>
      </c>
      <c r="B247" s="60">
        <f>167+53</f>
        <v>220</v>
      </c>
      <c r="C247" s="60">
        <v>4</v>
      </c>
      <c r="D247" s="60">
        <v>53</v>
      </c>
      <c r="E247" s="63"/>
      <c r="F247" s="63"/>
      <c r="G247" s="63"/>
      <c r="H247" s="63"/>
      <c r="I247" s="53">
        <f t="shared" ref="I247:I263" si="9">IF(A247&lt;&gt;0,(B247-(B246-D246))/(A247-A246),"")</f>
        <v>8.8000000000000007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>
        <v>60</v>
      </c>
      <c r="B248" s="60">
        <f>197+54</f>
        <v>251</v>
      </c>
      <c r="C248" s="60">
        <v>5</v>
      </c>
      <c r="D248" s="60">
        <v>54</v>
      </c>
      <c r="E248" s="63"/>
      <c r="F248" s="63"/>
      <c r="G248" s="63"/>
      <c r="H248" s="63"/>
      <c r="I248" s="53">
        <f t="shared" si="9"/>
        <v>8.4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>
        <v>70</v>
      </c>
      <c r="B249" s="60">
        <f>223+53</f>
        <v>276</v>
      </c>
      <c r="C249" s="60">
        <v>6</v>
      </c>
      <c r="D249" s="60">
        <v>53</v>
      </c>
      <c r="E249" s="63"/>
      <c r="F249" s="63"/>
      <c r="G249" s="63"/>
      <c r="H249" s="63"/>
      <c r="I249" s="53">
        <f t="shared" si="9"/>
        <v>7.9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>
        <v>80</v>
      </c>
      <c r="B250" s="60">
        <f>245+51</f>
        <v>296</v>
      </c>
      <c r="C250" s="60">
        <v>7</v>
      </c>
      <c r="D250" s="60">
        <v>51</v>
      </c>
      <c r="E250" s="63"/>
      <c r="F250" s="63"/>
      <c r="G250" s="63"/>
      <c r="H250" s="63"/>
      <c r="I250" s="53">
        <f t="shared" si="9"/>
        <v>7.3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>
        <v>90</v>
      </c>
      <c r="B251" s="55">
        <f>263+47</f>
        <v>310</v>
      </c>
      <c r="C251" s="55">
        <v>8</v>
      </c>
      <c r="D251" s="55">
        <v>47</v>
      </c>
      <c r="E251" s="63"/>
      <c r="F251" s="63"/>
      <c r="G251" s="63"/>
      <c r="H251" s="63"/>
      <c r="I251" s="53">
        <f t="shared" si="9"/>
        <v>6.5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>
        <v>100</v>
      </c>
      <c r="B252" s="55">
        <f>278+43</f>
        <v>321</v>
      </c>
      <c r="C252" s="55">
        <v>9</v>
      </c>
      <c r="D252" s="55">
        <v>43</v>
      </c>
      <c r="E252" s="63"/>
      <c r="F252" s="63"/>
      <c r="G252" s="63"/>
      <c r="H252" s="63"/>
      <c r="I252" s="53">
        <f t="shared" si="9"/>
        <v>5.8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>
        <v>110</v>
      </c>
      <c r="B253" s="55">
        <f>291+40</f>
        <v>331</v>
      </c>
      <c r="C253" s="55">
        <v>10</v>
      </c>
      <c r="D253" s="55">
        <v>40</v>
      </c>
      <c r="E253" s="63"/>
      <c r="F253" s="63"/>
      <c r="G253" s="63"/>
      <c r="H253" s="63"/>
      <c r="I253" s="53">
        <f t="shared" si="9"/>
        <v>5.3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>
        <v>120</v>
      </c>
      <c r="B254" s="55">
        <f>300+37</f>
        <v>337</v>
      </c>
      <c r="C254" s="55">
        <v>11</v>
      </c>
      <c r="D254" s="55">
        <v>37</v>
      </c>
      <c r="E254" s="63"/>
      <c r="F254" s="63"/>
      <c r="G254" s="63"/>
      <c r="H254" s="63"/>
      <c r="I254" s="53">
        <f t="shared" si="9"/>
        <v>4.5999999999999996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9" sqref="F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sessile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Cèdre de l'Atlas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Mélèze d'Europe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Pin sylvestre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Pin laricio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Séquoia toujours vert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>Alisier torminal</v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>Tilleul</v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221.7429870520005</v>
      </c>
      <c r="T3" s="59">
        <f>IF('Données projet'!E9&gt;30,$R$33-$H$33,LOOKUP('Données projet'!$E$9,$A$3:$A$203,R3:R203)-LOOKUP('Données projet'!$E$9,$A$3:$A$203,$H$3:$H$203))</f>
        <v>182.2029938397186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153.45079678708987</v>
      </c>
      <c r="AO3" s="59">
        <f>IF('Données projet'!E10&gt;30,$AM$33-$H$33,LOOKUP('Données projet'!$E$10,$A$3:$A$203,AM3:AM203)-LOOKUP('Données projet'!$E$10,$A$3:$A$203,$H$3:$H$203))</f>
        <v>115.4217868409637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158.58786357608489</v>
      </c>
      <c r="BJ3" s="59">
        <f>IF('Données projet'!E11&gt;30,$BH$33-$H$33,LOOKUP('Données projet'!$E$11,$A$3:$A$203,BH3:BH203)-LOOKUP('Données projet'!$E$11,$A$3:$A$203,$H$3:$H$203))</f>
        <v>163.20074068819849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255.41017495879987</v>
      </c>
      <c r="CE3" s="59">
        <f>IF('Données projet'!E12&gt;30,$CC$33-$H$33,LOOKUP('Données projet'!$E$12,$A$3:$A$203,CC3:CC203)-LOOKUP('Données projet'!$E$12,$A$3:$A$203,$H$3:$H$203))</f>
        <v>297.50513563712764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134.70214882504786</v>
      </c>
      <c r="CZ3" s="59">
        <f>IF('Données projet'!E13&gt;30,$CX$33-$H$33,LOOKUP('Données projet'!$E$13,$A$3:$A$203,CX3:CX203)-LOOKUP('Données projet'!$E$13,$A$3:$A$203,$H$3:$H$203))</f>
        <v>102.18553029667771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179.32848817523677</v>
      </c>
      <c r="DU3" s="59">
        <f>IF('Données projet'!E14&gt;30,$DS$33-$H$33,LOOKUP('Données projet'!$E$14,$A$3:$A$203,DS3:DS203)-LOOKUP('Données projet'!$E$14,$A$3:$A$203,$H$3:$H$203))</f>
        <v>131.3292389103035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191.932060106699</v>
      </c>
      <c r="EP3" s="59">
        <f>IF('Données projet'!E15&gt;30,$EN$33-$H$33,LOOKUP('Données projet'!$E$15,$A$3:$A$203,EN3:EN203)-LOOKUP('Données projet'!$E$15,$A$3:$A$203,$H$3:$H$203))</f>
        <v>260.28593152736903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293.33333333333331</v>
      </c>
      <c r="FJ3" s="59">
        <f ca="1">AVERAGE(OFFSET($FI$3,0,0,'Données projet'!$E$16+1,1))-AVERAGE(OFFSET($H$3,0,0,'Données projet'!$E$16+1,1))</f>
        <v>102.86738524979938</v>
      </c>
      <c r="FK3" s="59">
        <f>IF('Données projet'!E16&gt;30,$FI$33-$H$33,LOOKUP('Données projet'!$E$16,$A$3:$A$203,FI3:FI203)-LOOKUP('Données projet'!$E$16,$A$3:$A$203,$H$3:$H$203))</f>
        <v>56.347130462109817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293.33333333333331</v>
      </c>
      <c r="GE3" s="59">
        <f ca="1">AVERAGE(OFFSET($GD$3,0,0,'Données projet'!$E$17+1,1))-AVERAGE(OFFSET($H$3,0,0,'Données projet'!$E$17+1,1))</f>
        <v>168.00454652899231</v>
      </c>
      <c r="GF3" s="59">
        <f>IF('Données projet'!E17&gt;30,$GD$33-$H$33,LOOKUP('Données projet'!$E$17,$A$3:$A$203,GD3:GD203)-LOOKUP('Données projet'!$E$17,$A$3:$A$203,$H$3:$H$203))</f>
        <v>135.31958994080446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4.0628205128205126</v>
      </c>
      <c r="N4" s="13">
        <f>IF('Données projet'!$A$36&gt;35,N3+M4-V3,IF(A4&lt;'Données projet'!$A$36,$K$205^A4,IF(A4='Données projet'!$A$36,'Données projet'!$B$36,N3+M4-V3)))</f>
        <v>1.1736311550444201</v>
      </c>
      <c r="O4" s="13">
        <f>N4*VLOOKUP('Données projet'!$B$9,Paramètres!$A$1:$I$89,3,0)*VLOOKUP('Données projet'!$B$9,Paramètres!$A$1:$I$89,5,0)</f>
        <v>1.0619014690841913</v>
      </c>
      <c r="P4" s="13">
        <f>EXP(-1.0587+0.8836*LN(O4)+0.284)</f>
        <v>0.48595950732890802</v>
      </c>
      <c r="Q4" s="20">
        <f t="shared" ref="Q4:Q34" si="2">(O4+P4)*0.475*44/12</f>
        <v>2.6958578672528142</v>
      </c>
      <c r="R4" s="59">
        <f t="shared" si="0"/>
        <v>296.02919120058613</v>
      </c>
      <c r="S4" s="59">
        <f ca="1">AVERAGE(OFFSET($R$3,0,0,'Données projet'!$E$9+1,1))-AVERAGE(OFFSET($H$3,0,0,'Données projet'!$E$9+1,1))</f>
        <v>221.7429870520005</v>
      </c>
      <c r="T4" s="59">
        <f>$T$3</f>
        <v>182.2029938397186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2.9235042735042733</v>
      </c>
      <c r="AI4" s="13">
        <f>IF('Données projet'!$A$62&gt;35,AI3+AH4-AQ3,IF(A4&lt;'Données projet'!$A$62,$AF$205^A4,IF(A4='Données projet'!$A$62,'Données projet'!$B$62,AI3+AH4-AQ3)))</f>
        <v>1.1608269964373037</v>
      </c>
      <c r="AJ4" s="13">
        <f>AI4*VLOOKUP('Données projet'!$B$10,Paramètres!$A$1:$I$89,3,0)*VLOOKUP('Données projet'!$B$10,Paramètres!$A$1:$I$89,5,0)</f>
        <v>1.0503162663764722</v>
      </c>
      <c r="AK4" s="13">
        <f>EXP(-1.0587+0.8836*LN(AJ4)+0.284)</f>
        <v>0.48127189162287909</v>
      </c>
      <c r="AL4" s="20">
        <f t="shared" ref="AL4:AL67" si="4">(AJ4+AK4)*0.475*44/12</f>
        <v>2.6675160418488701</v>
      </c>
      <c r="AM4" s="59">
        <f t="shared" ref="AM4:AM67" si="5">AL4+(AD4+AE4)*44/12</f>
        <v>296.00084937518216</v>
      </c>
      <c r="AN4" s="59">
        <f ca="1">AVERAGE(OFFSET($AM$3,0,0,'Données projet'!$E$10+1,1))-AVERAGE(OFFSET($H$3,0,0,'Données projet'!$E$10+1,1))</f>
        <v>153.45079678708987</v>
      </c>
      <c r="AO4" s="59">
        <f>$AO$3</f>
        <v>115.4217868409637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7.2264102564102561</v>
      </c>
      <c r="BD4" s="12">
        <f>IF('Données projet'!$A$88&gt;35,BD3+BC4-BL3,IF(A4&lt;'Données projet'!$A$88,$BA$205^A4,IF(A4='Données projet'!$A$88,'Données projet'!$B$88,BD3+BC4-BL3)))</f>
        <v>1.1963772029987372</v>
      </c>
      <c r="BE4" s="13">
        <f>BD4*VLOOKUP('Données projet'!$B$11,Paramètres!$A$1:$I$89,3,0)*VLOOKUP('Données projet'!$B$11,Paramètres!$A$1:$I$89,5,0)</f>
        <v>0.55990453100340898</v>
      </c>
      <c r="BF4" s="13">
        <f>EXP(-1.0587+0.8836*LN(BE4)+0.284)</f>
        <v>0.2760486193577778</v>
      </c>
      <c r="BG4" s="20">
        <f t="shared" ref="BG4:BG67" si="7">(BE4+BF4)*0.475*44/12</f>
        <v>1.4559517368790669</v>
      </c>
      <c r="BH4" s="59">
        <f t="shared" ref="BH4:BH67" si="8">BG4+(AY4+AZ4)*44/12</f>
        <v>294.78928507021237</v>
      </c>
      <c r="BI4" s="59">
        <f ca="1">AVERAGE(OFFSET($BH$3,0,0,'Données projet'!$E$11+1,1))-AVERAGE(OFFSET($H$3,0,0,'Données projet'!$E$11+1,1))</f>
        <v>158.58786357608489</v>
      </c>
      <c r="BJ4" s="59">
        <f>$BJ$3</f>
        <v>163.20074068819849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7.9</v>
      </c>
      <c r="BY4" s="12">
        <f>IF('Données projet'!$A$114&gt;35,BY3+BX4-CG3,IF(A4&lt;'Données projet'!$A$114,$BV$205^A4,IF(A4='Données projet'!$A$114,'Données projet'!$B$114,BY3+BX4-CG3)))</f>
        <v>1.2880503926580862</v>
      </c>
      <c r="BZ4" s="13">
        <f>BY4*VLOOKUP('Données projet'!$B$12,Paramètres!$A$1:$I$89,3,0)*VLOOKUP('Données projet'!$B$12,Paramètres!$A$1:$I$89,5,0)</f>
        <v>0.80374344501864581</v>
      </c>
      <c r="CA4" s="13">
        <f>EXP(-1.0587+0.8836*LN(BZ4)+0.284)</f>
        <v>0.37993896770707264</v>
      </c>
      <c r="CB4" s="20">
        <f t="shared" ref="CB4:CB67" si="10">(BZ4+CA4)*0.475*44/12</f>
        <v>2.0615802021639595</v>
      </c>
      <c r="CC4" s="59">
        <f t="shared" ref="CC4:CC67" si="11">CB4+(BT4+BU4)*44/12</f>
        <v>295.39491353549727</v>
      </c>
      <c r="CD4" s="59">
        <f ca="1">AVERAGE(OFFSET($CC$3,0,0,'Données projet'!$E$12+1,1))-AVERAGE(OFFSET($H$3,0,0,'Données projet'!$E$12+1,1))</f>
        <v>255.41017495879987</v>
      </c>
      <c r="CE4" s="59">
        <f>$CE$3</f>
        <v>297.50513563712764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6.179370629370629</v>
      </c>
      <c r="CT4" s="12">
        <f>IF('Données projet'!$A$140&gt;35,CT3+CS4-DB3,IF(A4&lt;'Données projet'!$A$140,$CQ$205^A4,IF(A4='Données projet'!$A$140,'Données projet'!$B$140,CT3+CS4-DB3)))</f>
        <v>1.2501761914401572</v>
      </c>
      <c r="CU4" s="17">
        <f>CT4*VLOOKUP('Données projet'!$B$13,Paramètres!$A$1:$I$89,3,0)*VLOOKUP('Données projet'!$B$13,Paramètres!$A$1:$I$89,5,0)</f>
        <v>0.71510078150376999</v>
      </c>
      <c r="CV4" s="13">
        <f>EXP(-1.0587+0.8836*LN(CU4)+0.284)</f>
        <v>0.34266596395379439</v>
      </c>
      <c r="CW4" s="20">
        <f t="shared" ref="CW4:CW67" si="13">(CU4+CV4)*0.475*44/12</f>
        <v>1.8422770816719243</v>
      </c>
      <c r="CX4" s="59">
        <f t="shared" ref="CX4:CX67" si="14">CW4+(CO4+CP4)*44/12</f>
        <v>295.17561041500522</v>
      </c>
      <c r="CY4" s="59">
        <f ca="1">AVERAGE(OFFSET($CX$3,0,0,'Données projet'!$E$13+1,1))-AVERAGE(OFFSET($H$3,0,0,'Données projet'!$E$13+1,1))</f>
        <v>134.70214882504786</v>
      </c>
      <c r="CZ4" s="59">
        <f>$CZ$3</f>
        <v>102.18553029667771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2.3805128205128203</v>
      </c>
      <c r="DO4" s="12">
        <f>IF('Données projet'!$A$166&gt;35,DO3+DN4-DW3,IF(A4&lt;'Données projet'!$A$166,$DL$205^A4,IF(A4='Données projet'!$A$166,'Données projet'!$B$166,DO3+DN4-DW3)))</f>
        <v>1.2691631451226497</v>
      </c>
      <c r="DP4" s="17">
        <f>DO4*VLOOKUP('Données projet'!$B$14,Paramètres!$A$1:$I$89,3,0)*VLOOKUP('Données projet'!$B$14,Paramètres!$A$1:$I$89,5,0)</f>
        <v>0.75895956078334459</v>
      </c>
      <c r="DQ4" s="13">
        <f>EXP(-1.0587+0.8836*LN(DP4)+0.284)</f>
        <v>0.36117131619841292</v>
      </c>
      <c r="DR4" s="20">
        <f t="shared" ref="DR4:DR67" si="16">(DP4+DQ4)*0.475*44/12</f>
        <v>1.9508946107432275</v>
      </c>
      <c r="DS4" s="59">
        <f t="shared" ref="DS4:DS67" si="17">DR4+(DJ4+DK4)*44/12</f>
        <v>295.28422794407652</v>
      </c>
      <c r="DT4" s="59">
        <f ca="1">AVERAGE(OFFSET($DS$3,0,0,'Données projet'!$E$14+1,1))-AVERAGE(OFFSET($H$3,0,0,'Données projet'!$E$14+1,1))</f>
        <v>179.32848817523677</v>
      </c>
      <c r="DU4" s="59">
        <f>$DU$3</f>
        <v>131.3292389103035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9.3968325791855207</v>
      </c>
      <c r="EJ4" s="12">
        <f>IF('Données projet'!$A$192&gt;35,EJ3+EI4-ER3,IF(A4&lt;'Données projet'!$A$192,$EG$205^A4,IF(A4='Données projet'!$A$192,'Données projet'!$B$192,EJ3+EI4-ER3)))</f>
        <v>1.3477630745024085</v>
      </c>
      <c r="EK4" s="17">
        <f>EJ4*VLOOKUP('Données projet'!$B$15,Paramètres!$A$1:$I$89,3,0)*VLOOKUP('Données projet'!$B$15,Paramètres!$A$1:$I$89,5,0)</f>
        <v>0.5957112789300647</v>
      </c>
      <c r="EL4" s="13">
        <f>EXP(-1.0587+0.8836*LN(EK4)+0.284)</f>
        <v>0.29159073325277479</v>
      </c>
      <c r="EM4" s="20">
        <f t="shared" ref="EM4:EM67" si="19">(EK4+EL4)*0.475*44/12</f>
        <v>1.545384337885112</v>
      </c>
      <c r="EN4" s="59">
        <f t="shared" ref="EN4:EN67" si="20">EM4+(EE4+EF4)*44/12</f>
        <v>294.87871767121845</v>
      </c>
      <c r="EO4" s="59">
        <f ca="1">AVERAGE(OFFSET($EN$3,0,0,'Données projet'!$E$15+1,1))-AVERAGE(OFFSET($H$3,0,0,'Données projet'!$E$15+1,1))</f>
        <v>191.932060106699</v>
      </c>
      <c r="EP4" s="59">
        <f>$EP$3</f>
        <v>260.28593152736903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1.05</v>
      </c>
      <c r="FE4" s="12">
        <f>IF('Données projet'!$A$218&gt;35,FE3+FD4-FM3,IF(A4&lt;'Données projet'!$A$218,$FB$205^A4,IF(A4='Données projet'!$A$218,'Données projet'!$B$218,FE3+FD4-FM3)))</f>
        <v>1.1644235083052243</v>
      </c>
      <c r="FF4" s="17">
        <f>FE4*VLOOKUP('Données projet'!$B$16,Paramètres!$A$1:$I$89,3,0)*VLOOKUP('Données projet'!$B$16,Paramètres!$A$1:$I$89,5,0)</f>
        <v>1.126230417232813</v>
      </c>
      <c r="FG4" s="13">
        <f>EXP(-1.0587+0.8836*LN(FF4)+0.284)</f>
        <v>0.51188205554259503</v>
      </c>
      <c r="FH4" s="20">
        <f t="shared" ref="FH4:FH67" si="22">(FF4+FG4)*0.475*44/12</f>
        <v>2.8530458900838358</v>
      </c>
      <c r="FI4" s="59">
        <f t="shared" ref="FI4:FI67" si="23">FH4+(EZ4+FA4)*44/12</f>
        <v>296.18637922341713</v>
      </c>
      <c r="FJ4" s="59">
        <f ca="1">AVERAGE(OFFSET($FI$3,0,0,'Données projet'!$E$16+1,1))-AVERAGE(OFFSET($H$3,0,0,'Données projet'!$E$16+1,1))</f>
        <v>102.86738524979938</v>
      </c>
      <c r="FK4" s="59">
        <f>$FK$3</f>
        <v>56.347130462109817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3.55</v>
      </c>
      <c r="FZ4" s="12">
        <f>IF('Données projet'!$A$244&gt;35,FZ3+FY4-GH3,IF(A4&lt;'Données projet'!$A$244,$FW$205^A4,IF(A4='Données projet'!$A$244,'Données projet'!$B$244,FZ3+FY4-GH3)))</f>
        <v>1.237550464288224</v>
      </c>
      <c r="GA4" s="17">
        <f>FZ4*VLOOKUP('Données projet'!$B$17,Paramètres!$A$1:$I$89,3,0)*VLOOKUP('Données projet'!$B$17,Paramètres!$A$1:$I$89,5,0)</f>
        <v>0.83014885144454076</v>
      </c>
      <c r="GB4" s="13">
        <f>EXP(-1.0587+0.8836*LN(GA4)+0.284)</f>
        <v>0.39094735677005266</v>
      </c>
      <c r="GC4" s="20">
        <f t="shared" ref="GC4:GC67" si="25">(GA4+GB4)*0.475*44/12</f>
        <v>2.1267425626404166</v>
      </c>
      <c r="GD4" s="59">
        <f t="shared" ref="GD4:GD67" si="26">GC4+(FU4+FV4)*44/12</f>
        <v>295.46007589597372</v>
      </c>
      <c r="GE4" s="59">
        <f ca="1">AVERAGE(OFFSET($GD$3,0,0,'Données projet'!$E$17+1,1))-AVERAGE(OFFSET($H$3,0,0,'Données projet'!$E$17+1,1))</f>
        <v>168.00454652899231</v>
      </c>
      <c r="GF4" s="59">
        <f>$GF$3</f>
        <v>135.31958994080446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4.0628205128205126</v>
      </c>
      <c r="N5" s="13">
        <f>IF('Données projet'!$A$36&gt;35,N4+M5-V4,IF(A5&lt;'Données projet'!$A$36,$K$205^A5,IF(A5='Données projet'!$A$36,'Données projet'!$B$36,N4+M5-V4)))</f>
        <v>1.3774100880908995</v>
      </c>
      <c r="O5" s="13">
        <f>N5*VLOOKUP('Données projet'!$B$9,Paramètres!$A$1:$I$89,3,0)*VLOOKUP('Données projet'!$B$9,Paramètres!$A$1:$I$89,5,0)</f>
        <v>1.2462806477046457</v>
      </c>
      <c r="P5" s="13">
        <f t="shared" ref="P5:P68" si="33">EXP(-1.0587+0.8836*LN(O5)+0.284)</f>
        <v>0.55980687933617612</v>
      </c>
      <c r="Q5" s="20">
        <f t="shared" si="2"/>
        <v>3.1456024429294316</v>
      </c>
      <c r="R5" s="59">
        <f t="shared" si="0"/>
        <v>296.47893577626274</v>
      </c>
      <c r="S5" s="59">
        <f ca="1">AVERAGE(OFFSET($R$3,0,0,'Données projet'!$E$9+1,1))-AVERAGE(OFFSET($H$3,0,0,'Données projet'!$E$9+1,1))</f>
        <v>221.7429870520005</v>
      </c>
      <c r="T5" s="59">
        <f t="shared" ref="T5:T68" si="34">$T$3</f>
        <v>182.2029938397186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2.9235042735042733</v>
      </c>
      <c r="AI5" s="13">
        <f>IF('Données projet'!$A$62&gt;35,AI4+AH5-AQ4,IF(A5&lt;'Données projet'!$A$62,$AF$205^A5,IF(A5='Données projet'!$A$62,'Données projet'!$B$62,AI4+AH5-AQ4)))</f>
        <v>1.3475193156576519</v>
      </c>
      <c r="AJ5" s="13">
        <f>AI5*VLOOKUP('Données projet'!$B$10,Paramètres!$A$1:$I$89,3,0)*VLOOKUP('Données projet'!$B$10,Paramètres!$A$1:$I$89,5,0)</f>
        <v>1.2192354768070435</v>
      </c>
      <c r="AK5" s="13">
        <f t="shared" ref="AK5:AK68" si="35">EXP(-1.0587+0.8836*LN(AJ5)+0.284)</f>
        <v>0.54905905766229002</v>
      </c>
      <c r="AL5" s="20">
        <f t="shared" si="4"/>
        <v>3.0797796475340888</v>
      </c>
      <c r="AM5" s="59">
        <f t="shared" si="5"/>
        <v>296.41311298086742</v>
      </c>
      <c r="AN5" s="59">
        <f ca="1">AVERAGE(OFFSET($AM$3,0,0,'Données projet'!$E$10+1,1))-AVERAGE(OFFSET($H$3,0,0,'Données projet'!$E$10+1,1))</f>
        <v>153.45079678708987</v>
      </c>
      <c r="AO5" s="59">
        <f t="shared" ref="AO5:AO68" si="36">$AO$3</f>
        <v>115.4217868409637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7.2264102564102561</v>
      </c>
      <c r="BD5" s="12">
        <f>IF('Données projet'!$A$88&gt;35,BD4+BC5-BL4,IF(A5&lt;'Données projet'!$A$88,$BA$205^A5,IF(A5='Données projet'!$A$88,'Données projet'!$B$88,BD4+BC5-BL4)))</f>
        <v>1.4313184118550817</v>
      </c>
      <c r="BE5" s="13">
        <f>BD5*VLOOKUP('Données projet'!$B$11,Paramètres!$A$1:$I$89,3,0)*VLOOKUP('Données projet'!$B$11,Paramètres!$A$1:$I$89,5,0)</f>
        <v>0.66985701674817832</v>
      </c>
      <c r="BF5" s="13">
        <f t="shared" ref="BF5:BF68" si="37">EXP(-1.0587+0.8836*LN(BE5)+0.284)</f>
        <v>0.32343711768198868</v>
      </c>
      <c r="BG5" s="20">
        <f t="shared" si="7"/>
        <v>1.729987284132541</v>
      </c>
      <c r="BH5" s="59">
        <f t="shared" si="8"/>
        <v>295.06332061746588</v>
      </c>
      <c r="BI5" s="59">
        <f ca="1">AVERAGE(OFFSET($BH$3,0,0,'Données projet'!$E$11+1,1))-AVERAGE(OFFSET($H$3,0,0,'Données projet'!$E$11+1,1))</f>
        <v>158.58786357608489</v>
      </c>
      <c r="BJ5" s="59">
        <f t="shared" ref="BJ5:BJ68" si="38">$BJ$3</f>
        <v>163.20074068819849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7.9</v>
      </c>
      <c r="BY5" s="12">
        <f>IF('Données projet'!$A$114&gt;35,BY4+BX5-CG4,IF(A5&lt;'Données projet'!$A$114,$BV$205^A5,IF(A5='Données projet'!$A$114,'Données projet'!$B$114,BY4+BX5-CG4)))</f>
        <v>1.6590738140266501</v>
      </c>
      <c r="BZ5" s="13">
        <f>BY5*VLOOKUP('Données projet'!$B$12,Paramètres!$A$1:$I$89,3,0)*VLOOKUP('Données projet'!$B$12,Paramètres!$A$1:$I$89,5,0)</f>
        <v>1.0352620599526297</v>
      </c>
      <c r="CA5" s="13">
        <f t="shared" ref="CA5:CA68" si="39">EXP(-1.0587+0.8836*LN(BZ5)+0.284)</f>
        <v>0.4751716356997846</v>
      </c>
      <c r="CB5" s="20">
        <f t="shared" si="10"/>
        <v>2.6306720199279545</v>
      </c>
      <c r="CC5" s="59">
        <f t="shared" si="11"/>
        <v>295.96400535326126</v>
      </c>
      <c r="CD5" s="59">
        <f ca="1">AVERAGE(OFFSET($CC$3,0,0,'Données projet'!$E$12+1,1))-AVERAGE(OFFSET($H$3,0,0,'Données projet'!$E$12+1,1))</f>
        <v>255.41017495879987</v>
      </c>
      <c r="CE5" s="59">
        <f t="shared" ref="CE5:CE68" si="40">$CE$3</f>
        <v>297.50513563712764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6.179370629370629</v>
      </c>
      <c r="CT5" s="12">
        <f>IF('Données projet'!$A$140&gt;35,CT4+CS5-DB4,IF(A5&lt;'Données projet'!$A$140,$CQ$205^A5,IF(A5='Données projet'!$A$140,'Données projet'!$B$140,CT4+CS5-DB4)))</f>
        <v>1.5629405096438167</v>
      </c>
      <c r="CU5" s="17">
        <f>CT5*VLOOKUP('Données projet'!$B$13,Paramètres!$A$1:$I$89,3,0)*VLOOKUP('Données projet'!$B$13,Paramètres!$A$1:$I$89,5,0)</f>
        <v>0.89400197151626326</v>
      </c>
      <c r="CV5" s="13">
        <f t="shared" ref="CV5:CV68" si="41">EXP(-1.0587+0.8836*LN(CU5)+0.284)</f>
        <v>0.41740220861658023</v>
      </c>
      <c r="CW5" s="20">
        <f t="shared" si="13"/>
        <v>2.2840289470647019</v>
      </c>
      <c r="CX5" s="59">
        <f t="shared" si="14"/>
        <v>295.61736228039803</v>
      </c>
      <c r="CY5" s="59">
        <f ca="1">AVERAGE(OFFSET($CX$3,0,0,'Données projet'!$E$13+1,1))-AVERAGE(OFFSET($H$3,0,0,'Données projet'!$E$13+1,1))</f>
        <v>134.70214882504786</v>
      </c>
      <c r="CZ5" s="59">
        <f t="shared" ref="CZ5:CZ68" si="42">$CZ$3</f>
        <v>102.18553029667771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2.3805128205128203</v>
      </c>
      <c r="DO5" s="12">
        <f>IF('Données projet'!$A$166&gt;35,DO4+DN5-DW4,IF(A5&lt;'Données projet'!$A$166,$DL$205^A5,IF(A5='Données projet'!$A$166,'Données projet'!$B$166,DO4+DN5-DW4)))</f>
        <v>1.610775088937616</v>
      </c>
      <c r="DP5" s="17">
        <f>DO5*VLOOKUP('Données projet'!$B$14,Paramètres!$A$1:$I$89,3,0)*VLOOKUP('Données projet'!$B$14,Paramètres!$A$1:$I$89,5,0)</f>
        <v>0.96324350318469443</v>
      </c>
      <c r="DQ5" s="13">
        <f t="shared" ref="DQ5:DQ68" si="43">EXP(-1.0587+0.8836*LN(DP5)+0.284)</f>
        <v>0.44584230224208238</v>
      </c>
      <c r="DR5" s="20">
        <f t="shared" si="16"/>
        <v>2.4541577777849692</v>
      </c>
      <c r="DS5" s="59">
        <f t="shared" si="17"/>
        <v>295.7874911111183</v>
      </c>
      <c r="DT5" s="59">
        <f ca="1">AVERAGE(OFFSET($DS$3,0,0,'Données projet'!$E$14+1,1))-AVERAGE(OFFSET($H$3,0,0,'Données projet'!$E$14+1,1))</f>
        <v>179.32848817523677</v>
      </c>
      <c r="DU5" s="59">
        <f t="shared" ref="DU5:DU68" si="44">$DU$3</f>
        <v>131.3292389103035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9.3968325791855207</v>
      </c>
      <c r="EJ5" s="12">
        <f>IF('Données projet'!$A$192&gt;35,EJ4+EI5-ER4,IF(A5&lt;'Données projet'!$A$192,$EG$205^A5,IF(A5='Données projet'!$A$192,'Données projet'!$B$192,EJ4+EI5-ER4)))</f>
        <v>1.8164653049921848</v>
      </c>
      <c r="EK5" s="17">
        <f>EJ5*VLOOKUP('Données projet'!$B$15,Paramètres!$A$1:$I$89,3,0)*VLOOKUP('Données projet'!$B$15,Paramètres!$A$1:$I$89,5,0)</f>
        <v>0.80287766480654577</v>
      </c>
      <c r="EL5" s="13">
        <f t="shared" ref="EL5:EL68" si="45">EXP(-1.0587+0.8836*LN(EK5)+0.284)</f>
        <v>0.37957731893566649</v>
      </c>
      <c r="EM5" s="20">
        <f t="shared" si="19"/>
        <v>2.0594424300176861</v>
      </c>
      <c r="EN5" s="59">
        <f t="shared" si="20"/>
        <v>295.39277576335098</v>
      </c>
      <c r="EO5" s="59">
        <f ca="1">AVERAGE(OFFSET($EN$3,0,0,'Données projet'!$E$15+1,1))-AVERAGE(OFFSET($H$3,0,0,'Données projet'!$E$15+1,1))</f>
        <v>191.932060106699</v>
      </c>
      <c r="EP5" s="59">
        <f t="shared" ref="EP5:EP68" si="46">$EP$3</f>
        <v>260.28593152736903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1.05</v>
      </c>
      <c r="FE5" s="12">
        <f>IF('Données projet'!$A$218&gt;35,FE4+FD5-FM4,IF(A5&lt;'Données projet'!$A$218,$FB$205^A5,IF(A5='Données projet'!$A$218,'Données projet'!$B$218,FE4+FD5-FM4)))</f>
        <v>1.3558821066938469</v>
      </c>
      <c r="FF5" s="17">
        <f>FE5*VLOOKUP('Données projet'!$B$16,Paramètres!$A$1:$I$89,3,0)*VLOOKUP('Données projet'!$B$16,Paramètres!$A$1:$I$89,5,0)</f>
        <v>1.3114091735942888</v>
      </c>
      <c r="FG5" s="13">
        <f t="shared" ref="FG5:FG68" si="47">EXP(-1.0587+0.8836*LN(FF5)+0.284)</f>
        <v>0.58557908091788968</v>
      </c>
      <c r="FH5" s="20">
        <f t="shared" si="22"/>
        <v>3.3039212099420436</v>
      </c>
      <c r="FI5" s="59">
        <f t="shared" si="23"/>
        <v>296.63725454327533</v>
      </c>
      <c r="FJ5" s="59">
        <f ca="1">AVERAGE(OFFSET($FI$3,0,0,'Données projet'!$E$16+1,1))-AVERAGE(OFFSET($H$3,0,0,'Données projet'!$E$16+1,1))</f>
        <v>102.86738524979938</v>
      </c>
      <c r="FK5" s="59">
        <f t="shared" ref="FK5:FK68" si="48">$FK$3</f>
        <v>56.347130462109817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3.55</v>
      </c>
      <c r="FZ5" s="12">
        <f>IF('Données projet'!$A$244&gt;35,FZ4+FY5-GH4,IF(A5&lt;'Données projet'!$A$244,$FW$205^A5,IF(A5='Données projet'!$A$244,'Données projet'!$B$244,FZ4+FY5-GH4)))</f>
        <v>1.5315311516599988</v>
      </c>
      <c r="GA5" s="17">
        <f>FZ5*VLOOKUP('Données projet'!$B$17,Paramètres!$A$1:$I$89,3,0)*VLOOKUP('Données projet'!$B$17,Paramètres!$A$1:$I$89,5,0)</f>
        <v>1.0273510965335271</v>
      </c>
      <c r="GB5" s="13">
        <f t="shared" ref="GB5:GB68" si="49">EXP(-1.0587+0.8836*LN(GA5)+0.284)</f>
        <v>0.47196182848992635</v>
      </c>
      <c r="GC5" s="20">
        <f t="shared" si="25"/>
        <v>2.6113033444158478</v>
      </c>
      <c r="GD5" s="59">
        <f t="shared" si="26"/>
        <v>295.94463667774914</v>
      </c>
      <c r="GE5" s="59">
        <f ca="1">AVERAGE(OFFSET($GD$3,0,0,'Données projet'!$E$17+1,1))-AVERAGE(OFFSET($H$3,0,0,'Données projet'!$E$17+1,1))</f>
        <v>168.00454652899231</v>
      </c>
      <c r="GF5" s="59">
        <f t="shared" ref="GF5:GF68" si="50">$GF$3</f>
        <v>135.31958994080446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4.0628205128205126</v>
      </c>
      <c r="N6" s="13">
        <f>IF('Données projet'!$A$36&gt;35,N5+M6-V5,IF(A6&lt;'Données projet'!$A$36,$K$205^A6,IF(A6='Données projet'!$A$36,'Données projet'!$B$36,N5+M6-V5)))</f>
        <v>1.6165713926559588</v>
      </c>
      <c r="O6" s="13">
        <f>N6*VLOOKUP('Données projet'!$B$9,Paramètres!$A$1:$I$89,3,0)*VLOOKUP('Données projet'!$B$9,Paramètres!$A$1:$I$89,5,0)</f>
        <v>1.4626737960751115</v>
      </c>
      <c r="P6" s="13">
        <f t="shared" si="33"/>
        <v>0.64487624467855742</v>
      </c>
      <c r="Q6" s="20">
        <f t="shared" si="2"/>
        <v>3.6706496543126392</v>
      </c>
      <c r="R6" s="59">
        <f t="shared" si="0"/>
        <v>297.00398298764594</v>
      </c>
      <c r="S6" s="59">
        <f ca="1">AVERAGE(OFFSET($R$3,0,0,'Données projet'!$E$9+1,1))-AVERAGE(OFFSET($H$3,0,0,'Données projet'!$E$9+1,1))</f>
        <v>221.7429870520005</v>
      </c>
      <c r="T6" s="59">
        <f t="shared" si="34"/>
        <v>182.2029938397186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2.9235042735042733</v>
      </c>
      <c r="AI6" s="13">
        <f>IF('Données projet'!$A$62&gt;35,AI5+AH6-AQ5,IF(A6&lt;'Données projet'!$A$62,$AF$205^A6,IF(A6='Données projet'!$A$62,'Données projet'!$B$62,AI5+AH6-AQ5)))</f>
        <v>1.5642367998361231</v>
      </c>
      <c r="AJ6" s="13">
        <f>AI6*VLOOKUP('Données projet'!$B$10,Paramètres!$A$1:$I$89,3,0)*VLOOKUP('Données projet'!$B$10,Paramètres!$A$1:$I$89,5,0)</f>
        <v>1.415321456491724</v>
      </c>
      <c r="AK6" s="13">
        <f t="shared" si="35"/>
        <v>0.62639404887004735</v>
      </c>
      <c r="AL6" s="20">
        <f t="shared" si="4"/>
        <v>3.5559878385050854</v>
      </c>
      <c r="AM6" s="59">
        <f t="shared" si="5"/>
        <v>296.88932117183839</v>
      </c>
      <c r="AN6" s="59">
        <f ca="1">AVERAGE(OFFSET($AM$3,0,0,'Données projet'!$E$10+1,1))-AVERAGE(OFFSET($H$3,0,0,'Données projet'!$E$10+1,1))</f>
        <v>153.45079678708987</v>
      </c>
      <c r="AO6" s="59">
        <f t="shared" si="36"/>
        <v>115.4217868409637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7.2264102564102561</v>
      </c>
      <c r="BD6" s="12">
        <f>IF('Données projet'!$A$88&gt;35,BD5+BC6-BL5,IF(A6&lt;'Données projet'!$A$88,$BA$205^A6,IF(A6='Données projet'!$A$88,'Données projet'!$B$88,BD5+BC6-BL5)))</f>
        <v>1.7123967181757771</v>
      </c>
      <c r="BE6" s="13">
        <f>BD6*VLOOKUP('Données projet'!$B$11,Paramètres!$A$1:$I$89,3,0)*VLOOKUP('Données projet'!$B$11,Paramètres!$A$1:$I$89,5,0)</f>
        <v>0.80140166410626379</v>
      </c>
      <c r="BF6" s="13">
        <f t="shared" si="37"/>
        <v>0.37896066764546593</v>
      </c>
      <c r="BG6" s="20">
        <f t="shared" si="7"/>
        <v>2.0557977278009294</v>
      </c>
      <c r="BH6" s="59">
        <f t="shared" si="8"/>
        <v>295.38913106113426</v>
      </c>
      <c r="BI6" s="59">
        <f ca="1">AVERAGE(OFFSET($BH$3,0,0,'Données projet'!$E$11+1,1))-AVERAGE(OFFSET($H$3,0,0,'Données projet'!$E$11+1,1))</f>
        <v>158.58786357608489</v>
      </c>
      <c r="BJ6" s="59">
        <f t="shared" si="38"/>
        <v>163.20074068819849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7.9</v>
      </c>
      <c r="BY6" s="12">
        <f>IF('Données projet'!$A$114&gt;35,BY5+BX6-CG5,IF(A6&lt;'Données projet'!$A$114,$BV$205^A6,IF(A6='Données projet'!$A$114,'Données projet'!$B$114,BY5+BX6-CG5)))</f>
        <v>2.1369706776057753</v>
      </c>
      <c r="BZ6" s="13">
        <f>BY6*VLOOKUP('Données projet'!$B$12,Paramètres!$A$1:$I$89,3,0)*VLOOKUP('Données projet'!$B$12,Paramètres!$A$1:$I$89,5,0)</f>
        <v>1.3334697028260039</v>
      </c>
      <c r="CA6" s="13">
        <f t="shared" si="39"/>
        <v>0.59427461398928705</v>
      </c>
      <c r="CB6" s="20">
        <f t="shared" si="10"/>
        <v>3.357488018453298</v>
      </c>
      <c r="CC6" s="59">
        <f t="shared" si="11"/>
        <v>296.69082135178661</v>
      </c>
      <c r="CD6" s="59">
        <f ca="1">AVERAGE(OFFSET($CC$3,0,0,'Données projet'!$E$12+1,1))-AVERAGE(OFFSET($H$3,0,0,'Données projet'!$E$12+1,1))</f>
        <v>255.41017495879987</v>
      </c>
      <c r="CE6" s="59">
        <f t="shared" si="40"/>
        <v>297.50513563712764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6.179370629370629</v>
      </c>
      <c r="CT6" s="12">
        <f>IF('Données projet'!$A$140&gt;35,CT5+CS6-DB5,IF(A6&lt;'Données projet'!$A$140,$CQ$205^A6,IF(A6='Données projet'!$A$140,'Données projet'!$B$140,CT5+CS6-DB5)))</f>
        <v>1.953951013794045</v>
      </c>
      <c r="CU6" s="17">
        <f>CT6*VLOOKUP('Données projet'!$B$13,Paramètres!$A$1:$I$89,3,0)*VLOOKUP('Données projet'!$B$13,Paramètres!$A$1:$I$89,5,0)</f>
        <v>1.1176599798901938</v>
      </c>
      <c r="CV6" s="13">
        <f t="shared" si="41"/>
        <v>0.5084386022695031</v>
      </c>
      <c r="CW6" s="20">
        <f t="shared" si="13"/>
        <v>2.8321216972614724</v>
      </c>
      <c r="CX6" s="59">
        <f t="shared" si="14"/>
        <v>296.16545503059479</v>
      </c>
      <c r="CY6" s="59">
        <f ca="1">AVERAGE(OFFSET($CX$3,0,0,'Données projet'!$E$13+1,1))-AVERAGE(OFFSET($H$3,0,0,'Données projet'!$E$13+1,1))</f>
        <v>134.70214882504786</v>
      </c>
      <c r="CZ6" s="59">
        <f t="shared" si="42"/>
        <v>102.18553029667771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2.3805128205128203</v>
      </c>
      <c r="DO6" s="12">
        <f>IF('Données projet'!$A$166&gt;35,DO5+DN6-DW5,IF(A6&lt;'Données projet'!$A$166,$DL$205^A6,IF(A6='Données projet'!$A$166,'Données projet'!$B$166,DO5+DN6-DW5)))</f>
        <v>2.0443363779612804</v>
      </c>
      <c r="DP6" s="17">
        <f>DO6*VLOOKUP('Données projet'!$B$14,Paramètres!$A$1:$I$89,3,0)*VLOOKUP('Données projet'!$B$14,Paramètres!$A$1:$I$89,5,0)</f>
        <v>1.2225131540208458</v>
      </c>
      <c r="DQ6" s="13">
        <f t="shared" si="43"/>
        <v>0.55036308132321654</v>
      </c>
      <c r="DR6" s="20">
        <f t="shared" si="16"/>
        <v>3.0877594432242415</v>
      </c>
      <c r="DS6" s="59">
        <f t="shared" si="17"/>
        <v>296.42109277655754</v>
      </c>
      <c r="DT6" s="59">
        <f ca="1">AVERAGE(OFFSET($DS$3,0,0,'Données projet'!$E$14+1,1))-AVERAGE(OFFSET($H$3,0,0,'Données projet'!$E$14+1,1))</f>
        <v>179.32848817523677</v>
      </c>
      <c r="DU6" s="59">
        <f t="shared" si="44"/>
        <v>131.3292389103035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9.3968325791855207</v>
      </c>
      <c r="EJ6" s="12">
        <f>IF('Données projet'!$A$192&gt;35,EJ5+EI6-ER5,IF(A6&lt;'Données projet'!$A$192,$EG$205^A6,IF(A6='Données projet'!$A$192,'Données projet'!$B$192,EJ5+EI6-ER5)))</f>
        <v>2.4481648641832221</v>
      </c>
      <c r="EK6" s="17">
        <f>EJ6*VLOOKUP('Données projet'!$B$15,Paramètres!$A$1:$I$89,3,0)*VLOOKUP('Données projet'!$B$15,Paramètres!$A$1:$I$89,5,0)</f>
        <v>1.0820888699689843</v>
      </c>
      <c r="EL6" s="13">
        <f t="shared" si="45"/>
        <v>0.49411357982178822</v>
      </c>
      <c r="EM6" s="20">
        <f t="shared" si="19"/>
        <v>2.7452192667189284</v>
      </c>
      <c r="EN6" s="59">
        <f t="shared" si="20"/>
        <v>296.07855260005226</v>
      </c>
      <c r="EO6" s="59">
        <f ca="1">AVERAGE(OFFSET($EN$3,0,0,'Données projet'!$E$15+1,1))-AVERAGE(OFFSET($H$3,0,0,'Données projet'!$E$15+1,1))</f>
        <v>191.932060106699</v>
      </c>
      <c r="EP6" s="59">
        <f t="shared" si="46"/>
        <v>260.28593152736903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1.05</v>
      </c>
      <c r="FE6" s="12">
        <f>IF('Données projet'!$A$218&gt;35,FE5+FD6-FM5,IF(A6&lt;'Données projet'!$A$218,$FB$205^A6,IF(A6='Données projet'!$A$218,'Données projet'!$B$218,FE5+FD6-FM5)))</f>
        <v>1.5788209995247278</v>
      </c>
      <c r="FF6" s="17">
        <f>FE6*VLOOKUP('Données projet'!$B$16,Paramètres!$A$1:$I$89,3,0)*VLOOKUP('Données projet'!$B$16,Paramètres!$A$1:$I$89,5,0)</f>
        <v>1.5270356707403168</v>
      </c>
      <c r="FG6" s="13">
        <f t="shared" si="47"/>
        <v>0.66988646367992577</v>
      </c>
      <c r="FH6" s="20">
        <f t="shared" si="22"/>
        <v>3.8263060507819229</v>
      </c>
      <c r="FI6" s="59">
        <f t="shared" si="23"/>
        <v>297.15963938411522</v>
      </c>
      <c r="FJ6" s="59">
        <f ca="1">AVERAGE(OFFSET($FI$3,0,0,'Données projet'!$E$16+1,1))-AVERAGE(OFFSET($H$3,0,0,'Données projet'!$E$16+1,1))</f>
        <v>102.86738524979938</v>
      </c>
      <c r="FK6" s="59">
        <f t="shared" si="48"/>
        <v>56.347130462109817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3.55</v>
      </c>
      <c r="FZ6" s="12">
        <f>IF('Données projet'!$A$244&gt;35,FZ5+FY6-GH5,IF(A6&lt;'Données projet'!$A$244,$FW$205^A6,IF(A6='Données projet'!$A$244,'Données projet'!$B$244,FZ5+FY6-GH5)))</f>
        <v>1.89534708780871</v>
      </c>
      <c r="GA6" s="17">
        <f>FZ6*VLOOKUP('Données projet'!$B$17,Paramètres!$A$1:$I$89,3,0)*VLOOKUP('Données projet'!$B$17,Paramètres!$A$1:$I$89,5,0)</f>
        <v>1.2713988265020826</v>
      </c>
      <c r="GB6" s="13">
        <f t="shared" si="49"/>
        <v>0.56976460818628971</v>
      </c>
      <c r="GC6" s="20">
        <f t="shared" si="25"/>
        <v>3.2066929820822483</v>
      </c>
      <c r="GD6" s="59">
        <f t="shared" si="26"/>
        <v>296.54002631541556</v>
      </c>
      <c r="GE6" s="59">
        <f ca="1">AVERAGE(OFFSET($GD$3,0,0,'Données projet'!$E$17+1,1))-AVERAGE(OFFSET($H$3,0,0,'Données projet'!$E$17+1,1))</f>
        <v>168.00454652899231</v>
      </c>
      <c r="GF6" s="59">
        <f t="shared" si="50"/>
        <v>135.31958994080446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4.0628205128205126</v>
      </c>
      <c r="N7" s="13">
        <f>IF('Données projet'!$A$36&gt;35,N6+M7-V6,IF(A7&lt;'Données projet'!$A$36,$K$205^A7,IF(A7='Données projet'!$A$36,'Données projet'!$B$36,N6+M7-V6)))</f>
        <v>1.8972585507745794</v>
      </c>
      <c r="O7" s="13">
        <f>N7*VLOOKUP('Données projet'!$B$9,Paramètres!$A$1:$I$89,3,0)*VLOOKUP('Données projet'!$B$9,Paramètres!$A$1:$I$89,5,0)</f>
        <v>1.7166395367408394</v>
      </c>
      <c r="P7" s="13">
        <f t="shared" si="33"/>
        <v>0.74287291975378222</v>
      </c>
      <c r="Q7" s="20">
        <f t="shared" si="2"/>
        <v>4.283650861728133</v>
      </c>
      <c r="R7" s="59">
        <f t="shared" si="0"/>
        <v>297.61698419506143</v>
      </c>
      <c r="S7" s="59">
        <f ca="1">AVERAGE(OFFSET($R$3,0,0,'Données projet'!$E$9+1,1))-AVERAGE(OFFSET($H$3,0,0,'Données projet'!$E$9+1,1))</f>
        <v>221.7429870520005</v>
      </c>
      <c r="T7" s="59">
        <f t="shared" si="34"/>
        <v>182.2029938397186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2.9235042735042733</v>
      </c>
      <c r="AI7" s="13">
        <f>IF('Données projet'!$A$62&gt;35,AI6+AH7-AQ6,IF(A7&lt;'Données projet'!$A$62,$AF$205^A7,IF(A7='Données projet'!$A$62,'Données projet'!$B$62,AI6+AH7-AQ6)))</f>
        <v>1.8158083060704666</v>
      </c>
      <c r="AJ7" s="13">
        <f>AI7*VLOOKUP('Données projet'!$B$10,Paramètres!$A$1:$I$89,3,0)*VLOOKUP('Données projet'!$B$10,Paramètres!$A$1:$I$89,5,0)</f>
        <v>1.6429433553325583</v>
      </c>
      <c r="AK7" s="13">
        <f t="shared" si="35"/>
        <v>0.71462167681995736</v>
      </c>
      <c r="AL7" s="20">
        <f t="shared" si="4"/>
        <v>4.1060924309989639</v>
      </c>
      <c r="AM7" s="59">
        <f t="shared" si="5"/>
        <v>297.43942576433227</v>
      </c>
      <c r="AN7" s="59">
        <f ca="1">AVERAGE(OFFSET($AM$3,0,0,'Données projet'!$E$10+1,1))-AVERAGE(OFFSET($H$3,0,0,'Données projet'!$E$10+1,1))</f>
        <v>153.45079678708987</v>
      </c>
      <c r="AO7" s="59">
        <f t="shared" si="36"/>
        <v>115.4217868409637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7.2264102564102561</v>
      </c>
      <c r="BD7" s="12">
        <f>IF('Données projet'!$A$88&gt;35,BD6+BC7-BL6,IF(A7&lt;'Données projet'!$A$88,$BA$205^A7,IF(A7='Données projet'!$A$88,'Données projet'!$B$88,BD6+BC7-BL6)))</f>
        <v>2.0486723961153532</v>
      </c>
      <c r="BE7" s="13">
        <f>BD7*VLOOKUP('Données projet'!$B$11,Paramètres!$A$1:$I$89,3,0)*VLOOKUP('Données projet'!$B$11,Paramètres!$A$1:$I$89,5,0)</f>
        <v>0.95877868138198519</v>
      </c>
      <c r="BF7" s="13">
        <f t="shared" si="37"/>
        <v>0.44401579092570115</v>
      </c>
      <c r="BG7" s="20">
        <f t="shared" si="7"/>
        <v>2.4432003726025537</v>
      </c>
      <c r="BH7" s="59">
        <f t="shared" si="8"/>
        <v>295.77653370593589</v>
      </c>
      <c r="BI7" s="59">
        <f ca="1">AVERAGE(OFFSET($BH$3,0,0,'Données projet'!$E$11+1,1))-AVERAGE(OFFSET($H$3,0,0,'Données projet'!$E$11+1,1))</f>
        <v>158.58786357608489</v>
      </c>
      <c r="BJ7" s="59">
        <f t="shared" si="38"/>
        <v>163.20074068819849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7.9</v>
      </c>
      <c r="BY7" s="12">
        <f>IF('Données projet'!$A$114&gt;35,BY6+BX7-CG6,IF(A7&lt;'Données projet'!$A$114,$BV$205^A7,IF(A7='Données projet'!$A$114,'Données projet'!$B$114,BY6+BX7-CG6)))</f>
        <v>2.7525259203889356</v>
      </c>
      <c r="BZ7" s="13">
        <f>BY7*VLOOKUP('Données projet'!$B$12,Paramètres!$A$1:$I$89,3,0)*VLOOKUP('Données projet'!$B$12,Paramètres!$A$1:$I$89,5,0)</f>
        <v>1.7175761743226958</v>
      </c>
      <c r="CA7" s="13">
        <f t="shared" si="39"/>
        <v>0.74323105652553223</v>
      </c>
      <c r="CB7" s="20">
        <f t="shared" si="10"/>
        <v>4.2859059270606634</v>
      </c>
      <c r="CC7" s="59">
        <f t="shared" si="11"/>
        <v>297.61923926039395</v>
      </c>
      <c r="CD7" s="59">
        <f ca="1">AVERAGE(OFFSET($CC$3,0,0,'Données projet'!$E$12+1,1))-AVERAGE(OFFSET($H$3,0,0,'Données projet'!$E$12+1,1))</f>
        <v>255.41017495879987</v>
      </c>
      <c r="CE7" s="59">
        <f t="shared" si="40"/>
        <v>297.50513563712764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6.179370629370629</v>
      </c>
      <c r="CT7" s="12">
        <f>IF('Données projet'!$A$140&gt;35,CT6+CS7-DB6,IF(A7&lt;'Données projet'!$A$140,$CQ$205^A7,IF(A7='Données projet'!$A$140,'Données projet'!$B$140,CT6+CS7-DB6)))</f>
        <v>2.4427830366856735</v>
      </c>
      <c r="CU7" s="17">
        <f>CT7*VLOOKUP('Données projet'!$B$13,Paramètres!$A$1:$I$89,3,0)*VLOOKUP('Données projet'!$B$13,Paramètres!$A$1:$I$89,5,0)</f>
        <v>1.3972718969842053</v>
      </c>
      <c r="CV7" s="13">
        <f t="shared" si="41"/>
        <v>0.61933024536348213</v>
      </c>
      <c r="CW7" s="20">
        <f t="shared" si="13"/>
        <v>3.5122487312555548</v>
      </c>
      <c r="CX7" s="59">
        <f t="shared" si="14"/>
        <v>296.84558206458888</v>
      </c>
      <c r="CY7" s="59">
        <f ca="1">AVERAGE(OFFSET($CX$3,0,0,'Données projet'!$E$13+1,1))-AVERAGE(OFFSET($H$3,0,0,'Données projet'!$E$13+1,1))</f>
        <v>134.70214882504786</v>
      </c>
      <c r="CZ7" s="59">
        <f t="shared" si="42"/>
        <v>102.18553029667771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2.3805128205128203</v>
      </c>
      <c r="DO7" s="12">
        <f>IF('Données projet'!$A$166&gt;35,DO6+DN7-DW6,IF(A7&lt;'Données projet'!$A$166,$DL$205^A7,IF(A7='Données projet'!$A$166,'Données projet'!$B$166,DO6+DN7-DW6)))</f>
        <v>2.5945963871419848</v>
      </c>
      <c r="DP7" s="17">
        <f>DO7*VLOOKUP('Données projet'!$B$14,Paramètres!$A$1:$I$89,3,0)*VLOOKUP('Données projet'!$B$14,Paramètres!$A$1:$I$89,5,0)</f>
        <v>1.551568639510907</v>
      </c>
      <c r="DQ7" s="13">
        <f t="shared" si="43"/>
        <v>0.67938712805030732</v>
      </c>
      <c r="DR7" s="20">
        <f t="shared" si="16"/>
        <v>3.8855812951691147</v>
      </c>
      <c r="DS7" s="59">
        <f t="shared" si="17"/>
        <v>297.21891462850243</v>
      </c>
      <c r="DT7" s="59">
        <f ca="1">AVERAGE(OFFSET($DS$3,0,0,'Données projet'!$E$14+1,1))-AVERAGE(OFFSET($H$3,0,0,'Données projet'!$E$14+1,1))</f>
        <v>179.32848817523677</v>
      </c>
      <c r="DU7" s="59">
        <f t="shared" si="44"/>
        <v>131.3292389103035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9.3968325791855207</v>
      </c>
      <c r="EJ7" s="12">
        <f>IF('Données projet'!$A$192&gt;35,EJ6+EI7-ER6,IF(A7&lt;'Données projet'!$A$192,$EG$205^A7,IF(A7='Données projet'!$A$192,'Données projet'!$B$192,EJ6+EI7-ER6)))</f>
        <v>3.2995462042403512</v>
      </c>
      <c r="EK7" s="17">
        <f>EJ7*VLOOKUP('Données projet'!$B$15,Paramètres!$A$1:$I$89,3,0)*VLOOKUP('Données projet'!$B$15,Paramètres!$A$1:$I$89,5,0)</f>
        <v>1.4583994222742356</v>
      </c>
      <c r="EL7" s="13">
        <f t="shared" si="45"/>
        <v>0.64321079681181559</v>
      </c>
      <c r="EM7" s="20">
        <f t="shared" si="19"/>
        <v>3.6603044649082057</v>
      </c>
      <c r="EN7" s="59">
        <f t="shared" si="20"/>
        <v>296.99363779824154</v>
      </c>
      <c r="EO7" s="59">
        <f ca="1">AVERAGE(OFFSET($EN$3,0,0,'Données projet'!$E$15+1,1))-AVERAGE(OFFSET($H$3,0,0,'Données projet'!$E$15+1,1))</f>
        <v>191.932060106699</v>
      </c>
      <c r="EP7" s="59">
        <f t="shared" si="46"/>
        <v>260.28593152736903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1.05</v>
      </c>
      <c r="FE7" s="12">
        <f>IF('Données projet'!$A$218&gt;35,FE6+FD7-FM6,IF(A7&lt;'Données projet'!$A$218,$FB$205^A7,IF(A7='Données projet'!$A$218,'Données projet'!$B$218,FE6+FD7-FM6)))</f>
        <v>1.8384162872525445</v>
      </c>
      <c r="FF7" s="17">
        <f>FE7*VLOOKUP('Données projet'!$B$16,Paramètres!$A$1:$I$89,3,0)*VLOOKUP('Données projet'!$B$16,Paramètres!$A$1:$I$89,5,0)</f>
        <v>1.778116233030661</v>
      </c>
      <c r="FG7" s="13">
        <f t="shared" si="47"/>
        <v>0.76633180529295619</v>
      </c>
      <c r="FH7" s="20">
        <f t="shared" si="22"/>
        <v>4.431580333413633</v>
      </c>
      <c r="FI7" s="59">
        <f t="shared" si="23"/>
        <v>297.76491366674696</v>
      </c>
      <c r="FJ7" s="59">
        <f ca="1">AVERAGE(OFFSET($FI$3,0,0,'Données projet'!$E$16+1,1))-AVERAGE(OFFSET($H$3,0,0,'Données projet'!$E$16+1,1))</f>
        <v>102.86738524979938</v>
      </c>
      <c r="FK7" s="59">
        <f t="shared" si="48"/>
        <v>56.347130462109817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3.55</v>
      </c>
      <c r="FZ7" s="12">
        <f>IF('Données projet'!$A$244&gt;35,FZ6+FY7-GH6,IF(A7&lt;'Données projet'!$A$244,$FW$205^A7,IF(A7='Données projet'!$A$244,'Données projet'!$B$244,FZ6+FY7-GH6)))</f>
        <v>2.3455876685050021</v>
      </c>
      <c r="GA7" s="17">
        <f>FZ7*VLOOKUP('Données projet'!$B$17,Paramètres!$A$1:$I$89,3,0)*VLOOKUP('Données projet'!$B$17,Paramètres!$A$1:$I$89,5,0)</f>
        <v>1.5734202080331554</v>
      </c>
      <c r="GB7" s="13">
        <f t="shared" si="49"/>
        <v>0.687834670401963</v>
      </c>
      <c r="GC7" s="20">
        <f t="shared" si="25"/>
        <v>3.9383522466078311</v>
      </c>
      <c r="GD7" s="59">
        <f t="shared" si="26"/>
        <v>297.27168557994116</v>
      </c>
      <c r="GE7" s="59">
        <f ca="1">AVERAGE(OFFSET($GD$3,0,0,'Données projet'!$E$17+1,1))-AVERAGE(OFFSET($H$3,0,0,'Données projet'!$E$17+1,1))</f>
        <v>168.00454652899231</v>
      </c>
      <c r="GF7" s="59">
        <f t="shared" si="50"/>
        <v>135.31958994080446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4.0628205128205126</v>
      </c>
      <c r="N8" s="13">
        <f>IF('Données projet'!$A$36&gt;35,N7+M8-V7,IF(A8&lt;'Données projet'!$A$36,$K$205^A8,IF(A8='Données projet'!$A$36,'Données projet'!$B$36,N7+M8-V7)))</f>
        <v>2.2266817443634719</v>
      </c>
      <c r="O8" s="13">
        <f>N8*VLOOKUP('Données projet'!$B$9,Paramètres!$A$1:$I$89,3,0)*VLOOKUP('Données projet'!$B$9,Paramètres!$A$1:$I$89,5,0)</f>
        <v>2.0147016423000692</v>
      </c>
      <c r="P8" s="13">
        <f t="shared" si="33"/>
        <v>0.85576136422669402</v>
      </c>
      <c r="Q8" s="20">
        <f t="shared" si="2"/>
        <v>4.999389736367446</v>
      </c>
      <c r="R8" s="59">
        <f t="shared" si="0"/>
        <v>298.33272306970076</v>
      </c>
      <c r="S8" s="59">
        <f ca="1">AVERAGE(OFFSET($R$3,0,0,'Données projet'!$E$9+1,1))-AVERAGE(OFFSET($H$3,0,0,'Données projet'!$E$9+1,1))</f>
        <v>221.7429870520005</v>
      </c>
      <c r="T8" s="59">
        <f t="shared" si="34"/>
        <v>182.2029938397186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2.9235042735042733</v>
      </c>
      <c r="AI8" s="13">
        <f>IF('Données projet'!$A$62&gt;35,AI7+AH8-AQ7,IF(A8&lt;'Données projet'!$A$62,$AF$205^A8,IF(A8='Données projet'!$A$62,'Données projet'!$B$62,AI7+AH8-AQ7)))</f>
        <v>2.1078393020416879</v>
      </c>
      <c r="AJ8" s="13">
        <f>AI8*VLOOKUP('Données projet'!$B$10,Paramètres!$A$1:$I$89,3,0)*VLOOKUP('Données projet'!$B$10,Paramètres!$A$1:$I$89,5,0)</f>
        <v>1.9071730004873191</v>
      </c>
      <c r="AK8" s="13">
        <f t="shared" si="35"/>
        <v>0.81527616985217366</v>
      </c>
      <c r="AL8" s="20">
        <f t="shared" si="4"/>
        <v>4.7415989716746161</v>
      </c>
      <c r="AM8" s="59">
        <f t="shared" si="5"/>
        <v>298.07493230500791</v>
      </c>
      <c r="AN8" s="59">
        <f ca="1">AVERAGE(OFFSET($AM$3,0,0,'Données projet'!$E$10+1,1))-AVERAGE(OFFSET($H$3,0,0,'Données projet'!$E$10+1,1))</f>
        <v>153.45079678708987</v>
      </c>
      <c r="AO8" s="59">
        <f t="shared" si="36"/>
        <v>115.4217868409637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7.2264102564102561</v>
      </c>
      <c r="BD8" s="12">
        <f>IF('Données projet'!$A$88&gt;35,BD7+BC8-BL7,IF(A8&lt;'Données projet'!$A$88,$BA$205^A8,IF(A8='Données projet'!$A$88,'Données projet'!$B$88,BD7+BC8-BL7)))</f>
        <v>2.4509849511252071</v>
      </c>
      <c r="BE8" s="13">
        <f>BD8*VLOOKUP('Données projet'!$B$11,Paramètres!$A$1:$I$89,3,0)*VLOOKUP('Données projet'!$B$11,Paramètres!$A$1:$I$89,5,0)</f>
        <v>1.1470609571265968</v>
      </c>
      <c r="BF8" s="13">
        <f t="shared" si="37"/>
        <v>0.52023874619045773</v>
      </c>
      <c r="BG8" s="20">
        <f t="shared" si="7"/>
        <v>2.9038803166105365</v>
      </c>
      <c r="BH8" s="59">
        <f t="shared" si="8"/>
        <v>296.23721364994384</v>
      </c>
      <c r="BI8" s="59">
        <f ca="1">AVERAGE(OFFSET($BH$3,0,0,'Données projet'!$E$11+1,1))-AVERAGE(OFFSET($H$3,0,0,'Données projet'!$E$11+1,1))</f>
        <v>158.58786357608489</v>
      </c>
      <c r="BJ8" s="59">
        <f t="shared" si="38"/>
        <v>163.20074068819849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7.9</v>
      </c>
      <c r="BY8" s="12">
        <f>IF('Données projet'!$A$114&gt;35,BY7+BX8-CG7,IF(A8&lt;'Données projet'!$A$114,$BV$205^A8,IF(A8='Données projet'!$A$114,'Données projet'!$B$114,BY7+BX8-CG7)))</f>
        <v>3.5453920925585285</v>
      </c>
      <c r="BZ8" s="13">
        <f>BY8*VLOOKUP('Données projet'!$B$12,Paramètres!$A$1:$I$89,3,0)*VLOOKUP('Données projet'!$B$12,Paramètres!$A$1:$I$89,5,0)</f>
        <v>2.2123246657565216</v>
      </c>
      <c r="CA8" s="13">
        <f t="shared" si="39"/>
        <v>0.9295238100041352</v>
      </c>
      <c r="CB8" s="20">
        <f t="shared" si="10"/>
        <v>5.4720527619498105</v>
      </c>
      <c r="CC8" s="59">
        <f t="shared" si="11"/>
        <v>298.8053860952831</v>
      </c>
      <c r="CD8" s="59">
        <f ca="1">AVERAGE(OFFSET($CC$3,0,0,'Données projet'!$E$12+1,1))-AVERAGE(OFFSET($H$3,0,0,'Données projet'!$E$12+1,1))</f>
        <v>255.41017495879987</v>
      </c>
      <c r="CE8" s="59">
        <f t="shared" si="40"/>
        <v>297.50513563712764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6.179370629370629</v>
      </c>
      <c r="CT8" s="12">
        <f>IF('Données projet'!$A$140&gt;35,CT7+CS8-DB7,IF(A8&lt;'Données projet'!$A$140,$CQ$205^A8,IF(A8='Données projet'!$A$140,'Données projet'!$B$140,CT7+CS8-DB7)))</f>
        <v>3.0539091933183173</v>
      </c>
      <c r="CU8" s="17">
        <f>CT8*VLOOKUP('Données projet'!$B$13,Paramètres!$A$1:$I$89,3,0)*VLOOKUP('Données projet'!$B$13,Paramètres!$A$1:$I$89,5,0)</f>
        <v>1.7468360585780778</v>
      </c>
      <c r="CV8" s="13">
        <f t="shared" si="41"/>
        <v>0.75440761403611101</v>
      </c>
      <c r="CW8" s="20">
        <f t="shared" si="13"/>
        <v>4.3563327298030456</v>
      </c>
      <c r="CX8" s="59">
        <f t="shared" si="14"/>
        <v>297.68966606313637</v>
      </c>
      <c r="CY8" s="59">
        <f ca="1">AVERAGE(OFFSET($CX$3,0,0,'Données projet'!$E$13+1,1))-AVERAGE(OFFSET($H$3,0,0,'Données projet'!$E$13+1,1))</f>
        <v>134.70214882504786</v>
      </c>
      <c r="CZ8" s="59">
        <f t="shared" si="42"/>
        <v>102.18553029667771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2.3805128205128203</v>
      </c>
      <c r="DO8" s="12">
        <f>IF('Données projet'!$A$166&gt;35,DO7+DN8-DW7,IF(A8&lt;'Données projet'!$A$166,$DL$205^A8,IF(A8='Données projet'!$A$166,'Données projet'!$B$166,DO7+DN8-DW7)))</f>
        <v>3.2929661110289854</v>
      </c>
      <c r="DP8" s="17">
        <f>DO8*VLOOKUP('Données projet'!$B$14,Paramètres!$A$1:$I$89,3,0)*VLOOKUP('Données projet'!$B$14,Paramètres!$A$1:$I$89,5,0)</f>
        <v>1.9691937343953334</v>
      </c>
      <c r="DQ8" s="13">
        <f t="shared" si="43"/>
        <v>0.83865885162703413</v>
      </c>
      <c r="DR8" s="20">
        <f t="shared" si="16"/>
        <v>4.8903432539889566</v>
      </c>
      <c r="DS8" s="59">
        <f t="shared" si="17"/>
        <v>298.22367658732225</v>
      </c>
      <c r="DT8" s="59">
        <f ca="1">AVERAGE(OFFSET($DS$3,0,0,'Données projet'!$E$14+1,1))-AVERAGE(OFFSET($H$3,0,0,'Données projet'!$E$14+1,1))</f>
        <v>179.32848817523677</v>
      </c>
      <c r="DU8" s="59">
        <f t="shared" si="44"/>
        <v>131.3292389103035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9.3968325791855207</v>
      </c>
      <c r="EJ8" s="12">
        <f>IF('Données projet'!$A$192&gt;35,EJ7+EI8-ER7,IF(A8&lt;'Données projet'!$A$192,$EG$205^A8,IF(A8='Données projet'!$A$192,'Données projet'!$B$192,EJ7+EI8-ER7)))</f>
        <v>4.4470065366897273</v>
      </c>
      <c r="EK8" s="17">
        <f>EJ8*VLOOKUP('Données projet'!$B$15,Paramètres!$A$1:$I$89,3,0)*VLOOKUP('Données projet'!$B$15,Paramètres!$A$1:$I$89,5,0)</f>
        <v>1.9655768892168597</v>
      </c>
      <c r="EL8" s="13">
        <f t="shared" si="45"/>
        <v>0.8372976295946104</v>
      </c>
      <c r="EM8" s="20">
        <f t="shared" si="19"/>
        <v>4.8816731202633106</v>
      </c>
      <c r="EN8" s="59">
        <f t="shared" si="20"/>
        <v>298.21500645359663</v>
      </c>
      <c r="EO8" s="59">
        <f ca="1">AVERAGE(OFFSET($EN$3,0,0,'Données projet'!$E$15+1,1))-AVERAGE(OFFSET($H$3,0,0,'Données projet'!$E$15+1,1))</f>
        <v>191.932060106699</v>
      </c>
      <c r="EP8" s="59">
        <f t="shared" si="46"/>
        <v>260.28593152736903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1.05</v>
      </c>
      <c r="FE8" s="12">
        <f>IF('Données projet'!$A$218&gt;35,FE7+FD8-FM7,IF(A8&lt;'Données projet'!$A$218,$FB$205^A8,IF(A8='Données projet'!$A$218,'Données projet'!$B$218,FE7+FD8-FM7)))</f>
        <v>2.1406951429280729</v>
      </c>
      <c r="FF8" s="17">
        <f>FE8*VLOOKUP('Données projet'!$B$16,Paramètres!$A$1:$I$89,3,0)*VLOOKUP('Données projet'!$B$16,Paramètres!$A$1:$I$89,5,0)</f>
        <v>2.0704803422400322</v>
      </c>
      <c r="FG8" s="13">
        <f t="shared" si="47"/>
        <v>0.87666264008009354</v>
      </c>
      <c r="FH8" s="20">
        <f t="shared" si="22"/>
        <v>5.1329406942075515</v>
      </c>
      <c r="FI8" s="59">
        <f t="shared" si="23"/>
        <v>298.46627402754086</v>
      </c>
      <c r="FJ8" s="59">
        <f ca="1">AVERAGE(OFFSET($FI$3,0,0,'Données projet'!$E$16+1,1))-AVERAGE(OFFSET($H$3,0,0,'Données projet'!$E$16+1,1))</f>
        <v>102.86738524979938</v>
      </c>
      <c r="FK8" s="59">
        <f t="shared" si="48"/>
        <v>56.347130462109817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3.55</v>
      </c>
      <c r="FZ8" s="12">
        <f>IF('Données projet'!$A$244&gt;35,FZ7+FY8-GH7,IF(A8&lt;'Données projet'!$A$244,$FW$205^A8,IF(A8='Données projet'!$A$244,'Données projet'!$B$244,FZ7+FY8-GH7)))</f>
        <v>2.9027831081870983</v>
      </c>
      <c r="GA8" s="17">
        <f>FZ8*VLOOKUP('Données projet'!$B$17,Paramètres!$A$1:$I$89,3,0)*VLOOKUP('Données projet'!$B$17,Paramètres!$A$1:$I$89,5,0)</f>
        <v>1.9471869089719056</v>
      </c>
      <c r="GB8" s="13">
        <f t="shared" si="49"/>
        <v>0.83037192378977553</v>
      </c>
      <c r="GC8" s="20">
        <f t="shared" si="25"/>
        <v>4.837581633726594</v>
      </c>
      <c r="GD8" s="59">
        <f t="shared" si="26"/>
        <v>298.1709149670599</v>
      </c>
      <c r="GE8" s="59">
        <f ca="1">AVERAGE(OFFSET($GD$3,0,0,'Données projet'!$E$17+1,1))-AVERAGE(OFFSET($H$3,0,0,'Données projet'!$E$17+1,1))</f>
        <v>168.00454652899231</v>
      </c>
      <c r="GF8" s="59">
        <f t="shared" si="50"/>
        <v>135.31958994080446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4.0628205128205126</v>
      </c>
      <c r="N9" s="13">
        <f>IF('Données projet'!$A$36&gt;35,N8+M9-V8,IF(A9&lt;'Données projet'!$A$36,$K$205^A9,IF(A9='Données projet'!$A$36,'Données projet'!$B$36,N8+M9-V8)))</f>
        <v>2.6133030675536255</v>
      </c>
      <c r="O9" s="13">
        <f>N9*VLOOKUP('Données projet'!$B$9,Paramètres!$A$1:$I$89,3,0)*VLOOKUP('Données projet'!$B$9,Paramètres!$A$1:$I$89,5,0)</f>
        <v>2.3645166155225201</v>
      </c>
      <c r="P9" s="13">
        <f t="shared" si="33"/>
        <v>0.98580456095486013</v>
      </c>
      <c r="Q9" s="20">
        <f t="shared" si="2"/>
        <v>5.8351427156981037</v>
      </c>
      <c r="R9" s="59">
        <f t="shared" si="0"/>
        <v>299.16847604903143</v>
      </c>
      <c r="S9" s="59">
        <f ca="1">AVERAGE(OFFSET($R$3,0,0,'Données projet'!$E$9+1,1))-AVERAGE(OFFSET($H$3,0,0,'Données projet'!$E$9+1,1))</f>
        <v>221.7429870520005</v>
      </c>
      <c r="T9" s="59">
        <f t="shared" si="34"/>
        <v>182.2029938397186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2.9235042735042733</v>
      </c>
      <c r="AI9" s="13">
        <f>IF('Données projet'!$A$62&gt;35,AI8+AH9-AQ8,IF(A9&lt;'Données projet'!$A$62,$AF$205^A9,IF(A9='Données projet'!$A$62,'Données projet'!$B$62,AI8+AH9-AQ8)))</f>
        <v>2.4468367659615553</v>
      </c>
      <c r="AJ9" s="13">
        <f>AI9*VLOOKUP('Données projet'!$B$10,Paramètres!$A$1:$I$89,3,0)*VLOOKUP('Données projet'!$B$10,Paramètres!$A$1:$I$89,5,0)</f>
        <v>2.2138979058420154</v>
      </c>
      <c r="AK9" s="13">
        <f t="shared" si="35"/>
        <v>0.93010785243265093</v>
      </c>
      <c r="AL9" s="20">
        <f t="shared" si="4"/>
        <v>5.4758100289950429</v>
      </c>
      <c r="AM9" s="59">
        <f t="shared" si="5"/>
        <v>298.80914336232837</v>
      </c>
      <c r="AN9" s="59">
        <f ca="1">AVERAGE(OFFSET($AM$3,0,0,'Données projet'!$E$10+1,1))-AVERAGE(OFFSET($H$3,0,0,'Données projet'!$E$10+1,1))</f>
        <v>153.45079678708987</v>
      </c>
      <c r="AO9" s="59">
        <f t="shared" si="36"/>
        <v>115.4217868409637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7.2264102564102561</v>
      </c>
      <c r="BD9" s="12">
        <f>IF('Données projet'!$A$88&gt;35,BD8+BC9-BL8,IF(A9&lt;'Données projet'!$A$88,$BA$205^A9,IF(A9='Données projet'!$A$88,'Données projet'!$B$88,BD8+BC9-BL8)))</f>
        <v>2.9323025204191722</v>
      </c>
      <c r="BE9" s="13">
        <f>BD9*VLOOKUP('Données projet'!$B$11,Paramètres!$A$1:$I$89,3,0)*VLOOKUP('Données projet'!$B$11,Paramètres!$A$1:$I$89,5,0)</f>
        <v>1.3723175795561726</v>
      </c>
      <c r="BF9" s="13">
        <f t="shared" si="37"/>
        <v>0.60954668407977464</v>
      </c>
      <c r="BG9" s="20">
        <f t="shared" si="7"/>
        <v>3.4517469258326074</v>
      </c>
      <c r="BH9" s="59">
        <f t="shared" si="8"/>
        <v>296.78508025916591</v>
      </c>
      <c r="BI9" s="59">
        <f ca="1">AVERAGE(OFFSET($BH$3,0,0,'Données projet'!$E$11+1,1))-AVERAGE(OFFSET($H$3,0,0,'Données projet'!$E$11+1,1))</f>
        <v>158.58786357608489</v>
      </c>
      <c r="BJ9" s="59">
        <f t="shared" si="38"/>
        <v>163.20074068819849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7.9</v>
      </c>
      <c r="BY9" s="12">
        <f>IF('Données projet'!$A$114&gt;35,BY8+BX9-CG8,IF(A9&lt;'Données projet'!$A$114,$BV$205^A9,IF(A9='Données projet'!$A$114,'Données projet'!$B$114,BY8+BX9-CG8)))</f>
        <v>4.566643676946887</v>
      </c>
      <c r="BZ9" s="13">
        <f>BY9*VLOOKUP('Données projet'!$B$12,Paramètres!$A$1:$I$89,3,0)*VLOOKUP('Données projet'!$B$12,Paramètres!$A$1:$I$89,5,0)</f>
        <v>2.8495856544148572</v>
      </c>
      <c r="CA9" s="13">
        <f t="shared" si="39"/>
        <v>1.1625113156650257</v>
      </c>
      <c r="CB9" s="20">
        <f t="shared" si="10"/>
        <v>6.9877355562224617</v>
      </c>
      <c r="CC9" s="59">
        <f t="shared" si="11"/>
        <v>300.32106888955576</v>
      </c>
      <c r="CD9" s="59">
        <f ca="1">AVERAGE(OFFSET($CC$3,0,0,'Données projet'!$E$12+1,1))-AVERAGE(OFFSET($H$3,0,0,'Données projet'!$E$12+1,1))</f>
        <v>255.41017495879987</v>
      </c>
      <c r="CE9" s="59">
        <f t="shared" si="40"/>
        <v>297.50513563712764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6.179370629370629</v>
      </c>
      <c r="CT9" s="12">
        <f>IF('Données projet'!$A$140&gt;35,CT8+CS9-DB8,IF(A9&lt;'Données projet'!$A$140,$CQ$205^A9,IF(A9='Données projet'!$A$140,'Données projet'!$B$140,CT8+CS9-DB8)))</f>
        <v>3.817924564306777</v>
      </c>
      <c r="CU9" s="17">
        <f>CT9*VLOOKUP('Données projet'!$B$13,Paramètres!$A$1:$I$89,3,0)*VLOOKUP('Données projet'!$B$13,Paramètres!$A$1:$I$89,5,0)</f>
        <v>2.1838528507834765</v>
      </c>
      <c r="CV9" s="13">
        <f t="shared" si="41"/>
        <v>0.91894567135444416</v>
      </c>
      <c r="CW9" s="20">
        <f t="shared" si="13"/>
        <v>5.4040407593902104</v>
      </c>
      <c r="CX9" s="59">
        <f t="shared" si="14"/>
        <v>298.73737409272354</v>
      </c>
      <c r="CY9" s="59">
        <f ca="1">AVERAGE(OFFSET($CX$3,0,0,'Données projet'!$E$13+1,1))-AVERAGE(OFFSET($H$3,0,0,'Données projet'!$E$13+1,1))</f>
        <v>134.70214882504786</v>
      </c>
      <c r="CZ9" s="59">
        <f t="shared" si="42"/>
        <v>102.18553029667771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2.3805128205128203</v>
      </c>
      <c r="DO9" s="12">
        <f>IF('Données projet'!$A$166&gt;35,DO8+DN9-DW8,IF(A9&lt;'Données projet'!$A$166,$DL$205^A9,IF(A9='Données projet'!$A$166,'Données projet'!$B$166,DO8+DN9-DW8)))</f>
        <v>4.1793112262558481</v>
      </c>
      <c r="DP9" s="17">
        <f>DO9*VLOOKUP('Données projet'!$B$14,Paramètres!$A$1:$I$89,3,0)*VLOOKUP('Données projet'!$B$14,Paramètres!$A$1:$I$89,5,0)</f>
        <v>2.4992281133009975</v>
      </c>
      <c r="DQ9" s="13">
        <f t="shared" si="43"/>
        <v>1.0352693484653335</v>
      </c>
      <c r="DR9" s="20">
        <f t="shared" si="16"/>
        <v>6.1559164125763592</v>
      </c>
      <c r="DS9" s="59">
        <f t="shared" si="17"/>
        <v>299.48924974590966</v>
      </c>
      <c r="DT9" s="59">
        <f ca="1">AVERAGE(OFFSET($DS$3,0,0,'Données projet'!$E$14+1,1))-AVERAGE(OFFSET($H$3,0,0,'Données projet'!$E$14+1,1))</f>
        <v>179.32848817523677</v>
      </c>
      <c r="DU9" s="59">
        <f t="shared" si="44"/>
        <v>131.3292389103035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9.3968325791855207</v>
      </c>
      <c r="EJ9" s="12">
        <f>IF('Données projet'!$A$192&gt;35,EJ8+EI9-ER8,IF(A9&lt;'Données projet'!$A$192,$EG$205^A9,IF(A9='Données projet'!$A$192,'Données projet'!$B$192,EJ8+EI9-ER8)))</f>
        <v>5.9935112022212556</v>
      </c>
      <c r="EK9" s="17">
        <f>EJ9*VLOOKUP('Données projet'!$B$15,Paramètres!$A$1:$I$89,3,0)*VLOOKUP('Données projet'!$B$15,Paramètres!$A$1:$I$89,5,0)</f>
        <v>2.6491319513817952</v>
      </c>
      <c r="EL9" s="13">
        <f t="shared" si="45"/>
        <v>1.0899495530854175</v>
      </c>
      <c r="EM9" s="20">
        <f t="shared" si="19"/>
        <v>6.5122336202803943</v>
      </c>
      <c r="EN9" s="59">
        <f t="shared" si="20"/>
        <v>299.84556695361368</v>
      </c>
      <c r="EO9" s="59">
        <f ca="1">AVERAGE(OFFSET($EN$3,0,0,'Données projet'!$E$15+1,1))-AVERAGE(OFFSET($H$3,0,0,'Données projet'!$E$15+1,1))</f>
        <v>191.932060106699</v>
      </c>
      <c r="EP9" s="59">
        <f t="shared" si="46"/>
        <v>260.28593152736903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1.05</v>
      </c>
      <c r="FE9" s="12">
        <f>IF('Données projet'!$A$218&gt;35,FE8+FD9-FM8,IF(A9&lt;'Données projet'!$A$218,$FB$205^A9,IF(A9='Données projet'!$A$218,'Données projet'!$B$218,FE8+FD9-FM8)))</f>
        <v>2.4926757485402602</v>
      </c>
      <c r="FF9" s="17">
        <f>FE9*VLOOKUP('Données projet'!$B$16,Paramètres!$A$1:$I$89,3,0)*VLOOKUP('Données projet'!$B$16,Paramètres!$A$1:$I$89,5,0)</f>
        <v>2.41091598398814</v>
      </c>
      <c r="FG9" s="13">
        <f t="shared" si="47"/>
        <v>1.0028780995438396</v>
      </c>
      <c r="FH9" s="20">
        <f t="shared" si="22"/>
        <v>5.945691362151531</v>
      </c>
      <c r="FI9" s="59">
        <f t="shared" si="23"/>
        <v>299.27902469548485</v>
      </c>
      <c r="FJ9" s="59">
        <f ca="1">AVERAGE(OFFSET($FI$3,0,0,'Données projet'!$E$16+1,1))-AVERAGE(OFFSET($H$3,0,0,'Données projet'!$E$16+1,1))</f>
        <v>102.86738524979938</v>
      </c>
      <c r="FK9" s="59">
        <f t="shared" si="48"/>
        <v>56.347130462109817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3.55</v>
      </c>
      <c r="FZ9" s="12">
        <f>IF('Données projet'!$A$244&gt;35,FZ8+FY9-GH8,IF(A9&lt;'Données projet'!$A$244,$FW$205^A9,IF(A9='Données projet'!$A$244,'Données projet'!$B$244,FZ8+FY9-GH8)))</f>
        <v>3.5923405832649573</v>
      </c>
      <c r="GA9" s="17">
        <f>FZ9*VLOOKUP('Données projet'!$B$17,Paramètres!$A$1:$I$89,3,0)*VLOOKUP('Données projet'!$B$17,Paramètres!$A$1:$I$89,5,0)</f>
        <v>2.4097420632541335</v>
      </c>
      <c r="GB9" s="13">
        <f t="shared" si="49"/>
        <v>1.0024466074316758</v>
      </c>
      <c r="GC9" s="20">
        <f t="shared" si="25"/>
        <v>5.9428952681111182</v>
      </c>
      <c r="GD9" s="59">
        <f t="shared" si="26"/>
        <v>299.27622860144442</v>
      </c>
      <c r="GE9" s="59">
        <f ca="1">AVERAGE(OFFSET($GD$3,0,0,'Données projet'!$E$17+1,1))-AVERAGE(OFFSET($H$3,0,0,'Données projet'!$E$17+1,1))</f>
        <v>168.00454652899231</v>
      </c>
      <c r="GF9" s="59">
        <f t="shared" si="50"/>
        <v>135.31958994080446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4.0628205128205126</v>
      </c>
      <c r="N10" s="13">
        <f>IF('Données projet'!$A$36&gt;35,N9+M10-V9,IF(A10&lt;'Données projet'!$A$36,$K$205^A10,IF(A10='Données projet'!$A$36,'Données projet'!$B$36,N9+M10-V9)))</f>
        <v>3.067053897654088</v>
      </c>
      <c r="O10" s="13">
        <f>N10*VLOOKUP('Données projet'!$B$9,Paramètres!$A$1:$I$89,3,0)*VLOOKUP('Données projet'!$B$9,Paramètres!$A$1:$I$89,5,0)</f>
        <v>2.775070366597419</v>
      </c>
      <c r="P10" s="13">
        <f t="shared" si="33"/>
        <v>1.1356093801659046</v>
      </c>
      <c r="Q10" s="20">
        <f t="shared" si="2"/>
        <v>6.811100558946122</v>
      </c>
      <c r="R10" s="59">
        <f t="shared" si="0"/>
        <v>300.14443389227944</v>
      </c>
      <c r="S10" s="59">
        <f ca="1">AVERAGE(OFFSET($R$3,0,0,'Données projet'!$E$9+1,1))-AVERAGE(OFFSET($H$3,0,0,'Données projet'!$E$9+1,1))</f>
        <v>221.7429870520005</v>
      </c>
      <c r="T10" s="59">
        <f t="shared" si="34"/>
        <v>182.2029938397186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2.9235042735042733</v>
      </c>
      <c r="AI10" s="13">
        <f>IF('Données projet'!$A$62&gt;35,AI9+AH10-AQ9,IF(A10&lt;'Données projet'!$A$62,$AF$205^A10,IF(A10='Données projet'!$A$62,'Données projet'!$B$62,AI9+AH10-AQ9)))</f>
        <v>2.8403541738035183</v>
      </c>
      <c r="AJ10" s="13">
        <f>AI10*VLOOKUP('Données projet'!$B$10,Paramètres!$A$1:$I$89,3,0)*VLOOKUP('Données projet'!$B$10,Paramètres!$A$1:$I$89,5,0)</f>
        <v>2.5699524564574232</v>
      </c>
      <c r="AK10" s="13">
        <f t="shared" si="35"/>
        <v>1.0611135823014897</v>
      </c>
      <c r="AL10" s="20">
        <f t="shared" si="4"/>
        <v>6.3241066841717739</v>
      </c>
      <c r="AM10" s="59">
        <f t="shared" si="5"/>
        <v>299.65744001750511</v>
      </c>
      <c r="AN10" s="59">
        <f ca="1">AVERAGE(OFFSET($AM$3,0,0,'Données projet'!$E$10+1,1))-AVERAGE(OFFSET($H$3,0,0,'Données projet'!$E$10+1,1))</f>
        <v>153.45079678708987</v>
      </c>
      <c r="AO10" s="59">
        <f t="shared" si="36"/>
        <v>115.4217868409637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7.2264102564102561</v>
      </c>
      <c r="BD10" s="12">
        <f>IF('Données projet'!$A$88&gt;35,BD9+BC10-BL9,IF(A10&lt;'Données projet'!$A$88,$BA$205^A10,IF(A10='Données projet'!$A$88,'Données projet'!$B$88,BD9+BC10-BL9)))</f>
        <v>3.5081398877252363</v>
      </c>
      <c r="BE10" s="13">
        <f>BD10*VLOOKUP('Données projet'!$B$11,Paramètres!$A$1:$I$89,3,0)*VLOOKUP('Données projet'!$B$11,Paramètres!$A$1:$I$89,5,0)</f>
        <v>1.6418094674554107</v>
      </c>
      <c r="BF10" s="13">
        <f t="shared" si="37"/>
        <v>0.71418586714920729</v>
      </c>
      <c r="BG10" s="20">
        <f t="shared" si="7"/>
        <v>4.1033585411030424</v>
      </c>
      <c r="BH10" s="59">
        <f t="shared" si="8"/>
        <v>297.43669187443635</v>
      </c>
      <c r="BI10" s="59">
        <f ca="1">AVERAGE(OFFSET($BH$3,0,0,'Données projet'!$E$11+1,1))-AVERAGE(OFFSET($H$3,0,0,'Données projet'!$E$11+1,1))</f>
        <v>158.58786357608489</v>
      </c>
      <c r="BJ10" s="59">
        <f t="shared" si="38"/>
        <v>163.20074068819849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7.9</v>
      </c>
      <c r="BY10" s="12">
        <f>IF('Données projet'!$A$114&gt;35,BY9+BX10-CG9,IF(A10&lt;'Données projet'!$A$114,$BV$205^A10,IF(A10='Données projet'!$A$114,'Données projet'!$B$114,BY9+BX10-CG9)))</f>
        <v>5.8820671812210037</v>
      </c>
      <c r="BZ10" s="13">
        <f>BY10*VLOOKUP('Données projet'!$B$12,Paramètres!$A$1:$I$89,3,0)*VLOOKUP('Données projet'!$B$12,Paramètres!$A$1:$I$89,5,0)</f>
        <v>3.6704099210819061</v>
      </c>
      <c r="CA10" s="13">
        <f t="shared" si="39"/>
        <v>1.4538977318324067</v>
      </c>
      <c r="CB10" s="20">
        <f t="shared" si="10"/>
        <v>8.9248358288257617</v>
      </c>
      <c r="CC10" s="59">
        <f t="shared" si="11"/>
        <v>302.25816916215905</v>
      </c>
      <c r="CD10" s="59">
        <f ca="1">AVERAGE(OFFSET($CC$3,0,0,'Données projet'!$E$12+1,1))-AVERAGE(OFFSET($H$3,0,0,'Données projet'!$E$12+1,1))</f>
        <v>255.41017495879987</v>
      </c>
      <c r="CE10" s="59">
        <f t="shared" si="40"/>
        <v>297.50513563712764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6.179370629370629</v>
      </c>
      <c r="CT10" s="12">
        <f>IF('Données projet'!$A$140&gt;35,CT9+CS10-DB9,IF(A10&lt;'Données projet'!$A$140,$CQ$205^A10,IF(A10='Données projet'!$A$140,'Données projet'!$B$140,CT9+CS10-DB9)))</f>
        <v>4.7730783910108681</v>
      </c>
      <c r="CU10" s="17">
        <f>CT10*VLOOKUP('Données projet'!$B$13,Paramètres!$A$1:$I$89,3,0)*VLOOKUP('Données projet'!$B$13,Paramètres!$A$1:$I$89,5,0)</f>
        <v>2.7302008396582167</v>
      </c>
      <c r="CV10" s="13">
        <f t="shared" si="41"/>
        <v>1.1193698621136245</v>
      </c>
      <c r="CW10" s="20">
        <f t="shared" si="13"/>
        <v>6.704668972252624</v>
      </c>
      <c r="CX10" s="59">
        <f t="shared" si="14"/>
        <v>300.03800230558596</v>
      </c>
      <c r="CY10" s="59">
        <f ca="1">AVERAGE(OFFSET($CX$3,0,0,'Données projet'!$E$13+1,1))-AVERAGE(OFFSET($H$3,0,0,'Données projet'!$E$13+1,1))</f>
        <v>134.70214882504786</v>
      </c>
      <c r="CZ10" s="59">
        <f t="shared" si="42"/>
        <v>102.18553029667771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2.3805128205128203</v>
      </c>
      <c r="DO10" s="12">
        <f>IF('Données projet'!$A$166&gt;35,DO9+DN10-DW9,IF(A10&lt;'Données projet'!$A$166,$DL$205^A10,IF(A10='Données projet'!$A$166,'Données projet'!$B$166,DO9+DN10-DW9)))</f>
        <v>5.304227780361269</v>
      </c>
      <c r="DP10" s="17">
        <f>DO10*VLOOKUP('Données projet'!$B$14,Paramètres!$A$1:$I$89,3,0)*VLOOKUP('Données projet'!$B$14,Paramètres!$A$1:$I$89,5,0)</f>
        <v>3.1719282126560389</v>
      </c>
      <c r="DQ10" s="13">
        <f t="shared" si="43"/>
        <v>1.2779721120125676</v>
      </c>
      <c r="DR10" s="20">
        <f t="shared" si="16"/>
        <v>7.7502430654644883</v>
      </c>
      <c r="DS10" s="59">
        <f t="shared" si="17"/>
        <v>301.08357639879779</v>
      </c>
      <c r="DT10" s="59">
        <f ca="1">AVERAGE(OFFSET($DS$3,0,0,'Données projet'!$E$14+1,1))-AVERAGE(OFFSET($H$3,0,0,'Données projet'!$E$14+1,1))</f>
        <v>179.32848817523677</v>
      </c>
      <c r="DU10" s="59">
        <f t="shared" si="44"/>
        <v>131.3292389103035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9.3968325791855207</v>
      </c>
      <c r="EJ10" s="12">
        <f>IF('Données projet'!$A$192&gt;35,EJ9+EI10-ER9,IF(A10&lt;'Données projet'!$A$192,$EG$205^A10,IF(A10='Données projet'!$A$192,'Données projet'!$B$192,EJ9+EI10-ER9)))</f>
        <v>8.0778330849703455</v>
      </c>
      <c r="EK10" s="17">
        <f>EJ10*VLOOKUP('Données projet'!$B$15,Paramètres!$A$1:$I$89,3,0)*VLOOKUP('Données projet'!$B$15,Paramètres!$A$1:$I$89,5,0)</f>
        <v>3.5704022235568926</v>
      </c>
      <c r="EL10" s="13">
        <f t="shared" si="45"/>
        <v>1.4188383990126463</v>
      </c>
      <c r="EM10" s="20">
        <f t="shared" si="19"/>
        <v>8.689594084308613</v>
      </c>
      <c r="EN10" s="59">
        <f t="shared" si="20"/>
        <v>302.02292741764194</v>
      </c>
      <c r="EO10" s="59">
        <f ca="1">AVERAGE(OFFSET($EN$3,0,0,'Données projet'!$E$15+1,1))-AVERAGE(OFFSET($H$3,0,0,'Données projet'!$E$15+1,1))</f>
        <v>191.932060106699</v>
      </c>
      <c r="EP10" s="59">
        <f t="shared" si="46"/>
        <v>260.28593152736903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1.05</v>
      </c>
      <c r="FE10" s="12">
        <f>IF('Données projet'!$A$218&gt;35,FE9+FD10-FM9,IF(A10&lt;'Données projet'!$A$218,$FB$205^A10,IF(A10='Données projet'!$A$218,'Données projet'!$B$218,FE9+FD10-FM9)))</f>
        <v>2.9025302401826014</v>
      </c>
      <c r="FF10" s="17">
        <f>FE10*VLOOKUP('Données projet'!$B$16,Paramètres!$A$1:$I$89,3,0)*VLOOKUP('Données projet'!$B$16,Paramètres!$A$1:$I$89,5,0)</f>
        <v>2.8073272483046123</v>
      </c>
      <c r="FG10" s="13">
        <f t="shared" si="47"/>
        <v>1.1472651354833312</v>
      </c>
      <c r="FH10" s="20">
        <f t="shared" si="22"/>
        <v>6.887581735097335</v>
      </c>
      <c r="FI10" s="59">
        <f t="shared" si="23"/>
        <v>300.22091506843066</v>
      </c>
      <c r="FJ10" s="59">
        <f ca="1">AVERAGE(OFFSET($FI$3,0,0,'Données projet'!$E$16+1,1))-AVERAGE(OFFSET($H$3,0,0,'Données projet'!$E$16+1,1))</f>
        <v>102.86738524979938</v>
      </c>
      <c r="FK10" s="59">
        <f t="shared" si="48"/>
        <v>56.347130462109817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3.55</v>
      </c>
      <c r="FZ10" s="12">
        <f>IF('Données projet'!$A$244&gt;35,FZ9+FY10-GH9,IF(A10&lt;'Données projet'!$A$244,$FW$205^A10,IF(A10='Données projet'!$A$244,'Données projet'!$B$244,FZ9+FY10-GH9)))</f>
        <v>4.4457027567009773</v>
      </c>
      <c r="GA10" s="17">
        <f>FZ10*VLOOKUP('Données projet'!$B$17,Paramètres!$A$1:$I$89,3,0)*VLOOKUP('Données projet'!$B$17,Paramètres!$A$1:$I$89,5,0)</f>
        <v>2.9821774091950153</v>
      </c>
      <c r="GB10" s="13">
        <f t="shared" si="49"/>
        <v>1.210179645965108</v>
      </c>
      <c r="GC10" s="20">
        <f t="shared" si="25"/>
        <v>7.3016885377372143</v>
      </c>
      <c r="GD10" s="59">
        <f t="shared" si="26"/>
        <v>300.63502187107053</v>
      </c>
      <c r="GE10" s="59">
        <f ca="1">AVERAGE(OFFSET($GD$3,0,0,'Données projet'!$E$17+1,1))-AVERAGE(OFFSET($H$3,0,0,'Données projet'!$E$17+1,1))</f>
        <v>168.00454652899231</v>
      </c>
      <c r="GF10" s="59">
        <f t="shared" si="50"/>
        <v>135.31958994080446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4.0628205128205126</v>
      </c>
      <c r="N11" s="13">
        <f>IF('Données projet'!$A$36&gt;35,N10+M11-V10,IF(A11&lt;'Données projet'!$A$36,$K$205^A11,IF(A11='Données projet'!$A$36,'Données projet'!$B$36,N10+M11-V10)))</f>
        <v>3.5995900084872572</v>
      </c>
      <c r="O11" s="13">
        <f>N11*VLOOKUP('Données projet'!$B$9,Paramètres!$A$1:$I$89,3,0)*VLOOKUP('Données projet'!$B$9,Paramètres!$A$1:$I$89,5,0)</f>
        <v>3.2569090396792704</v>
      </c>
      <c r="P11" s="13">
        <f t="shared" si="33"/>
        <v>1.3081788372653314</v>
      </c>
      <c r="Q11" s="20">
        <f t="shared" si="2"/>
        <v>7.9508613856785146</v>
      </c>
      <c r="R11" s="59">
        <f t="shared" si="0"/>
        <v>301.28419471901185</v>
      </c>
      <c r="S11" s="59">
        <f ca="1">AVERAGE(OFFSET($R$3,0,0,'Données projet'!$E$9+1,1))-AVERAGE(OFFSET($H$3,0,0,'Données projet'!$E$9+1,1))</f>
        <v>221.7429870520005</v>
      </c>
      <c r="T11" s="59">
        <f t="shared" si="34"/>
        <v>182.2029938397186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2.9235042735042733</v>
      </c>
      <c r="AI11" s="13">
        <f>IF('Données projet'!$A$62&gt;35,AI10+AH11-AQ10,IF(A11&lt;'Données projet'!$A$62,$AF$205^A11,IF(A11='Données projet'!$A$62,'Données projet'!$B$62,AI10+AH11-AQ10)))</f>
        <v>3.2971598043944974</v>
      </c>
      <c r="AJ11" s="13">
        <f>AI11*VLOOKUP('Données projet'!$B$10,Paramètres!$A$1:$I$89,3,0)*VLOOKUP('Données projet'!$B$10,Paramètres!$A$1:$I$89,5,0)</f>
        <v>2.9832701910161412</v>
      </c>
      <c r="AK11" s="13">
        <f t="shared" si="35"/>
        <v>1.2105714746948997</v>
      </c>
      <c r="AL11" s="20">
        <f t="shared" si="4"/>
        <v>7.3042742344467291</v>
      </c>
      <c r="AM11" s="59">
        <f t="shared" si="5"/>
        <v>300.63760756778004</v>
      </c>
      <c r="AN11" s="59">
        <f ca="1">AVERAGE(OFFSET($AM$3,0,0,'Données projet'!$E$10+1,1))-AVERAGE(OFFSET($H$3,0,0,'Données projet'!$E$10+1,1))</f>
        <v>153.45079678708987</v>
      </c>
      <c r="AO11" s="59">
        <f t="shared" si="36"/>
        <v>115.4217868409637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7.2264102564102561</v>
      </c>
      <c r="BD11" s="12">
        <f>IF('Données projet'!$A$88&gt;35,BD10+BC11-BL10,IF(A11&lt;'Données projet'!$A$88,$BA$205^A11,IF(A11='Données projet'!$A$88,'Données projet'!$B$88,BD10+BC11-BL10)))</f>
        <v>4.1970585866050225</v>
      </c>
      <c r="BE11" s="13">
        <f>BD11*VLOOKUP('Données projet'!$B$11,Paramètres!$A$1:$I$89,3,0)*VLOOKUP('Données projet'!$B$11,Paramètres!$A$1:$I$89,5,0)</f>
        <v>1.9642234185311505</v>
      </c>
      <c r="BF11" s="13">
        <f t="shared" si="37"/>
        <v>0.83678816759654573</v>
      </c>
      <c r="BG11" s="20">
        <f t="shared" si="7"/>
        <v>4.8784285125057369</v>
      </c>
      <c r="BH11" s="59">
        <f t="shared" si="8"/>
        <v>298.21176184583908</v>
      </c>
      <c r="BI11" s="59">
        <f ca="1">AVERAGE(OFFSET($BH$3,0,0,'Données projet'!$E$11+1,1))-AVERAGE(OFFSET($H$3,0,0,'Données projet'!$E$11+1,1))</f>
        <v>158.58786357608489</v>
      </c>
      <c r="BJ11" s="59">
        <f t="shared" si="38"/>
        <v>163.20074068819849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7.9</v>
      </c>
      <c r="BY11" s="12">
        <f>IF('Données projet'!$A$114&gt;35,BY10+BX11-CG10,IF(A11&lt;'Données projet'!$A$114,$BV$205^A11,IF(A11='Données projet'!$A$114,'Données projet'!$B$114,BY10+BX11-CG10)))</f>
        <v>7.5763989424129567</v>
      </c>
      <c r="BZ11" s="13">
        <f>BY11*VLOOKUP('Données projet'!$B$12,Paramètres!$A$1:$I$89,3,0)*VLOOKUP('Données projet'!$B$12,Paramètres!$A$1:$I$89,5,0)</f>
        <v>4.7276729400656849</v>
      </c>
      <c r="CA11" s="13">
        <f t="shared" si="39"/>
        <v>1.8183208938643207</v>
      </c>
      <c r="CB11" s="20">
        <f t="shared" si="10"/>
        <v>11.400939260761424</v>
      </c>
      <c r="CC11" s="59">
        <f t="shared" si="11"/>
        <v>304.73427259409476</v>
      </c>
      <c r="CD11" s="59">
        <f ca="1">AVERAGE(OFFSET($CC$3,0,0,'Données projet'!$E$12+1,1))-AVERAGE(OFFSET($H$3,0,0,'Données projet'!$E$12+1,1))</f>
        <v>255.41017495879987</v>
      </c>
      <c r="CE11" s="59">
        <f t="shared" si="40"/>
        <v>297.50513563712764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6.179370629370629</v>
      </c>
      <c r="CT11" s="12">
        <f>IF('Données projet'!$A$140&gt;35,CT10+CS11-DB10,IF(A11&lt;'Données projet'!$A$140,$CQ$205^A11,IF(A11='Données projet'!$A$140,'Données projet'!$B$140,CT10+CS11-DB10)))</f>
        <v>5.9671889643192806</v>
      </c>
      <c r="CU11" s="17">
        <f>CT11*VLOOKUP('Données projet'!$B$13,Paramètres!$A$1:$I$89,3,0)*VLOOKUP('Données projet'!$B$13,Paramètres!$A$1:$I$89,5,0)</f>
        <v>3.4132320875906288</v>
      </c>
      <c r="CV11" s="13">
        <f t="shared" si="41"/>
        <v>1.3635070355807659</v>
      </c>
      <c r="CW11" s="20">
        <f t="shared" si="13"/>
        <v>8.3194873061901777</v>
      </c>
      <c r="CX11" s="59">
        <f t="shared" si="14"/>
        <v>301.6528206395235</v>
      </c>
      <c r="CY11" s="59">
        <f ca="1">AVERAGE(OFFSET($CX$3,0,0,'Données projet'!$E$13+1,1))-AVERAGE(OFFSET($H$3,0,0,'Données projet'!$E$13+1,1))</f>
        <v>134.70214882504786</v>
      </c>
      <c r="CZ11" s="59">
        <f t="shared" si="42"/>
        <v>102.18553029667771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2.3805128205128203</v>
      </c>
      <c r="DO11" s="12">
        <f>IF('Données projet'!$A$166&gt;35,DO10+DN11-DW10,IF(A11&lt;'Données projet'!$A$166,$DL$205^A11,IF(A11='Données projet'!$A$166,'Données projet'!$B$166,DO10+DN11-DW10)))</f>
        <v>6.7319304121702404</v>
      </c>
      <c r="DP11" s="17">
        <f>DO11*VLOOKUP('Données projet'!$B$14,Paramètres!$A$1:$I$89,3,0)*VLOOKUP('Données projet'!$B$14,Paramètres!$A$1:$I$89,5,0)</f>
        <v>4.0256943864778041</v>
      </c>
      <c r="DQ11" s="13">
        <f t="shared" si="43"/>
        <v>1.5775727558271786</v>
      </c>
      <c r="DR11" s="20">
        <f t="shared" si="16"/>
        <v>9.759023606181179</v>
      </c>
      <c r="DS11" s="59">
        <f t="shared" si="17"/>
        <v>303.0923569395145</v>
      </c>
      <c r="DT11" s="59">
        <f ca="1">AVERAGE(OFFSET($DS$3,0,0,'Données projet'!$E$14+1,1))-AVERAGE(OFFSET($H$3,0,0,'Données projet'!$E$14+1,1))</f>
        <v>179.32848817523677</v>
      </c>
      <c r="DU11" s="59">
        <f t="shared" si="44"/>
        <v>131.3292389103035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9.3968325791855207</v>
      </c>
      <c r="EJ11" s="12">
        <f>IF('Données projet'!$A$192&gt;35,EJ10+EI11-ER10,IF(A11&lt;'Données projet'!$A$192,$EG$205^A11,IF(A11='Données projet'!$A$192,'Données projet'!$B$192,EJ10+EI11-ER10)))</f>
        <v>10.88700515391691</v>
      </c>
      <c r="EK11" s="17">
        <f>EJ11*VLOOKUP('Données projet'!$B$15,Paramètres!$A$1:$I$89,3,0)*VLOOKUP('Données projet'!$B$15,Paramètres!$A$1:$I$89,5,0)</f>
        <v>4.8120562780312746</v>
      </c>
      <c r="EL11" s="13">
        <f t="shared" si="45"/>
        <v>1.84696841868883</v>
      </c>
      <c r="EM11" s="20">
        <f t="shared" si="19"/>
        <v>11.597801346787515</v>
      </c>
      <c r="EN11" s="59">
        <f t="shared" si="20"/>
        <v>304.93113468012081</v>
      </c>
      <c r="EO11" s="59">
        <f ca="1">AVERAGE(OFFSET($EN$3,0,0,'Données projet'!$E$15+1,1))-AVERAGE(OFFSET($H$3,0,0,'Données projet'!$E$15+1,1))</f>
        <v>191.932060106699</v>
      </c>
      <c r="EP11" s="59">
        <f t="shared" si="46"/>
        <v>260.28593152736903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1.05</v>
      </c>
      <c r="FE11" s="12">
        <f>IF('Données projet'!$A$218&gt;35,FE10+FD11-FM10,IF(A11&lt;'Données projet'!$A$218,$FB$205^A11,IF(A11='Données projet'!$A$218,'Données projet'!$B$218,FE10+FD11-FM10)))</f>
        <v>3.3797744452354301</v>
      </c>
      <c r="FF11" s="17">
        <f>FE11*VLOOKUP('Données projet'!$B$16,Paramètres!$A$1:$I$89,3,0)*VLOOKUP('Données projet'!$B$16,Paramètres!$A$1:$I$89,5,0)</f>
        <v>3.2689178434317077</v>
      </c>
      <c r="FG11" s="13">
        <f t="shared" si="47"/>
        <v>1.3124399582504287</v>
      </c>
      <c r="FH11" s="20">
        <f t="shared" si="22"/>
        <v>7.9791981712630529</v>
      </c>
      <c r="FI11" s="59">
        <f t="shared" si="23"/>
        <v>301.31253150459639</v>
      </c>
      <c r="FJ11" s="59">
        <f ca="1">AVERAGE(OFFSET($FI$3,0,0,'Données projet'!$E$16+1,1))-AVERAGE(OFFSET($H$3,0,0,'Données projet'!$E$16+1,1))</f>
        <v>102.86738524979938</v>
      </c>
      <c r="FK11" s="59">
        <f t="shared" si="48"/>
        <v>56.347130462109817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3.55</v>
      </c>
      <c r="FZ11" s="12">
        <f>IF('Données projet'!$A$244&gt;35,FZ10+FY11-GH10,IF(A11&lt;'Données projet'!$A$244,$FW$205^A11,IF(A11='Données projet'!$A$244,'Données projet'!$B$244,FZ10+FY11-GH10)))</f>
        <v>5.5017815106427319</v>
      </c>
      <c r="GA11" s="17">
        <f>FZ11*VLOOKUP('Données projet'!$B$17,Paramètres!$A$1:$I$89,3,0)*VLOOKUP('Données projet'!$B$17,Paramètres!$A$1:$I$89,5,0)</f>
        <v>3.6905950373391447</v>
      </c>
      <c r="GB11" s="13">
        <f t="shared" si="49"/>
        <v>1.4609603789876198</v>
      </c>
      <c r="GC11" s="20">
        <f t="shared" si="25"/>
        <v>8.9722923501024479</v>
      </c>
      <c r="GD11" s="59">
        <f t="shared" si="26"/>
        <v>302.30562568343578</v>
      </c>
      <c r="GE11" s="59">
        <f ca="1">AVERAGE(OFFSET($GD$3,0,0,'Données projet'!$E$17+1,1))-AVERAGE(OFFSET($H$3,0,0,'Données projet'!$E$17+1,1))</f>
        <v>168.00454652899231</v>
      </c>
      <c r="GF11" s="59">
        <f t="shared" si="50"/>
        <v>135.31958994080446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4.0628205128205126</v>
      </c>
      <c r="N12" s="13">
        <f>IF('Données projet'!$A$36&gt;35,N11+M12-V11,IF(A12&lt;'Données projet'!$A$36,$K$205^A12,IF(A12='Données projet'!$A$36,'Données projet'!$B$36,N11+M12-V11)))</f>
        <v>4.2245909793472531</v>
      </c>
      <c r="O12" s="13">
        <f>N12*VLOOKUP('Données projet'!$B$9,Paramètres!$A$1:$I$89,3,0)*VLOOKUP('Données projet'!$B$9,Paramètres!$A$1:$I$89,5,0)</f>
        <v>3.822409918113395</v>
      </c>
      <c r="P12" s="13">
        <f t="shared" si="33"/>
        <v>1.5069722918446318</v>
      </c>
      <c r="Q12" s="20">
        <f t="shared" si="2"/>
        <v>9.2820073490102306</v>
      </c>
      <c r="R12" s="59">
        <f t="shared" si="0"/>
        <v>302.61534068234357</v>
      </c>
      <c r="S12" s="59">
        <f ca="1">AVERAGE(OFFSET($R$3,0,0,'Données projet'!$E$9+1,1))-AVERAGE(OFFSET($H$3,0,0,'Données projet'!$E$9+1,1))</f>
        <v>221.7429870520005</v>
      </c>
      <c r="T12" s="59">
        <f t="shared" si="34"/>
        <v>182.2029938397186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2.9235042735042733</v>
      </c>
      <c r="AI12" s="13">
        <f>IF('Données projet'!$A$62&gt;35,AI11+AH12-AQ11,IF(A12&lt;'Données projet'!$A$62,$AF$205^A12,IF(A12='Données projet'!$A$62,'Données projet'!$B$62,AI11+AH12-AQ11)))</f>
        <v>3.8274321125090722</v>
      </c>
      <c r="AJ12" s="13">
        <f>AI12*VLOOKUP('Données projet'!$B$10,Paramètres!$A$1:$I$89,3,0)*VLOOKUP('Données projet'!$B$10,Paramètres!$A$1:$I$89,5,0)</f>
        <v>3.4630605753982087</v>
      </c>
      <c r="AK12" s="13">
        <f t="shared" si="35"/>
        <v>1.3810805174752749</v>
      </c>
      <c r="AL12" s="20">
        <f t="shared" si="4"/>
        <v>8.4368790700879845</v>
      </c>
      <c r="AM12" s="59">
        <f t="shared" si="5"/>
        <v>301.77021240342128</v>
      </c>
      <c r="AN12" s="59">
        <f ca="1">AVERAGE(OFFSET($AM$3,0,0,'Données projet'!$E$10+1,1))-AVERAGE(OFFSET($H$3,0,0,'Données projet'!$E$10+1,1))</f>
        <v>153.45079678708987</v>
      </c>
      <c r="AO12" s="59">
        <f t="shared" si="36"/>
        <v>115.4217868409637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7.2264102564102561</v>
      </c>
      <c r="BD12" s="12">
        <f>IF('Données projet'!$A$88&gt;35,BD11+BC12-BL11,IF(A12&lt;'Données projet'!$A$88,$BA$205^A12,IF(A12='Données projet'!$A$88,'Données projet'!$B$88,BD11+BC12-BL11)))</f>
        <v>5.0212652126643498</v>
      </c>
      <c r="BE12" s="13">
        <f>BD12*VLOOKUP('Données projet'!$B$11,Paramètres!$A$1:$I$89,3,0)*VLOOKUP('Données projet'!$B$11,Paramètres!$A$1:$I$89,5,0)</f>
        <v>2.349952119526916</v>
      </c>
      <c r="BF12" s="13">
        <f t="shared" si="37"/>
        <v>0.98043726379605944</v>
      </c>
      <c r="BG12" s="20">
        <f t="shared" si="7"/>
        <v>5.8004281759541811</v>
      </c>
      <c r="BH12" s="59">
        <f t="shared" si="8"/>
        <v>299.13376150928752</v>
      </c>
      <c r="BI12" s="59">
        <f ca="1">AVERAGE(OFFSET($BH$3,0,0,'Données projet'!$E$11+1,1))-AVERAGE(OFFSET($H$3,0,0,'Données projet'!$E$11+1,1))</f>
        <v>158.58786357608489</v>
      </c>
      <c r="BJ12" s="59">
        <f t="shared" si="38"/>
        <v>163.20074068819849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7.9</v>
      </c>
      <c r="BY12" s="12">
        <f>IF('Données projet'!$A$114&gt;35,BY11+BX12-CG11,IF(A12&lt;'Données projet'!$A$114,$BV$205^A12,IF(A12='Données projet'!$A$114,'Données projet'!$B$114,BY11+BX12-CG11)))</f>
        <v>9.7587836327093171</v>
      </c>
      <c r="BZ12" s="13">
        <f>BY12*VLOOKUP('Données projet'!$B$12,Paramètres!$A$1:$I$89,3,0)*VLOOKUP('Données projet'!$B$12,Paramètres!$A$1:$I$89,5,0)</f>
        <v>6.0894809868106137</v>
      </c>
      <c r="CA12" s="13">
        <f t="shared" si="39"/>
        <v>2.2740876477580638</v>
      </c>
      <c r="CB12" s="20">
        <f t="shared" si="10"/>
        <v>14.566548705207111</v>
      </c>
      <c r="CC12" s="59">
        <f t="shared" si="11"/>
        <v>307.89988203854045</v>
      </c>
      <c r="CD12" s="59">
        <f ca="1">AVERAGE(OFFSET($CC$3,0,0,'Données projet'!$E$12+1,1))-AVERAGE(OFFSET($H$3,0,0,'Données projet'!$E$12+1,1))</f>
        <v>255.41017495879987</v>
      </c>
      <c r="CE12" s="59">
        <f t="shared" si="40"/>
        <v>297.50513563712764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6.179370629370629</v>
      </c>
      <c r="CT12" s="12">
        <f>IF('Données projet'!$A$140&gt;35,CT11+CS12-DB11,IF(A12&lt;'Données projet'!$A$140,$CQ$205^A12,IF(A12='Données projet'!$A$140,'Données projet'!$B$140,CT11+CS12-DB11)))</f>
        <v>7.4600375730164146</v>
      </c>
      <c r="CU12" s="17">
        <f>CT12*VLOOKUP('Données projet'!$B$13,Paramètres!$A$1:$I$89,3,0)*VLOOKUP('Données projet'!$B$13,Paramètres!$A$1:$I$89,5,0)</f>
        <v>4.2671414917653889</v>
      </c>
      <c r="CV12" s="13">
        <f t="shared" si="41"/>
        <v>1.6608910950735694</v>
      </c>
      <c r="CW12" s="20">
        <f t="shared" si="13"/>
        <v>10.324656755411185</v>
      </c>
      <c r="CX12" s="59">
        <f t="shared" si="14"/>
        <v>303.6579900887445</v>
      </c>
      <c r="CY12" s="59">
        <f ca="1">AVERAGE(OFFSET($CX$3,0,0,'Données projet'!$E$13+1,1))-AVERAGE(OFFSET($H$3,0,0,'Données projet'!$E$13+1,1))</f>
        <v>134.70214882504786</v>
      </c>
      <c r="CZ12" s="59">
        <f t="shared" si="42"/>
        <v>102.18553029667771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2.3805128205128203</v>
      </c>
      <c r="DO12" s="12">
        <f>IF('Données projet'!$A$166&gt;35,DO11+DN12-DW11,IF(A12&lt;'Données projet'!$A$166,$DL$205^A12,IF(A12='Données projet'!$A$166,'Données projet'!$B$166,DO11+DN12-DW11)))</f>
        <v>8.5439179746567984</v>
      </c>
      <c r="DP12" s="17">
        <f>DO12*VLOOKUP('Données projet'!$B$14,Paramètres!$A$1:$I$89,3,0)*VLOOKUP('Données projet'!$B$14,Paramètres!$A$1:$I$89,5,0)</f>
        <v>5.1092629488447656</v>
      </c>
      <c r="DQ12" s="13">
        <f t="shared" si="43"/>
        <v>1.9474101011553873</v>
      </c>
      <c r="DR12" s="20">
        <f t="shared" si="16"/>
        <v>12.290372228750266</v>
      </c>
      <c r="DS12" s="59">
        <f t="shared" si="17"/>
        <v>305.62370556208356</v>
      </c>
      <c r="DT12" s="59">
        <f ca="1">AVERAGE(OFFSET($DS$3,0,0,'Données projet'!$E$14+1,1))-AVERAGE(OFFSET($H$3,0,0,'Données projet'!$E$14+1,1))</f>
        <v>179.32848817523677</v>
      </c>
      <c r="DU12" s="59">
        <f t="shared" si="44"/>
        <v>131.3292389103035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9.3968325791855207</v>
      </c>
      <c r="EJ12" s="12">
        <f>IF('Données projet'!$A$192&gt;35,EJ11+EI12-ER11,IF(A12&lt;'Données projet'!$A$192,$EG$205^A12,IF(A12='Données projet'!$A$192,'Données projet'!$B$192,EJ11+EI12-ER11)))</f>
        <v>14.673103538366622</v>
      </c>
      <c r="EK12" s="17">
        <f>EJ12*VLOOKUP('Données projet'!$B$15,Paramètres!$A$1:$I$89,3,0)*VLOOKUP('Données projet'!$B$15,Paramètres!$A$1:$I$89,5,0)</f>
        <v>6.4855117639580468</v>
      </c>
      <c r="EL12" s="13">
        <f t="shared" si="45"/>
        <v>2.4042853238309561</v>
      </c>
      <c r="EM12" s="20">
        <f t="shared" si="19"/>
        <v>15.483063261232511</v>
      </c>
      <c r="EN12" s="59">
        <f t="shared" si="20"/>
        <v>308.81639659456584</v>
      </c>
      <c r="EO12" s="59">
        <f ca="1">AVERAGE(OFFSET($EN$3,0,0,'Données projet'!$E$15+1,1))-AVERAGE(OFFSET($H$3,0,0,'Données projet'!$E$15+1,1))</f>
        <v>191.932060106699</v>
      </c>
      <c r="EP12" s="59">
        <f t="shared" si="46"/>
        <v>260.28593152736903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1.05</v>
      </c>
      <c r="FE12" s="12">
        <f>IF('Données projet'!$A$218&gt;35,FE11+FD12-FM11,IF(A12&lt;'Données projet'!$A$218,$FB$205^A12,IF(A12='Données projet'!$A$218,'Données projet'!$B$218,FE11+FD12-FM11)))</f>
        <v>3.9354888168013828</v>
      </c>
      <c r="FF12" s="17">
        <f>FE12*VLOOKUP('Données projet'!$B$16,Paramètres!$A$1:$I$89,3,0)*VLOOKUP('Données projet'!$B$16,Paramètres!$A$1:$I$89,5,0)</f>
        <v>3.8064047836102977</v>
      </c>
      <c r="FG12" s="13">
        <f t="shared" si="47"/>
        <v>1.5013954409821026</v>
      </c>
      <c r="FH12" s="20">
        <f t="shared" si="22"/>
        <v>9.2444187244984306</v>
      </c>
      <c r="FI12" s="59">
        <f t="shared" si="23"/>
        <v>302.57775205783173</v>
      </c>
      <c r="FJ12" s="59">
        <f ca="1">AVERAGE(OFFSET($FI$3,0,0,'Données projet'!$E$16+1,1))-AVERAGE(OFFSET($H$3,0,0,'Données projet'!$E$16+1,1))</f>
        <v>102.86738524979938</v>
      </c>
      <c r="FK12" s="59">
        <f t="shared" si="48"/>
        <v>56.347130462109817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3.55</v>
      </c>
      <c r="FZ12" s="12">
        <f>IF('Données projet'!$A$244&gt;35,FZ11+FY12-GH11,IF(A12&lt;'Données projet'!$A$244,$FW$205^A12,IF(A12='Données projet'!$A$244,'Données projet'!$B$244,FZ11+FY12-GH11)))</f>
        <v>6.8087322629082792</v>
      </c>
      <c r="GA12" s="17">
        <f>FZ12*VLOOKUP('Données projet'!$B$17,Paramètres!$A$1:$I$89,3,0)*VLOOKUP('Données projet'!$B$17,Paramètres!$A$1:$I$89,5,0)</f>
        <v>4.5672976019588738</v>
      </c>
      <c r="GB12" s="13">
        <f t="shared" si="49"/>
        <v>1.763709409663289</v>
      </c>
      <c r="GC12" s="20">
        <f t="shared" si="25"/>
        <v>11.026503878575264</v>
      </c>
      <c r="GD12" s="59">
        <f t="shared" si="26"/>
        <v>304.3598372119086</v>
      </c>
      <c r="GE12" s="59">
        <f ca="1">AVERAGE(OFFSET($GD$3,0,0,'Données projet'!$E$17+1,1))-AVERAGE(OFFSET($H$3,0,0,'Données projet'!$E$17+1,1))</f>
        <v>168.00454652899231</v>
      </c>
      <c r="GF12" s="59">
        <f t="shared" si="50"/>
        <v>135.31958994080446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4.0628205128205126</v>
      </c>
      <c r="N13" s="13">
        <f>IF('Données projet'!$A$36&gt;35,N12+M13-V12,IF(A13&lt;'Données projet'!$A$36,$K$205^A13,IF(A13='Données projet'!$A$36,'Données projet'!$B$36,N12+M13-V12)))</f>
        <v>4.9581115906815549</v>
      </c>
      <c r="O13" s="13">
        <f>N13*VLOOKUP('Données projet'!$B$9,Paramètres!$A$1:$I$89,3,0)*VLOOKUP('Données projet'!$B$9,Paramètres!$A$1:$I$89,5,0)</f>
        <v>4.4860993672486709</v>
      </c>
      <c r="P13" s="13">
        <f t="shared" si="33"/>
        <v>1.7359747946502311</v>
      </c>
      <c r="Q13" s="20">
        <f t="shared" si="2"/>
        <v>10.836779165307254</v>
      </c>
      <c r="R13" s="59">
        <f t="shared" si="0"/>
        <v>304.17011249864055</v>
      </c>
      <c r="S13" s="59">
        <f ca="1">AVERAGE(OFFSET($R$3,0,0,'Données projet'!$E$9+1,1))-AVERAGE(OFFSET($H$3,0,0,'Données projet'!$E$9+1,1))</f>
        <v>221.7429870520005</v>
      </c>
      <c r="T13" s="59">
        <f t="shared" si="34"/>
        <v>182.2029938397186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2.9235042735042733</v>
      </c>
      <c r="AI13" s="13">
        <f>IF('Données projet'!$A$62&gt;35,AI12+AH13-AQ12,IF(A13&lt;'Données projet'!$A$62,$AF$205^A13,IF(A13='Données projet'!$A$62,'Données projet'!$B$62,AI12+AH13-AQ12)))</f>
        <v>4.4429865232315908</v>
      </c>
      <c r="AJ13" s="13">
        <f>AI13*VLOOKUP('Données projet'!$B$10,Paramètres!$A$1:$I$89,3,0)*VLOOKUP('Données projet'!$B$10,Paramètres!$A$1:$I$89,5,0)</f>
        <v>4.0200142062199431</v>
      </c>
      <c r="AK13" s="13">
        <f t="shared" si="35"/>
        <v>1.5756057660539962</v>
      </c>
      <c r="AL13" s="20">
        <f t="shared" si="4"/>
        <v>9.7457047850437757</v>
      </c>
      <c r="AM13" s="59">
        <f t="shared" si="5"/>
        <v>303.07903811837707</v>
      </c>
      <c r="AN13" s="59">
        <f ca="1">AVERAGE(OFFSET($AM$3,0,0,'Données projet'!$E$10+1,1))-AVERAGE(OFFSET($H$3,0,0,'Données projet'!$E$10+1,1))</f>
        <v>153.45079678708987</v>
      </c>
      <c r="AO13" s="59">
        <f t="shared" si="36"/>
        <v>115.4217868409637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7.2264102564102561</v>
      </c>
      <c r="BD13" s="12">
        <f>IF('Données projet'!$A$88&gt;35,BD12+BC13-BL12,IF(A13&lt;'Données projet'!$A$88,$BA$205^A13,IF(A13='Données projet'!$A$88,'Données projet'!$B$88,BD12+BC13-BL12)))</f>
        <v>6.0073272306422343</v>
      </c>
      <c r="BE13" s="13">
        <f>BD13*VLOOKUP('Données projet'!$B$11,Paramètres!$A$1:$I$89,3,0)*VLOOKUP('Données projet'!$B$11,Paramètres!$A$1:$I$89,5,0)</f>
        <v>2.8114291439405656</v>
      </c>
      <c r="BF13" s="13">
        <f t="shared" si="37"/>
        <v>1.1487462006075717</v>
      </c>
      <c r="BG13" s="20">
        <f t="shared" si="7"/>
        <v>6.8973053917546716</v>
      </c>
      <c r="BH13" s="59">
        <f t="shared" si="8"/>
        <v>300.230638725088</v>
      </c>
      <c r="BI13" s="59">
        <f ca="1">AVERAGE(OFFSET($BH$3,0,0,'Données projet'!$E$11+1,1))-AVERAGE(OFFSET($H$3,0,0,'Données projet'!$E$11+1,1))</f>
        <v>158.58786357608489</v>
      </c>
      <c r="BJ13" s="59">
        <f t="shared" si="38"/>
        <v>163.20074068819849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7.9</v>
      </c>
      <c r="BY13" s="12">
        <f>IF('Données projet'!$A$114&gt;35,BY12+BX13-CG12,IF(A13&lt;'Données projet'!$A$114,$BV$205^A13,IF(A13='Données projet'!$A$114,'Données projet'!$B$114,BY12+BX13-CG12)))</f>
        <v>12.569805089976542</v>
      </c>
      <c r="BZ13" s="13">
        <f>BY13*VLOOKUP('Données projet'!$B$12,Paramètres!$A$1:$I$89,3,0)*VLOOKUP('Données projet'!$B$12,Paramètres!$A$1:$I$89,5,0)</f>
        <v>7.8435583761453627</v>
      </c>
      <c r="CA13" s="13">
        <f t="shared" si="39"/>
        <v>2.8440934969928842</v>
      </c>
      <c r="CB13" s="20">
        <f t="shared" si="10"/>
        <v>18.614327012382446</v>
      </c>
      <c r="CC13" s="59">
        <f t="shared" si="11"/>
        <v>311.94766034571575</v>
      </c>
      <c r="CD13" s="59">
        <f ca="1">AVERAGE(OFFSET($CC$3,0,0,'Données projet'!$E$12+1,1))-AVERAGE(OFFSET($H$3,0,0,'Données projet'!$E$12+1,1))</f>
        <v>255.41017495879987</v>
      </c>
      <c r="CE13" s="59">
        <f t="shared" si="40"/>
        <v>297.50513563712764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6.179370629370629</v>
      </c>
      <c r="CT13" s="12">
        <f>IF('Données projet'!$A$140&gt;35,CT12+CS13-DB12,IF(A13&lt;'Données projet'!$A$140,$CQ$205^A13,IF(A13='Données projet'!$A$140,'Données projet'!$B$140,CT12+CS13-DB12)))</f>
        <v>9.3263613610341345</v>
      </c>
      <c r="CU13" s="17">
        <f>CT13*VLOOKUP('Données projet'!$B$13,Paramètres!$A$1:$I$89,3,0)*VLOOKUP('Données projet'!$B$13,Paramètres!$A$1:$I$89,5,0)</f>
        <v>5.3346786985115253</v>
      </c>
      <c r="CV13" s="13">
        <f t="shared" si="41"/>
        <v>2.0231353104237648</v>
      </c>
      <c r="CW13" s="20">
        <f t="shared" si="13"/>
        <v>12.81485939889563</v>
      </c>
      <c r="CX13" s="59">
        <f t="shared" si="14"/>
        <v>306.14819273222895</v>
      </c>
      <c r="CY13" s="59">
        <f ca="1">AVERAGE(OFFSET($CX$3,0,0,'Données projet'!$E$13+1,1))-AVERAGE(OFFSET($H$3,0,0,'Données projet'!$E$13+1,1))</f>
        <v>134.70214882504786</v>
      </c>
      <c r="CZ13" s="59">
        <f t="shared" si="42"/>
        <v>102.18553029667771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2.3805128205128203</v>
      </c>
      <c r="DO13" s="12">
        <f>IF('Données projet'!$A$166&gt;35,DO12+DN13-DW12,IF(A13&lt;'Données projet'!$A$166,$DL$205^A13,IF(A13='Données projet'!$A$166,'Données projet'!$B$166,DO12+DN13-DW12)))</f>
        <v>10.843625808385362</v>
      </c>
      <c r="DP13" s="17">
        <f>DO13*VLOOKUP('Données projet'!$B$14,Paramètres!$A$1:$I$89,3,0)*VLOOKUP('Données projet'!$B$14,Paramètres!$A$1:$I$89,5,0)</f>
        <v>6.4844882334144467</v>
      </c>
      <c r="DQ13" s="13">
        <f t="shared" si="43"/>
        <v>2.4039500479922649</v>
      </c>
      <c r="DR13" s="20">
        <f t="shared" si="16"/>
        <v>15.480696673450021</v>
      </c>
      <c r="DS13" s="59">
        <f t="shared" si="17"/>
        <v>308.81403000678336</v>
      </c>
      <c r="DT13" s="59">
        <f ca="1">AVERAGE(OFFSET($DS$3,0,0,'Données projet'!$E$14+1,1))-AVERAGE(OFFSET($H$3,0,0,'Données projet'!$E$14+1,1))</f>
        <v>179.32848817523677</v>
      </c>
      <c r="DU13" s="59">
        <f t="shared" si="44"/>
        <v>131.3292389103035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9.3968325791855207</v>
      </c>
      <c r="EJ13" s="12">
        <f>IF('Données projet'!$A$192&gt;35,EJ12+EI13-ER12,IF(A13&lt;'Données projet'!$A$192,$EG$205^A13,IF(A13='Données projet'!$A$192,'Données projet'!$B$192,EJ12+EI13-ER12)))</f>
        <v>19.775867137361168</v>
      </c>
      <c r="EK13" s="17">
        <f>EJ13*VLOOKUP('Données projet'!$B$15,Paramètres!$A$1:$I$89,3,0)*VLOOKUP('Données projet'!$B$15,Paramètres!$A$1:$I$89,5,0)</f>
        <v>8.7409332747136368</v>
      </c>
      <c r="EL13" s="13">
        <f t="shared" si="45"/>
        <v>3.1297708503822643</v>
      </c>
      <c r="EM13" s="20">
        <f t="shared" si="19"/>
        <v>20.674809684542026</v>
      </c>
      <c r="EN13" s="59">
        <f t="shared" si="20"/>
        <v>314.00814301787534</v>
      </c>
      <c r="EO13" s="59">
        <f ca="1">AVERAGE(OFFSET($EN$3,0,0,'Données projet'!$E$15+1,1))-AVERAGE(OFFSET($H$3,0,0,'Données projet'!$E$15+1,1))</f>
        <v>191.932060106699</v>
      </c>
      <c r="EP13" s="59">
        <f t="shared" si="46"/>
        <v>260.28593152736903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1.05</v>
      </c>
      <c r="FE13" s="12">
        <f>IF('Données projet'!$A$218&gt;35,FE12+FD13-FM12,IF(A13&lt;'Données projet'!$A$218,$FB$205^A13,IF(A13='Données projet'!$A$218,'Données projet'!$B$218,FE12+FD13-FM12)))</f>
        <v>4.5825756949558425</v>
      </c>
      <c r="FF13" s="17">
        <f>FE13*VLOOKUP('Données projet'!$B$16,Paramètres!$A$1:$I$89,3,0)*VLOOKUP('Données projet'!$B$16,Paramètres!$A$1:$I$89,5,0)</f>
        <v>4.4322672121612907</v>
      </c>
      <c r="FG13" s="13">
        <f t="shared" si="47"/>
        <v>1.7175553487466402</v>
      </c>
      <c r="FH13" s="20">
        <f t="shared" si="22"/>
        <v>10.71094096024798</v>
      </c>
      <c r="FI13" s="59">
        <f t="shared" si="23"/>
        <v>304.04427429358128</v>
      </c>
      <c r="FJ13" s="59">
        <f ca="1">AVERAGE(OFFSET($FI$3,0,0,'Données projet'!$E$16+1,1))-AVERAGE(OFFSET($H$3,0,0,'Données projet'!$E$16+1,1))</f>
        <v>102.86738524979938</v>
      </c>
      <c r="FK13" s="59">
        <f t="shared" si="48"/>
        <v>56.347130462109817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3.55</v>
      </c>
      <c r="FZ13" s="12">
        <f>IF('Données projet'!$A$244&gt;35,FZ12+FY13-GH12,IF(A13&lt;'Données projet'!$A$244,$FW$205^A13,IF(A13='Données projet'!$A$244,'Données projet'!$B$244,FZ12+FY13-GH12)))</f>
        <v>8.4261497731763502</v>
      </c>
      <c r="GA13" s="17">
        <f>FZ13*VLOOKUP('Données projet'!$B$17,Paramètres!$A$1:$I$89,3,0)*VLOOKUP('Données projet'!$B$17,Paramètres!$A$1:$I$89,5,0)</f>
        <v>5.6522612678466961</v>
      </c>
      <c r="GB13" s="13">
        <f t="shared" si="49"/>
        <v>2.129195922404401</v>
      </c>
      <c r="GC13" s="20">
        <f t="shared" si="25"/>
        <v>13.552704606353993</v>
      </c>
      <c r="GD13" s="59">
        <f t="shared" si="26"/>
        <v>306.8860379396873</v>
      </c>
      <c r="GE13" s="59">
        <f ca="1">AVERAGE(OFFSET($GD$3,0,0,'Données projet'!$E$17+1,1))-AVERAGE(OFFSET($H$3,0,0,'Données projet'!$E$17+1,1))</f>
        <v>168.00454652899231</v>
      </c>
      <c r="GF13" s="59">
        <f t="shared" si="50"/>
        <v>135.31958994080446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4.0628205128205126</v>
      </c>
      <c r="N14" s="13">
        <f>IF('Données projet'!$A$36&gt;35,N13+M14-V13,IF(A14&lt;'Données projet'!$A$36,$K$205^A14,IF(A14='Données projet'!$A$36,'Données projet'!$B$36,N13+M14-V13)))</f>
        <v>5.8189942330107201</v>
      </c>
      <c r="O14" s="13">
        <f>N14*VLOOKUP('Données projet'!$B$9,Paramètres!$A$1:$I$89,3,0)*VLOOKUP('Données projet'!$B$9,Paramètres!$A$1:$I$89,5,0)</f>
        <v>5.2650259820280993</v>
      </c>
      <c r="P14" s="13">
        <f t="shared" si="33"/>
        <v>1.9997769726555885</v>
      </c>
      <c r="Q14" s="20">
        <f t="shared" si="2"/>
        <v>12.65286514607409</v>
      </c>
      <c r="R14" s="59">
        <f t="shared" si="0"/>
        <v>305.98619847940739</v>
      </c>
      <c r="S14" s="59">
        <f ca="1">AVERAGE(OFFSET($R$3,0,0,'Données projet'!$E$9+1,1))-AVERAGE(OFFSET($H$3,0,0,'Données projet'!$E$9+1,1))</f>
        <v>221.7429870520005</v>
      </c>
      <c r="T14" s="59">
        <f t="shared" si="34"/>
        <v>182.2029938397186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2.9235042735042733</v>
      </c>
      <c r="AI14" s="13">
        <f>IF('Données projet'!$A$62&gt;35,AI13+AH14-AQ13,IF(A14&lt;'Données projet'!$A$62,$AF$205^A14,IF(A14='Données projet'!$A$62,'Données projet'!$B$62,AI13+AH14-AQ13)))</f>
        <v>5.1575387009743459</v>
      </c>
      <c r="AJ14" s="13">
        <f>AI14*VLOOKUP('Données projet'!$B$10,Paramètres!$A$1:$I$89,3,0)*VLOOKUP('Données projet'!$B$10,Paramètres!$A$1:$I$89,5,0)</f>
        <v>4.6665410166415882</v>
      </c>
      <c r="AK14" s="13">
        <f t="shared" si="35"/>
        <v>1.7975299040209971</v>
      </c>
      <c r="AL14" s="20">
        <f t="shared" si="4"/>
        <v>11.258256853487337</v>
      </c>
      <c r="AM14" s="59">
        <f t="shared" si="5"/>
        <v>304.59159018682067</v>
      </c>
      <c r="AN14" s="59">
        <f ca="1">AVERAGE(OFFSET($AM$3,0,0,'Données projet'!$E$10+1,1))-AVERAGE(OFFSET($H$3,0,0,'Données projet'!$E$10+1,1))</f>
        <v>153.45079678708987</v>
      </c>
      <c r="AO14" s="59">
        <f t="shared" si="36"/>
        <v>115.4217868409637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7.2264102564102561</v>
      </c>
      <c r="BD14" s="12">
        <f>IF('Données projet'!$A$88&gt;35,BD13+BC14-BL13,IF(A14&lt;'Données projet'!$A$88,$BA$205^A14,IF(A14='Données projet'!$A$88,'Données projet'!$B$88,BD13+BC14-BL13)))</f>
        <v>7.1870293496939057</v>
      </c>
      <c r="BE14" s="13">
        <f>BD14*VLOOKUP('Données projet'!$B$11,Paramètres!$A$1:$I$89,3,0)*VLOOKUP('Données projet'!$B$11,Paramètres!$A$1:$I$89,5,0)</f>
        <v>3.3635297356567477</v>
      </c>
      <c r="BF14" s="13">
        <f t="shared" si="37"/>
        <v>1.3459482642479659</v>
      </c>
      <c r="BG14" s="20">
        <f t="shared" si="7"/>
        <v>8.2023408498340427</v>
      </c>
      <c r="BH14" s="59">
        <f t="shared" si="8"/>
        <v>301.53567418316737</v>
      </c>
      <c r="BI14" s="59">
        <f ca="1">AVERAGE(OFFSET($BH$3,0,0,'Données projet'!$E$11+1,1))-AVERAGE(OFFSET($H$3,0,0,'Données projet'!$E$11+1,1))</f>
        <v>158.58786357608489</v>
      </c>
      <c r="BJ14" s="59">
        <f t="shared" si="38"/>
        <v>163.20074068819849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7.9</v>
      </c>
      <c r="BY14" s="12">
        <f>IF('Données projet'!$A$114&gt;35,BY13+BX14-CG13,IF(A14&lt;'Données projet'!$A$114,$BV$205^A14,IF(A14='Données projet'!$A$114,'Données projet'!$B$114,BY13+BX14-CG13)))</f>
        <v>16.190542381779895</v>
      </c>
      <c r="BZ14" s="13">
        <f>BY14*VLOOKUP('Données projet'!$B$12,Paramètres!$A$1:$I$89,3,0)*VLOOKUP('Données projet'!$B$12,Paramètres!$A$1:$I$89,5,0)</f>
        <v>10.102898446230656</v>
      </c>
      <c r="CA14" s="13">
        <f t="shared" si="39"/>
        <v>3.5569727611913824</v>
      </c>
      <c r="CB14" s="20">
        <f t="shared" si="10"/>
        <v>23.790942352926717</v>
      </c>
      <c r="CC14" s="59">
        <f t="shared" si="11"/>
        <v>317.12427568626003</v>
      </c>
      <c r="CD14" s="59">
        <f ca="1">AVERAGE(OFFSET($CC$3,0,0,'Données projet'!$E$12+1,1))-AVERAGE(OFFSET($H$3,0,0,'Données projet'!$E$12+1,1))</f>
        <v>255.41017495879987</v>
      </c>
      <c r="CE14" s="59">
        <f t="shared" si="40"/>
        <v>297.50513563712764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6.179370629370629</v>
      </c>
      <c r="CT14" s="12">
        <f>IF('Données projet'!$A$140&gt;35,CT13+CS14-DB13,IF(A14&lt;'Données projet'!$A$140,$CQ$205^A14,IF(A14='Données projet'!$A$140,'Données projet'!$B$140,CT13+CS14-DB13)))</f>
        <v>11.659594926332296</v>
      </c>
      <c r="CU14" s="17">
        <f>CT14*VLOOKUP('Données projet'!$B$13,Paramètres!$A$1:$I$89,3,0)*VLOOKUP('Données projet'!$B$13,Paramètres!$A$1:$I$89,5,0)</f>
        <v>6.6692882978620736</v>
      </c>
      <c r="CV14" s="13">
        <f t="shared" si="41"/>
        <v>2.4643858326557893</v>
      </c>
      <c r="CW14" s="20">
        <f t="shared" si="13"/>
        <v>15.907815777318609</v>
      </c>
      <c r="CX14" s="59">
        <f t="shared" si="14"/>
        <v>309.24114911065192</v>
      </c>
      <c r="CY14" s="59">
        <f ca="1">AVERAGE(OFFSET($CX$3,0,0,'Données projet'!$E$13+1,1))-AVERAGE(OFFSET($H$3,0,0,'Données projet'!$E$13+1,1))</f>
        <v>134.70214882504786</v>
      </c>
      <c r="CZ14" s="59">
        <f t="shared" si="42"/>
        <v>102.18553029667771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2.3805128205128203</v>
      </c>
      <c r="DO14" s="12">
        <f>IF('Données projet'!$A$166&gt;35,DO13+DN14-DW13,IF(A14&lt;'Données projet'!$A$166,$DL$205^A14,IF(A14='Données projet'!$A$166,'Données projet'!$B$166,DO13+DN14-DW13)))</f>
        <v>13.762330235503498</v>
      </c>
      <c r="DP14" s="17">
        <f>DO14*VLOOKUP('Données projet'!$B$14,Paramètres!$A$1:$I$89,3,0)*VLOOKUP('Données projet'!$B$14,Paramètres!$A$1:$I$89,5,0)</f>
        <v>8.2298734808310936</v>
      </c>
      <c r="DQ14" s="13">
        <f t="shared" si="43"/>
        <v>2.9675186699572826</v>
      </c>
      <c r="DR14" s="20">
        <f t="shared" si="16"/>
        <v>19.502124662623089</v>
      </c>
      <c r="DS14" s="59">
        <f t="shared" si="17"/>
        <v>312.8354579959564</v>
      </c>
      <c r="DT14" s="59">
        <f ca="1">AVERAGE(OFFSET($DS$3,0,0,'Données projet'!$E$14+1,1))-AVERAGE(OFFSET($H$3,0,0,'Données projet'!$E$14+1,1))</f>
        <v>179.32848817523677</v>
      </c>
      <c r="DU14" s="59">
        <f t="shared" si="44"/>
        <v>131.3292389103035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9.3968325791855207</v>
      </c>
      <c r="EJ14" s="12">
        <f>IF('Données projet'!$A$192&gt;35,EJ13+EI14-ER13,IF(A14&lt;'Données projet'!$A$192,$EG$205^A14,IF(A14='Données projet'!$A$192,'Données projet'!$B$192,EJ13+EI14-ER13)))</f>
        <v>26.653183494001031</v>
      </c>
      <c r="EK14" s="17">
        <f>EJ14*VLOOKUP('Données projet'!$B$15,Paramètres!$A$1:$I$89,3,0)*VLOOKUP('Données projet'!$B$15,Paramètres!$A$1:$I$89,5,0)</f>
        <v>11.780707104348457</v>
      </c>
      <c r="EL14" s="13">
        <f t="shared" si="45"/>
        <v>4.0741693503725109</v>
      </c>
      <c r="EM14" s="20">
        <f t="shared" si="19"/>
        <v>27.613909825305683</v>
      </c>
      <c r="EN14" s="59">
        <f t="shared" si="20"/>
        <v>320.94724315863903</v>
      </c>
      <c r="EO14" s="59">
        <f ca="1">AVERAGE(OFFSET($EN$3,0,0,'Données projet'!$E$15+1,1))-AVERAGE(OFFSET($H$3,0,0,'Données projet'!$E$15+1,1))</f>
        <v>191.932060106699</v>
      </c>
      <c r="EP14" s="59">
        <f t="shared" si="46"/>
        <v>260.28593152736903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1.05</v>
      </c>
      <c r="FE14" s="12">
        <f>IF('Données projet'!$A$218&gt;35,FE13+FD14-FM13,IF(A14&lt;'Données projet'!$A$218,$FB$205^A14,IF(A14='Données projet'!$A$218,'Données projet'!$B$218,FE13+FD14-FM13)))</f>
        <v>5.3360588677947343</v>
      </c>
      <c r="FF14" s="17">
        <f>FE14*VLOOKUP('Données projet'!$B$16,Paramètres!$A$1:$I$89,3,0)*VLOOKUP('Données projet'!$B$16,Paramètres!$A$1:$I$89,5,0)</f>
        <v>5.1610361369310676</v>
      </c>
      <c r="FG14" s="13">
        <f t="shared" si="47"/>
        <v>1.9648363752047393</v>
      </c>
      <c r="FH14" s="20">
        <f t="shared" si="22"/>
        <v>12.410894625303198</v>
      </c>
      <c r="FI14" s="59">
        <f t="shared" si="23"/>
        <v>305.74422795863649</v>
      </c>
      <c r="FJ14" s="59">
        <f ca="1">AVERAGE(OFFSET($FI$3,0,0,'Données projet'!$E$16+1,1))-AVERAGE(OFFSET($H$3,0,0,'Données projet'!$E$16+1,1))</f>
        <v>102.86738524979938</v>
      </c>
      <c r="FK14" s="59">
        <f t="shared" si="48"/>
        <v>56.347130462109817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3.55</v>
      </c>
      <c r="FZ14" s="12">
        <f>IF('Données projet'!$A$244&gt;35,FZ13+FY14-GH13,IF(A14&lt;'Données projet'!$A$244,$FW$205^A14,IF(A14='Données projet'!$A$244,'Données projet'!$B$244,FZ13+FY14-GH13)))</f>
        <v>10.427785563956506</v>
      </c>
      <c r="GA14" s="17">
        <f>FZ14*VLOOKUP('Données projet'!$B$17,Paramètres!$A$1:$I$89,3,0)*VLOOKUP('Données projet'!$B$17,Paramètres!$A$1:$I$89,5,0)</f>
        <v>6.9949585563020253</v>
      </c>
      <c r="GB14" s="13">
        <f t="shared" si="49"/>
        <v>2.5704207570390039</v>
      </c>
      <c r="GC14" s="20">
        <f t="shared" si="25"/>
        <v>16.659702304068958</v>
      </c>
      <c r="GD14" s="59">
        <f t="shared" si="26"/>
        <v>309.99303563740227</v>
      </c>
      <c r="GE14" s="59">
        <f ca="1">AVERAGE(OFFSET($GD$3,0,0,'Données projet'!$E$17+1,1))-AVERAGE(OFFSET($H$3,0,0,'Données projet'!$E$17+1,1))</f>
        <v>168.00454652899231</v>
      </c>
      <c r="GF14" s="59">
        <f t="shared" si="50"/>
        <v>135.31958994080446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4.0628205128205126</v>
      </c>
      <c r="N15" s="13">
        <f>IF('Données projet'!$A$36&gt;35,N14+M15-V14,IF(A15&lt;'Données projet'!$A$36,$K$205^A15,IF(A15='Données projet'!$A$36,'Données projet'!$B$36,N14+M15-V14)))</f>
        <v>6.8293529228851897</v>
      </c>
      <c r="O15" s="13">
        <f>N15*VLOOKUP('Données projet'!$B$9,Paramètres!$A$1:$I$89,3,0)*VLOOKUP('Données projet'!$B$9,Paramètres!$A$1:$I$89,5,0)</f>
        <v>6.1791985246265195</v>
      </c>
      <c r="P15" s="13">
        <f t="shared" si="33"/>
        <v>2.3036670536275285</v>
      </c>
      <c r="Q15" s="20">
        <f t="shared" si="2"/>
        <v>14.774324215459131</v>
      </c>
      <c r="R15" s="59">
        <f t="shared" si="0"/>
        <v>308.10765754879242</v>
      </c>
      <c r="S15" s="59">
        <f ca="1">AVERAGE(OFFSET($R$3,0,0,'Données projet'!$E$9+1,1))-AVERAGE(OFFSET($H$3,0,0,'Données projet'!$E$9+1,1))</f>
        <v>221.7429870520005</v>
      </c>
      <c r="T15" s="59">
        <f t="shared" si="34"/>
        <v>182.2029938397186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2.9235042735042733</v>
      </c>
      <c r="AI15" s="13">
        <f>IF('Données projet'!$A$62&gt;35,AI14+AH15-AQ14,IF(A15&lt;'Données projet'!$A$62,$AF$205^A15,IF(A15='Données projet'!$A$62,'Données projet'!$B$62,AI14+AH15-AQ14)))</f>
        <v>5.9870101592612031</v>
      </c>
      <c r="AJ15" s="13">
        <f>AI15*VLOOKUP('Données projet'!$B$10,Paramètres!$A$1:$I$89,3,0)*VLOOKUP('Données projet'!$B$10,Paramètres!$A$1:$I$89,5,0)</f>
        <v>5.4170467920995362</v>
      </c>
      <c r="AK15" s="13">
        <f t="shared" si="35"/>
        <v>2.05071206609116</v>
      </c>
      <c r="AL15" s="20">
        <f t="shared" si="4"/>
        <v>13.006346678015461</v>
      </c>
      <c r="AM15" s="59">
        <f t="shared" si="5"/>
        <v>306.33968001134878</v>
      </c>
      <c r="AN15" s="59">
        <f ca="1">AVERAGE(OFFSET($AM$3,0,0,'Données projet'!$E$10+1,1))-AVERAGE(OFFSET($H$3,0,0,'Données projet'!$E$10+1,1))</f>
        <v>153.45079678708987</v>
      </c>
      <c r="AO15" s="59">
        <f t="shared" si="36"/>
        <v>115.4217868409637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7.2264102564102561</v>
      </c>
      <c r="BD15" s="12">
        <f>IF('Données projet'!$A$88&gt;35,BD14+BC15-BL14,IF(A15&lt;'Données projet'!$A$88,$BA$205^A15,IF(A15='Données projet'!$A$88,'Données projet'!$B$88,BD14+BC15-BL14)))</f>
        <v>8.5983980712566286</v>
      </c>
      <c r="BE15" s="13">
        <f>BD15*VLOOKUP('Données projet'!$B$11,Paramètres!$A$1:$I$89,3,0)*VLOOKUP('Données projet'!$B$11,Paramètres!$A$1:$I$89,5,0)</f>
        <v>4.0240502973481025</v>
      </c>
      <c r="BF15" s="13">
        <f t="shared" si="37"/>
        <v>1.5770034573990057</v>
      </c>
      <c r="BG15" s="20">
        <f t="shared" si="7"/>
        <v>9.7551686228512136</v>
      </c>
      <c r="BH15" s="59">
        <f t="shared" si="8"/>
        <v>303.08850195618453</v>
      </c>
      <c r="BI15" s="59">
        <f ca="1">AVERAGE(OFFSET($BH$3,0,0,'Données projet'!$E$11+1,1))-AVERAGE(OFFSET($H$3,0,0,'Données projet'!$E$11+1,1))</f>
        <v>158.58786357608489</v>
      </c>
      <c r="BJ15" s="59">
        <f t="shared" si="38"/>
        <v>163.20074068819849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7.9</v>
      </c>
      <c r="BY15" s="12">
        <f>IF('Données projet'!$A$114&gt;35,BY14+BX15-CG14,IF(A15&lt;'Données projet'!$A$114,$BV$205^A15,IF(A15='Données projet'!$A$114,'Données projet'!$B$114,BY14+BX15-CG14)))</f>
        <v>20.854234472198982</v>
      </c>
      <c r="BZ15" s="13">
        <f>BY15*VLOOKUP('Données projet'!$B$12,Paramètres!$A$1:$I$89,3,0)*VLOOKUP('Données projet'!$B$12,Paramètres!$A$1:$I$89,5,0)</f>
        <v>13.013042310652164</v>
      </c>
      <c r="CA15" s="13">
        <f t="shared" si="39"/>
        <v>4.4485370249728815</v>
      </c>
      <c r="CB15" s="20">
        <f t="shared" si="10"/>
        <v>30.41225067621362</v>
      </c>
      <c r="CC15" s="59">
        <f t="shared" si="11"/>
        <v>323.74558400954692</v>
      </c>
      <c r="CD15" s="59">
        <f ca="1">AVERAGE(OFFSET($CC$3,0,0,'Données projet'!$E$12+1,1))-AVERAGE(OFFSET($H$3,0,0,'Données projet'!$E$12+1,1))</f>
        <v>255.41017495879987</v>
      </c>
      <c r="CE15" s="59">
        <f t="shared" si="40"/>
        <v>297.50513563712764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6.179370629370629</v>
      </c>
      <c r="CT15" s="12">
        <f>IF('Données projet'!$A$140&gt;35,CT14+CS15-DB14,IF(A15&lt;'Données projet'!$A$140,$CQ$205^A15,IF(A15='Données projet'!$A$140,'Données projet'!$B$140,CT14+CS15-DB14)))</f>
        <v>14.576547978737091</v>
      </c>
      <c r="CU15" s="17">
        <f>CT15*VLOOKUP('Données projet'!$B$13,Paramètres!$A$1:$I$89,3,0)*VLOOKUP('Données projet'!$B$13,Paramètres!$A$1:$I$89,5,0)</f>
        <v>8.3377854438376158</v>
      </c>
      <c r="CV15" s="13">
        <f t="shared" si="41"/>
        <v>3.001874121272925</v>
      </c>
      <c r="CW15" s="20">
        <f t="shared" si="13"/>
        <v>19.749907075900857</v>
      </c>
      <c r="CX15" s="59">
        <f t="shared" si="14"/>
        <v>313.08324040923418</v>
      </c>
      <c r="CY15" s="59">
        <f ca="1">AVERAGE(OFFSET($CX$3,0,0,'Données projet'!$E$13+1,1))-AVERAGE(OFFSET($H$3,0,0,'Données projet'!$E$13+1,1))</f>
        <v>134.70214882504786</v>
      </c>
      <c r="CZ15" s="59">
        <f t="shared" si="42"/>
        <v>102.18553029667771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2.3805128205128203</v>
      </c>
      <c r="DO15" s="12">
        <f>IF('Données projet'!$A$166&gt;35,DO14+DN15-DW14,IF(A15&lt;'Données projet'!$A$166,$DL$205^A15,IF(A15='Données projet'!$A$166,'Données projet'!$B$166,DO14+DN15-DW14)))</f>
        <v>17.466642325908158</v>
      </c>
      <c r="DP15" s="17">
        <f>DO15*VLOOKUP('Données projet'!$B$14,Paramètres!$A$1:$I$89,3,0)*VLOOKUP('Données projet'!$B$14,Paramètres!$A$1:$I$89,5,0)</f>
        <v>10.44505211089308</v>
      </c>
      <c r="DQ15" s="13">
        <f t="shared" si="43"/>
        <v>3.6632071718377808</v>
      </c>
      <c r="DR15" s="20">
        <f t="shared" si="16"/>
        <v>24.571884917422917</v>
      </c>
      <c r="DS15" s="59">
        <f t="shared" si="17"/>
        <v>317.90521825075621</v>
      </c>
      <c r="DT15" s="59">
        <f ca="1">AVERAGE(OFFSET($DS$3,0,0,'Données projet'!$E$14+1,1))-AVERAGE(OFFSET($H$3,0,0,'Données projet'!$E$14+1,1))</f>
        <v>179.32848817523677</v>
      </c>
      <c r="DU15" s="59">
        <f t="shared" si="44"/>
        <v>131.3292389103035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9.3968325791855207</v>
      </c>
      <c r="EJ15" s="12">
        <f>IF('Données projet'!$A$192&gt;35,EJ14+EI15-ER14,IF(A15&lt;'Données projet'!$A$192,$EG$205^A15,IF(A15='Données projet'!$A$192,'Données projet'!$B$192,EJ14+EI15-ER14)))</f>
        <v>35.922176531151678</v>
      </c>
      <c r="EK15" s="17">
        <f>EJ15*VLOOKUP('Données projet'!$B$15,Paramètres!$A$1:$I$89,3,0)*VLOOKUP('Données projet'!$B$15,Paramètres!$A$1:$I$89,5,0)</f>
        <v>15.877602026769043</v>
      </c>
      <c r="EL15" s="13">
        <f t="shared" si="45"/>
        <v>5.3035371242873586</v>
      </c>
      <c r="EM15" s="20">
        <f t="shared" si="19"/>
        <v>36.890484021423227</v>
      </c>
      <c r="EN15" s="59">
        <f t="shared" si="20"/>
        <v>330.22381735475653</v>
      </c>
      <c r="EO15" s="59">
        <f ca="1">AVERAGE(OFFSET($EN$3,0,0,'Données projet'!$E$15+1,1))-AVERAGE(OFFSET($H$3,0,0,'Données projet'!$E$15+1,1))</f>
        <v>191.932060106699</v>
      </c>
      <c r="EP15" s="59">
        <f t="shared" si="46"/>
        <v>260.28593152736903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1.05</v>
      </c>
      <c r="FE15" s="12">
        <f>IF('Données projet'!$A$218&gt;35,FE14+FD15-FM14,IF(A15&lt;'Données projet'!$A$218,$FB$205^A15,IF(A15='Données projet'!$A$218,'Données projet'!$B$218,FE14+FD15-FM14)))</f>
        <v>6.213432387360748</v>
      </c>
      <c r="FF15" s="17">
        <f>FE15*VLOOKUP('Données projet'!$B$16,Paramètres!$A$1:$I$89,3,0)*VLOOKUP('Données projet'!$B$16,Paramètres!$A$1:$I$89,5,0)</f>
        <v>6.0096318050553155</v>
      </c>
      <c r="FG15" s="13">
        <f t="shared" si="47"/>
        <v>2.2477191108542129</v>
      </c>
      <c r="FH15" s="20">
        <f t="shared" si="22"/>
        <v>14.381552845209095</v>
      </c>
      <c r="FI15" s="59">
        <f t="shared" si="23"/>
        <v>307.71488617854243</v>
      </c>
      <c r="FJ15" s="59">
        <f ca="1">AVERAGE(OFFSET($FI$3,0,0,'Données projet'!$E$16+1,1))-AVERAGE(OFFSET($H$3,0,0,'Données projet'!$E$16+1,1))</f>
        <v>102.86738524979938</v>
      </c>
      <c r="FK15" s="59">
        <f t="shared" si="48"/>
        <v>56.347130462109817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3.55</v>
      </c>
      <c r="FZ15" s="12">
        <f>IF('Données projet'!$A$244&gt;35,FZ14+FY15-GH14,IF(A15&lt;'Données projet'!$A$244,$FW$205^A15,IF(A15='Données projet'!$A$244,'Données projet'!$B$244,FZ14+FY15-GH14)))</f>
        <v>12.904910866172415</v>
      </c>
      <c r="GA15" s="17">
        <f>FZ15*VLOOKUP('Données projet'!$B$17,Paramètres!$A$1:$I$89,3,0)*VLOOKUP('Données projet'!$B$17,Paramètres!$A$1:$I$89,5,0)</f>
        <v>8.6566142090284561</v>
      </c>
      <c r="GB15" s="13">
        <f t="shared" si="49"/>
        <v>3.1030788659203905</v>
      </c>
      <c r="GC15" s="20">
        <f t="shared" si="25"/>
        <v>20.48146543886924</v>
      </c>
      <c r="GD15" s="59">
        <f t="shared" si="26"/>
        <v>313.81479877220255</v>
      </c>
      <c r="GE15" s="59">
        <f ca="1">AVERAGE(OFFSET($GD$3,0,0,'Données projet'!$E$17+1,1))-AVERAGE(OFFSET($H$3,0,0,'Données projet'!$E$17+1,1))</f>
        <v>168.00454652899231</v>
      </c>
      <c r="GF15" s="59">
        <f t="shared" si="50"/>
        <v>135.31958994080446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4.0628205128205126</v>
      </c>
      <c r="N16" s="13">
        <f>IF('Données projet'!$A$36&gt;35,N15+M16-V15,IF(A16&lt;'Données projet'!$A$36,$K$205^A16,IF(A16='Données projet'!$A$36,'Données projet'!$B$36,N15+M16-V15)))</f>
        <v>8.0151413590917304</v>
      </c>
      <c r="O16" s="13">
        <f>N16*VLOOKUP('Données projet'!$B$9,Paramètres!$A$1:$I$89,3,0)*VLOOKUP('Données projet'!$B$9,Paramètres!$A$1:$I$89,5,0)</f>
        <v>7.2520999017061971</v>
      </c>
      <c r="P16" s="13">
        <f t="shared" si="33"/>
        <v>2.6537368749284589</v>
      </c>
      <c r="Q16" s="20">
        <f t="shared" si="2"/>
        <v>17.252665719305359</v>
      </c>
      <c r="R16" s="59">
        <f t="shared" si="0"/>
        <v>310.58599905263867</v>
      </c>
      <c r="S16" s="59">
        <f ca="1">AVERAGE(OFFSET($R$3,0,0,'Données projet'!$E$9+1,1))-AVERAGE(OFFSET($H$3,0,0,'Données projet'!$E$9+1,1))</f>
        <v>221.7429870520005</v>
      </c>
      <c r="T16" s="59">
        <f t="shared" si="34"/>
        <v>182.2029938397186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2.9235042735042733</v>
      </c>
      <c r="AI16" s="13">
        <f>IF('Données projet'!$A$62&gt;35,AI15+AH16-AQ15,IF(A16&lt;'Données projet'!$A$62,$AF$205^A16,IF(A16='Données projet'!$A$62,'Données projet'!$B$62,AI15+AH16-AQ15)))</f>
        <v>6.9498830208148057</v>
      </c>
      <c r="AJ16" s="13">
        <f>AI16*VLOOKUP('Données projet'!$B$10,Paramètres!$A$1:$I$89,3,0)*VLOOKUP('Données projet'!$B$10,Paramètres!$A$1:$I$89,5,0)</f>
        <v>6.2882541572332364</v>
      </c>
      <c r="AK16" s="13">
        <f t="shared" si="35"/>
        <v>2.3395549462651668</v>
      </c>
      <c r="AL16" s="20">
        <f t="shared" si="4"/>
        <v>15.026767521926386</v>
      </c>
      <c r="AM16" s="59">
        <f t="shared" si="5"/>
        <v>308.3601008552597</v>
      </c>
      <c r="AN16" s="59">
        <f ca="1">AVERAGE(OFFSET($AM$3,0,0,'Données projet'!$E$10+1,1))-AVERAGE(OFFSET($H$3,0,0,'Données projet'!$E$10+1,1))</f>
        <v>153.45079678708987</v>
      </c>
      <c r="AO16" s="59">
        <f t="shared" si="36"/>
        <v>115.4217868409637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7.2264102564102561</v>
      </c>
      <c r="BD16" s="12">
        <f>IF('Données projet'!$A$88&gt;35,BD15+BC16-BL15,IF(A16&lt;'Données projet'!$A$88,$BA$205^A16,IF(A16='Données projet'!$A$88,'Données projet'!$B$88,BD15+BC16-BL15)))</f>
        <v>10.286927434759741</v>
      </c>
      <c r="BE16" s="13">
        <f>BD16*VLOOKUP('Données projet'!$B$11,Paramètres!$A$1:$I$89,3,0)*VLOOKUP('Données projet'!$B$11,Paramètres!$A$1:$I$89,5,0)</f>
        <v>4.8142820394675585</v>
      </c>
      <c r="BF16" s="13">
        <f t="shared" si="37"/>
        <v>1.8477232526006253</v>
      </c>
      <c r="BG16" s="20">
        <f t="shared" si="7"/>
        <v>11.602992550352086</v>
      </c>
      <c r="BH16" s="59">
        <f t="shared" si="8"/>
        <v>304.93632588368541</v>
      </c>
      <c r="BI16" s="59">
        <f ca="1">AVERAGE(OFFSET($BH$3,0,0,'Données projet'!$E$11+1,1))-AVERAGE(OFFSET($H$3,0,0,'Données projet'!$E$11+1,1))</f>
        <v>158.58786357608489</v>
      </c>
      <c r="BJ16" s="59">
        <f t="shared" si="38"/>
        <v>163.20074068819849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7.9</v>
      </c>
      <c r="BY16" s="12">
        <f>IF('Données projet'!$A$114&gt;35,BY15+BX16-CG15,IF(A16&lt;'Données projet'!$A$114,$BV$205^A16,IF(A16='Données projet'!$A$114,'Données projet'!$B$114,BY15+BX16-CG15)))</f>
        <v>26.861304900499697</v>
      </c>
      <c r="BZ16" s="13">
        <f>BY16*VLOOKUP('Données projet'!$B$12,Paramètres!$A$1:$I$89,3,0)*VLOOKUP('Données projet'!$B$12,Paramètres!$A$1:$I$89,5,0)</f>
        <v>16.761454257911808</v>
      </c>
      <c r="CA16" s="13">
        <f t="shared" si="39"/>
        <v>5.5635741376681862</v>
      </c>
      <c r="CB16" s="20">
        <f t="shared" si="10"/>
        <v>38.88275778896849</v>
      </c>
      <c r="CC16" s="59">
        <f t="shared" si="11"/>
        <v>332.2160911223018</v>
      </c>
      <c r="CD16" s="59">
        <f ca="1">AVERAGE(OFFSET($CC$3,0,0,'Données projet'!$E$12+1,1))-AVERAGE(OFFSET($H$3,0,0,'Données projet'!$E$12+1,1))</f>
        <v>255.41017495879987</v>
      </c>
      <c r="CE16" s="59">
        <f t="shared" si="40"/>
        <v>297.50513563712764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6.179370629370629</v>
      </c>
      <c r="CT16" s="12">
        <f>IF('Données projet'!$A$140&gt;35,CT15+CS16-DB15,IF(A16&lt;'Données projet'!$A$140,$CQ$205^A16,IF(A16='Données projet'!$A$140,'Données projet'!$B$140,CT15+CS16-DB15)))</f>
        <v>18.223253236402261</v>
      </c>
      <c r="CU16" s="17">
        <f>CT16*VLOOKUP('Données projet'!$B$13,Paramètres!$A$1:$I$89,3,0)*VLOOKUP('Données projet'!$B$13,Paramètres!$A$1:$I$89,5,0)</f>
        <v>10.423700851222092</v>
      </c>
      <c r="CV16" s="13">
        <f t="shared" si="41"/>
        <v>3.656589857220923</v>
      </c>
      <c r="CW16" s="20">
        <f t="shared" si="13"/>
        <v>24.523172983871586</v>
      </c>
      <c r="CX16" s="59">
        <f t="shared" si="14"/>
        <v>317.85650631720489</v>
      </c>
      <c r="CY16" s="59">
        <f ca="1">AVERAGE(OFFSET($CX$3,0,0,'Données projet'!$E$13+1,1))-AVERAGE(OFFSET($H$3,0,0,'Données projet'!$E$13+1,1))</f>
        <v>134.70214882504786</v>
      </c>
      <c r="CZ16" s="59">
        <f t="shared" si="42"/>
        <v>102.18553029667771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2.3805128205128203</v>
      </c>
      <c r="DO16" s="12">
        <f>IF('Données projet'!$A$166&gt;35,DO15+DN16-DW15,IF(A16&lt;'Données projet'!$A$166,$DL$205^A16,IF(A16='Données projet'!$A$166,'Données projet'!$B$166,DO15+DN16-DW15)))</f>
        <v>22.168018709081991</v>
      </c>
      <c r="DP16" s="17">
        <f>DO16*VLOOKUP('Données projet'!$B$14,Paramètres!$A$1:$I$89,3,0)*VLOOKUP('Données projet'!$B$14,Paramètres!$A$1:$I$89,5,0)</f>
        <v>13.256475188031033</v>
      </c>
      <c r="DQ16" s="13">
        <f t="shared" si="43"/>
        <v>4.5219890003242735</v>
      </c>
      <c r="DR16" s="20">
        <f t="shared" si="16"/>
        <v>30.964158461385495</v>
      </c>
      <c r="DS16" s="59">
        <f t="shared" si="17"/>
        <v>324.29749179471878</v>
      </c>
      <c r="DT16" s="59">
        <f ca="1">AVERAGE(OFFSET($DS$3,0,0,'Données projet'!$E$14+1,1))-AVERAGE(OFFSET($H$3,0,0,'Données projet'!$E$14+1,1))</f>
        <v>179.32848817523677</v>
      </c>
      <c r="DU16" s="59">
        <f t="shared" si="44"/>
        <v>131.3292389103035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9.3968325791855207</v>
      </c>
      <c r="EJ16" s="12">
        <f>IF('Données projet'!$A$192&gt;35,EJ15+EI16-ER15,IF(A16&lt;'Données projet'!$A$192,$EG$205^A16,IF(A16='Données projet'!$A$192,'Données projet'!$B$192,EJ15+EI16-ER15)))</f>
        <v>48.414583084443251</v>
      </c>
      <c r="EK16" s="17">
        <f>EJ16*VLOOKUP('Données projet'!$B$15,Paramètres!$A$1:$I$89,3,0)*VLOOKUP('Données projet'!$B$15,Paramètres!$A$1:$I$89,5,0)</f>
        <v>21.399245723323919</v>
      </c>
      <c r="EL16" s="13">
        <f t="shared" si="45"/>
        <v>6.9038627533051526</v>
      </c>
      <c r="EM16" s="20">
        <f t="shared" si="19"/>
        <v>49.294580596795633</v>
      </c>
      <c r="EN16" s="59">
        <f t="shared" si="20"/>
        <v>342.62791393012895</v>
      </c>
      <c r="EO16" s="59">
        <f ca="1">AVERAGE(OFFSET($EN$3,0,0,'Données projet'!$E$15+1,1))-AVERAGE(OFFSET($H$3,0,0,'Données projet'!$E$15+1,1))</f>
        <v>191.932060106699</v>
      </c>
      <c r="EP16" s="59">
        <f t="shared" si="46"/>
        <v>260.28593152736903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1.05</v>
      </c>
      <c r="FE16" s="12">
        <f>IF('Données projet'!$A$218&gt;35,FE15+FD16-FM15,IF(A16&lt;'Données projet'!$A$218,$FB$205^A16,IF(A16='Données projet'!$A$218,'Données projet'!$B$218,FE15+FD16-FM15)))</f>
        <v>7.235066739107908</v>
      </c>
      <c r="FF16" s="17">
        <f>FE16*VLOOKUP('Données projet'!$B$16,Paramètres!$A$1:$I$89,3,0)*VLOOKUP('Données projet'!$B$16,Paramètres!$A$1:$I$89,5,0)</f>
        <v>6.9977565500651693</v>
      </c>
      <c r="FG16" s="13">
        <f t="shared" si="47"/>
        <v>2.5713292287622704</v>
      </c>
      <c r="FH16" s="20">
        <f t="shared" si="22"/>
        <v>16.666157731457787</v>
      </c>
      <c r="FI16" s="59">
        <f t="shared" si="23"/>
        <v>309.99949106479107</v>
      </c>
      <c r="FJ16" s="59">
        <f ca="1">AVERAGE(OFFSET($FI$3,0,0,'Données projet'!$E$16+1,1))-AVERAGE(OFFSET($H$3,0,0,'Données projet'!$E$16+1,1))</f>
        <v>102.86738524979938</v>
      </c>
      <c r="FK16" s="59">
        <f t="shared" si="48"/>
        <v>56.347130462109817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3.55</v>
      </c>
      <c r="FZ16" s="12">
        <f>IF('Données projet'!$A$244&gt;35,FZ15+FY16-GH15,IF(A16&lt;'Données projet'!$A$244,$FW$205^A16,IF(A16='Données projet'!$A$244,'Données projet'!$B$244,FZ15+FY16-GH15)))</f>
        <v>15.970478434029818</v>
      </c>
      <c r="GA16" s="17">
        <f>FZ16*VLOOKUP('Données projet'!$B$17,Paramètres!$A$1:$I$89,3,0)*VLOOKUP('Données projet'!$B$17,Paramètres!$A$1:$I$89,5,0)</f>
        <v>10.712996933547203</v>
      </c>
      <c r="GB16" s="13">
        <f t="shared" si="49"/>
        <v>3.746117604191002</v>
      </c>
      <c r="GC16" s="20">
        <f t="shared" si="25"/>
        <v>25.182957819894042</v>
      </c>
      <c r="GD16" s="59">
        <f t="shared" si="26"/>
        <v>318.51629115322737</v>
      </c>
      <c r="GE16" s="59">
        <f ca="1">AVERAGE(OFFSET($GD$3,0,0,'Données projet'!$E$17+1,1))-AVERAGE(OFFSET($H$3,0,0,'Données projet'!$E$17+1,1))</f>
        <v>168.00454652899231</v>
      </c>
      <c r="GF16" s="59">
        <f t="shared" si="50"/>
        <v>135.31958994080446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4.0628205128205126</v>
      </c>
      <c r="N17" s="13">
        <f>IF('Données projet'!$A$36&gt;35,N16+M17-V16,IF(A17&lt;'Données projet'!$A$36,$K$205^A17,IF(A17='Données projet'!$A$36,'Données projet'!$B$36,N16+M17-V16)))</f>
        <v>9.4068196111151305</v>
      </c>
      <c r="O17" s="13">
        <f>N17*VLOOKUP('Données projet'!$B$9,Paramètres!$A$1:$I$89,3,0)*VLOOKUP('Données projet'!$B$9,Paramètres!$A$1:$I$89,5,0)</f>
        <v>8.51129038413697</v>
      </c>
      <c r="P17" s="13">
        <f t="shared" si="33"/>
        <v>3.0570040016267526</v>
      </c>
      <c r="Q17" s="20">
        <f t="shared" si="2"/>
        <v>20.148112721871815</v>
      </c>
      <c r="R17" s="59">
        <f t="shared" si="0"/>
        <v>313.48144605520514</v>
      </c>
      <c r="S17" s="59">
        <f ca="1">AVERAGE(OFFSET($R$3,0,0,'Données projet'!$E$9+1,1))-AVERAGE(OFFSET($H$3,0,0,'Données projet'!$E$9+1,1))</f>
        <v>221.7429870520005</v>
      </c>
      <c r="T17" s="59">
        <f t="shared" si="34"/>
        <v>182.2029938397186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2.9235042735042733</v>
      </c>
      <c r="AI17" s="13">
        <f>IF('Données projet'!$A$62&gt;35,AI16+AH17-AQ16,IF(A17&lt;'Données projet'!$A$62,$AF$205^A17,IF(A17='Données projet'!$A$62,'Données projet'!$B$62,AI16+AH17-AQ16)))</f>
        <v>8.0676118326430668</v>
      </c>
      <c r="AJ17" s="13">
        <f>AI17*VLOOKUP('Données projet'!$B$10,Paramètres!$A$1:$I$89,3,0)*VLOOKUP('Données projet'!$B$10,Paramètres!$A$1:$I$89,5,0)</f>
        <v>7.2995751861754465</v>
      </c>
      <c r="AK17" s="13">
        <f t="shared" si="35"/>
        <v>2.6690813581776105</v>
      </c>
      <c r="AL17" s="20">
        <f t="shared" si="4"/>
        <v>17.362076814748239</v>
      </c>
      <c r="AM17" s="59">
        <f t="shared" si="5"/>
        <v>310.69541014808158</v>
      </c>
      <c r="AN17" s="59">
        <f ca="1">AVERAGE(OFFSET($AM$3,0,0,'Données projet'!$E$10+1,1))-AVERAGE(OFFSET($H$3,0,0,'Données projet'!$E$10+1,1))</f>
        <v>153.45079678708987</v>
      </c>
      <c r="AO17" s="59">
        <f t="shared" si="36"/>
        <v>115.4217868409637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7.2264102564102561</v>
      </c>
      <c r="BD17" s="12">
        <f>IF('Données projet'!$A$88&gt;35,BD16+BC17-BL16,IF(A17&lt;'Données projet'!$A$88,$BA$205^A17,IF(A17='Données projet'!$A$88,'Données projet'!$B$88,BD16+BC17-BL16)))</f>
        <v>12.307045471848836</v>
      </c>
      <c r="BE17" s="13">
        <f>BD17*VLOOKUP('Données projet'!$B$11,Paramètres!$A$1:$I$89,3,0)*VLOOKUP('Données projet'!$B$11,Paramètres!$A$1:$I$89,5,0)</f>
        <v>5.7596972808252556</v>
      </c>
      <c r="BF17" s="13">
        <f t="shared" si="37"/>
        <v>2.1649167617120959</v>
      </c>
      <c r="BG17" s="20">
        <f t="shared" si="7"/>
        <v>13.802036124085888</v>
      </c>
      <c r="BH17" s="59">
        <f t="shared" si="8"/>
        <v>307.13536945741919</v>
      </c>
      <c r="BI17" s="59">
        <f ca="1">AVERAGE(OFFSET($BH$3,0,0,'Données projet'!$E$11+1,1))-AVERAGE(OFFSET($H$3,0,0,'Données projet'!$E$11+1,1))</f>
        <v>158.58786357608489</v>
      </c>
      <c r="BJ17" s="59">
        <f t="shared" si="38"/>
        <v>163.20074068819849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7.9</v>
      </c>
      <c r="BY17" s="12">
        <f>IF('Données projet'!$A$114&gt;35,BY16+BX17-CG16,IF(A17&lt;'Données projet'!$A$114,$BV$205^A17,IF(A17='Données projet'!$A$114,'Données projet'!$B$114,BY16+BX17-CG16)))</f>
        <v>34.598714324397214</v>
      </c>
      <c r="BZ17" s="13">
        <f>BY17*VLOOKUP('Données projet'!$B$12,Paramètres!$A$1:$I$89,3,0)*VLOOKUP('Données projet'!$B$12,Paramètres!$A$1:$I$89,5,0)</f>
        <v>21.589597738423862</v>
      </c>
      <c r="CA17" s="13">
        <f t="shared" si="39"/>
        <v>6.9580981368855754</v>
      </c>
      <c r="CB17" s="20">
        <f t="shared" si="10"/>
        <v>49.720570316163929</v>
      </c>
      <c r="CC17" s="59">
        <f t="shared" si="11"/>
        <v>343.05390364949722</v>
      </c>
      <c r="CD17" s="59">
        <f ca="1">AVERAGE(OFFSET($CC$3,0,0,'Données projet'!$E$12+1,1))-AVERAGE(OFFSET($H$3,0,0,'Données projet'!$E$12+1,1))</f>
        <v>255.41017495879987</v>
      </c>
      <c r="CE17" s="59">
        <f t="shared" si="40"/>
        <v>297.50513563712764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6.179370629370629</v>
      </c>
      <c r="CT17" s="12">
        <f>IF('Données projet'!$A$140&gt;35,CT16+CS17-DB16,IF(A17&lt;'Données projet'!$A$140,$CQ$205^A17,IF(A17='Données projet'!$A$140,'Données projet'!$B$140,CT16+CS17-DB16)))</f>
        <v>22.782277326734896</v>
      </c>
      <c r="CU17" s="17">
        <f>CT17*VLOOKUP('Données projet'!$B$13,Paramètres!$A$1:$I$89,3,0)*VLOOKUP('Données projet'!$B$13,Paramètres!$A$1:$I$89,5,0)</f>
        <v>13.031462630892362</v>
      </c>
      <c r="CV17" s="13">
        <f t="shared" si="41"/>
        <v>4.4541006197359136</v>
      </c>
      <c r="CW17" s="20">
        <f t="shared" si="13"/>
        <v>30.454022661510908</v>
      </c>
      <c r="CX17" s="59">
        <f t="shared" si="14"/>
        <v>323.78735599484423</v>
      </c>
      <c r="CY17" s="59">
        <f ca="1">AVERAGE(OFFSET($CX$3,0,0,'Données projet'!$E$13+1,1))-AVERAGE(OFFSET($H$3,0,0,'Données projet'!$E$13+1,1))</f>
        <v>134.70214882504786</v>
      </c>
      <c r="CZ17" s="59">
        <f t="shared" si="42"/>
        <v>102.18553029667771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2.3805128205128203</v>
      </c>
      <c r="DO17" s="12">
        <f>IF('Données projet'!$A$166&gt;35,DO16+DN17-DW16,IF(A17&lt;'Données projet'!$A$166,$DL$205^A17,IF(A17='Données projet'!$A$166,'Données projet'!$B$166,DO16+DN17-DW16)))</f>
        <v>28.134832345956244</v>
      </c>
      <c r="DP17" s="17">
        <f>DO17*VLOOKUP('Données projet'!$B$14,Paramètres!$A$1:$I$89,3,0)*VLOOKUP('Données projet'!$B$14,Paramètres!$A$1:$I$89,5,0)</f>
        <v>16.824629742881836</v>
      </c>
      <c r="DQ17" s="13">
        <f t="shared" si="43"/>
        <v>5.5820988439469144</v>
      </c>
      <c r="DR17" s="20">
        <f t="shared" si="16"/>
        <v>39.025052288726734</v>
      </c>
      <c r="DS17" s="59">
        <f t="shared" si="17"/>
        <v>332.35838562206004</v>
      </c>
      <c r="DT17" s="59">
        <f ca="1">AVERAGE(OFFSET($DS$3,0,0,'Données projet'!$E$14+1,1))-AVERAGE(OFFSET($H$3,0,0,'Données projet'!$E$14+1,1))</f>
        <v>179.32848817523677</v>
      </c>
      <c r="DU17" s="59">
        <f t="shared" si="44"/>
        <v>131.3292389103035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9.3968325791855207</v>
      </c>
      <c r="EJ17" s="12">
        <f>IF('Données projet'!$A$192&gt;35,EJ16+EI17-ER16,IF(A17&lt;'Données projet'!$A$192,$EG$205^A17,IF(A17='Données projet'!$A$192,'Données projet'!$B$192,EJ16+EI17-ER16)))</f>
        <v>65.251387348641543</v>
      </c>
      <c r="EK17" s="17">
        <f>EJ17*VLOOKUP('Données projet'!$B$15,Paramètres!$A$1:$I$89,3,0)*VLOOKUP('Données projet'!$B$15,Paramètres!$A$1:$I$89,5,0)</f>
        <v>28.841113208099564</v>
      </c>
      <c r="EL17" s="13">
        <f t="shared" si="45"/>
        <v>8.9870816022389555</v>
      </c>
      <c r="EM17" s="20">
        <f t="shared" si="19"/>
        <v>65.884105961339586</v>
      </c>
      <c r="EN17" s="59">
        <f t="shared" si="20"/>
        <v>359.21743929467289</v>
      </c>
      <c r="EO17" s="59">
        <f ca="1">AVERAGE(OFFSET($EN$3,0,0,'Données projet'!$E$15+1,1))-AVERAGE(OFFSET($H$3,0,0,'Données projet'!$E$15+1,1))</f>
        <v>191.932060106699</v>
      </c>
      <c r="EP17" s="59">
        <f t="shared" si="46"/>
        <v>260.28593152736903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1.05</v>
      </c>
      <c r="FE17" s="12">
        <f>IF('Données projet'!$A$218&gt;35,FE16+FD17-FM16,IF(A17&lt;'Données projet'!$A$218,$FB$205^A17,IF(A17='Données projet'!$A$218,'Données projet'!$B$218,FE16+FD17-FM16)))</f>
        <v>8.4246817951744681</v>
      </c>
      <c r="FF17" s="17">
        <f>FE17*VLOOKUP('Données projet'!$B$16,Paramètres!$A$1:$I$89,3,0)*VLOOKUP('Données projet'!$B$16,Paramètres!$A$1:$I$89,5,0)</f>
        <v>8.148352232292746</v>
      </c>
      <c r="FG17" s="13">
        <f t="shared" si="47"/>
        <v>2.9415303588242718</v>
      </c>
      <c r="FH17" s="20">
        <f t="shared" si="22"/>
        <v>19.314878846195473</v>
      </c>
      <c r="FI17" s="59">
        <f t="shared" si="23"/>
        <v>312.6482121795288</v>
      </c>
      <c r="FJ17" s="59">
        <f ca="1">AVERAGE(OFFSET($FI$3,0,0,'Données projet'!$E$16+1,1))-AVERAGE(OFFSET($H$3,0,0,'Données projet'!$E$16+1,1))</f>
        <v>102.86738524979938</v>
      </c>
      <c r="FK17" s="59">
        <f t="shared" si="48"/>
        <v>56.347130462109817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3.55</v>
      </c>
      <c r="FZ17" s="12">
        <f>IF('Données projet'!$A$244&gt;35,FZ16+FY17-GH16,IF(A17&lt;'Données projet'!$A$244,$FW$205^A17,IF(A17='Données projet'!$A$244,'Données projet'!$B$244,FZ16+FY17-GH16)))</f>
        <v>19.764273000938669</v>
      </c>
      <c r="GA17" s="17">
        <f>FZ17*VLOOKUP('Données projet'!$B$17,Paramètres!$A$1:$I$89,3,0)*VLOOKUP('Données projet'!$B$17,Paramètres!$A$1:$I$89,5,0)</f>
        <v>13.25787432902966</v>
      </c>
      <c r="GB17" s="13">
        <f t="shared" si="49"/>
        <v>4.5224107123256596</v>
      </c>
      <c r="GC17" s="20">
        <f t="shared" si="25"/>
        <v>30.967329780360515</v>
      </c>
      <c r="GD17" s="59">
        <f t="shared" si="26"/>
        <v>324.30066311369382</v>
      </c>
      <c r="GE17" s="59">
        <f ca="1">AVERAGE(OFFSET($GD$3,0,0,'Données projet'!$E$17+1,1))-AVERAGE(OFFSET($H$3,0,0,'Données projet'!$E$17+1,1))</f>
        <v>168.00454652899231</v>
      </c>
      <c r="GF17" s="59">
        <f t="shared" si="50"/>
        <v>135.31958994080446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4.0628205128205126</v>
      </c>
      <c r="N18" s="13">
        <f>IF('Données projet'!$A$36&gt;35,N17+M18-V17,IF(A18&lt;'Données projet'!$A$36,$K$205^A18,IF(A18='Données projet'!$A$36,'Données projet'!$B$36,N17+M18-V17)))</f>
        <v>11.040136565487554</v>
      </c>
      <c r="O18" s="13">
        <f>N18*VLOOKUP('Données projet'!$B$9,Paramètres!$A$1:$I$89,3,0)*VLOOKUP('Données projet'!$B$9,Paramètres!$A$1:$I$89,5,0)</f>
        <v>9.9891155644531384</v>
      </c>
      <c r="P18" s="13">
        <f t="shared" si="33"/>
        <v>3.5215524019177353</v>
      </c>
      <c r="Q18" s="20">
        <f t="shared" si="2"/>
        <v>23.531080041429274</v>
      </c>
      <c r="R18" s="59">
        <f t="shared" si="0"/>
        <v>316.86441337476259</v>
      </c>
      <c r="S18" s="59">
        <f ca="1">AVERAGE(OFFSET($R$3,0,0,'Données projet'!$E$9+1,1))-AVERAGE(OFFSET($H$3,0,0,'Données projet'!$E$9+1,1))</f>
        <v>221.7429870520005</v>
      </c>
      <c r="T18" s="59">
        <f t="shared" si="34"/>
        <v>182.2029938397186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2.9235042735042733</v>
      </c>
      <c r="AI18" s="13">
        <f>IF('Données projet'!$A$62&gt;35,AI17+AH18-AQ17,IF(A18&lt;'Données projet'!$A$62,$AF$205^A18,IF(A18='Données projet'!$A$62,'Données projet'!$B$62,AI17+AH18-AQ17)))</f>
        <v>9.3651016121091022</v>
      </c>
      <c r="AJ18" s="13">
        <f>AI18*VLOOKUP('Données projet'!$B$10,Paramètres!$A$1:$I$89,3,0)*VLOOKUP('Données projet'!$B$10,Paramètres!$A$1:$I$89,5,0)</f>
        <v>8.4735439386363147</v>
      </c>
      <c r="AK18" s="13">
        <f t="shared" si="35"/>
        <v>3.045021578973337</v>
      </c>
      <c r="AL18" s="20">
        <f t="shared" si="4"/>
        <v>20.06150160983681</v>
      </c>
      <c r="AM18" s="59">
        <f t="shared" si="5"/>
        <v>313.39483494317011</v>
      </c>
      <c r="AN18" s="59">
        <f ca="1">AVERAGE(OFFSET($AM$3,0,0,'Données projet'!$E$10+1,1))-AVERAGE(OFFSET($H$3,0,0,'Données projet'!$E$10+1,1))</f>
        <v>153.45079678708987</v>
      </c>
      <c r="AO18" s="59">
        <f t="shared" si="36"/>
        <v>115.4217868409637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7.2264102564102561</v>
      </c>
      <c r="BD18" s="12">
        <f>IF('Données projet'!$A$88&gt;35,BD17+BC18-BL17,IF(A18&lt;'Données projet'!$A$88,$BA$205^A18,IF(A18='Données projet'!$A$88,'Données projet'!$B$88,BD17+BC18-BL17)))</f>
        <v>14.723868638788783</v>
      </c>
      <c r="BE18" s="13">
        <f>BD18*VLOOKUP('Données projet'!$B$11,Paramètres!$A$1:$I$89,3,0)*VLOOKUP('Données projet'!$B$11,Paramètres!$A$1:$I$89,5,0)</f>
        <v>6.89077052295315</v>
      </c>
      <c r="BF18" s="13">
        <f t="shared" si="37"/>
        <v>2.5365619978778424</v>
      </c>
      <c r="BG18" s="20">
        <f t="shared" si="7"/>
        <v>16.419270807113978</v>
      </c>
      <c r="BH18" s="59">
        <f t="shared" si="8"/>
        <v>309.75260414044732</v>
      </c>
      <c r="BI18" s="59">
        <f ca="1">AVERAGE(OFFSET($BH$3,0,0,'Données projet'!$E$11+1,1))-AVERAGE(OFFSET($H$3,0,0,'Données projet'!$E$11+1,1))</f>
        <v>158.58786357608489</v>
      </c>
      <c r="BJ18" s="59">
        <f t="shared" si="38"/>
        <v>163.20074068819849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7.9</v>
      </c>
      <c r="BY18" s="12">
        <f>IF('Données projet'!$A$114&gt;35,BY17+BX18-CG17,IF(A18&lt;'Données projet'!$A$114,$BV$205^A18,IF(A18='Données projet'!$A$114,'Données projet'!$B$114,BY17+BX18-CG17)))</f>
        <v>44.564887571004775</v>
      </c>
      <c r="BZ18" s="13">
        <f>BY18*VLOOKUP('Données projet'!$B$12,Paramètres!$A$1:$I$89,3,0)*VLOOKUP('Données projet'!$B$12,Paramètres!$A$1:$I$89,5,0)</f>
        <v>27.808489844306976</v>
      </c>
      <c r="CA18" s="13">
        <f t="shared" si="39"/>
        <v>8.7021631211375059</v>
      </c>
      <c r="CB18" s="20">
        <f t="shared" si="10"/>
        <v>63.589387248149137</v>
      </c>
      <c r="CC18" s="59">
        <f t="shared" si="11"/>
        <v>356.92272058148245</v>
      </c>
      <c r="CD18" s="59">
        <f ca="1">AVERAGE(OFFSET($CC$3,0,0,'Données projet'!$E$12+1,1))-AVERAGE(OFFSET($H$3,0,0,'Données projet'!$E$12+1,1))</f>
        <v>255.41017495879987</v>
      </c>
      <c r="CE18" s="59">
        <f t="shared" si="40"/>
        <v>297.50513563712764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6.179370629370629</v>
      </c>
      <c r="CT18" s="12">
        <f>IF('Données projet'!$A$140&gt;35,CT17+CS18-DB17,IF(A18&lt;'Données projet'!$A$140,$CQ$205^A18,IF(A18='Données projet'!$A$140,'Données projet'!$B$140,CT17+CS18-DB17)))</f>
        <v>28.481860700670879</v>
      </c>
      <c r="CU18" s="17">
        <f>CT18*VLOOKUP('Données projet'!$B$13,Paramètres!$A$1:$I$89,3,0)*VLOOKUP('Données projet'!$B$13,Paramètres!$A$1:$I$89,5,0)</f>
        <v>16.291624320783743</v>
      </c>
      <c r="CV18" s="13">
        <f t="shared" si="41"/>
        <v>5.4255503366215247</v>
      </c>
      <c r="CW18" s="20">
        <f t="shared" si="13"/>
        <v>37.82407919498084</v>
      </c>
      <c r="CX18" s="59">
        <f t="shared" si="14"/>
        <v>331.15741252831413</v>
      </c>
      <c r="CY18" s="59">
        <f ca="1">AVERAGE(OFFSET($CX$3,0,0,'Données projet'!$E$13+1,1))-AVERAGE(OFFSET($H$3,0,0,'Données projet'!$E$13+1,1))</f>
        <v>134.70214882504786</v>
      </c>
      <c r="CZ18" s="59">
        <f t="shared" si="42"/>
        <v>102.18553029667771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>
        <f>VLOOKUP(A18,'Données projet'!$A$165:$I$185,2,0)</f>
        <v>35.707692307692305</v>
      </c>
      <c r="DM18" s="12">
        <f>VLOOKUP(A18,'Données projet'!$A$165:$I$185,9,0)</f>
        <v>2.3805128205128203</v>
      </c>
      <c r="DN18" s="12">
        <f t="array" ref="DN18">INDEX(DM:DM,MIN(IF(ISNUMBER(DM18:DM214),ROW(DM18:DM214),"")))</f>
        <v>2.3805128205128203</v>
      </c>
      <c r="DO18" s="12">
        <f>IF('Données projet'!$A$166&gt;35,DO17+DN18-DW17,IF(A18&lt;'Données projet'!$A$166,$DL$205^A18,IF(A18='Données projet'!$A$166,'Données projet'!$B$166,DO17+DN18-DW17)))</f>
        <v>35.707692307692305</v>
      </c>
      <c r="DP18" s="17">
        <f>DO18*VLOOKUP('Données projet'!$B$14,Paramètres!$A$1:$I$89,3,0)*VLOOKUP('Données projet'!$B$14,Paramètres!$A$1:$I$89,5,0)</f>
        <v>21.353200000000001</v>
      </c>
      <c r="DQ18" s="13">
        <f t="shared" si="43"/>
        <v>6.8907349180546449</v>
      </c>
      <c r="DR18" s="20">
        <f t="shared" si="16"/>
        <v>49.1915199822785</v>
      </c>
      <c r="DS18" s="59">
        <f t="shared" si="17"/>
        <v>342.52485331561184</v>
      </c>
      <c r="DT18" s="59">
        <f ca="1">AVERAGE(OFFSET($DS$3,0,0,'Données projet'!$E$14+1,1))-AVERAGE(OFFSET($H$3,0,0,'Données projet'!$E$14+1,1))</f>
        <v>179.32848817523677</v>
      </c>
      <c r="DU18" s="59">
        <f t="shared" si="44"/>
        <v>131.3292389103035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9.3968325791855207</v>
      </c>
      <c r="EJ18" s="12">
        <f>IF('Données projet'!$A$192&gt;35,EJ17+EI18-ER17,IF(A18&lt;'Données projet'!$A$192,$EG$205^A18,IF(A18='Données projet'!$A$192,'Données projet'!$B$192,EJ17+EI18-ER17)))</f>
        <v>87.943410428552681</v>
      </c>
      <c r="EK18" s="17">
        <f>EJ18*VLOOKUP('Données projet'!$B$15,Paramètres!$A$1:$I$89,3,0)*VLOOKUP('Données projet'!$B$15,Paramètres!$A$1:$I$89,5,0)</f>
        <v>38.870987409420287</v>
      </c>
      <c r="EL18" s="13">
        <f t="shared" si="45"/>
        <v>11.698905179804626</v>
      </c>
      <c r="EM18" s="20">
        <f t="shared" si="19"/>
        <v>88.075896259566719</v>
      </c>
      <c r="EN18" s="59">
        <f t="shared" si="20"/>
        <v>381.40922959290003</v>
      </c>
      <c r="EO18" s="59">
        <f ca="1">AVERAGE(OFFSET($EN$3,0,0,'Données projet'!$E$15+1,1))-AVERAGE(OFFSET($H$3,0,0,'Données projet'!$E$15+1,1))</f>
        <v>191.932060106699</v>
      </c>
      <c r="EP18" s="59">
        <f t="shared" si="46"/>
        <v>260.28593152736903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1.05</v>
      </c>
      <c r="FE18" s="12">
        <f>IF('Données projet'!$A$218&gt;35,FE17+FD18-FM17,IF(A18&lt;'Données projet'!$A$218,$FB$205^A18,IF(A18='Données projet'!$A$218,'Données projet'!$B$218,FE17+FD18-FM17)))</f>
        <v>9.8098975322922115</v>
      </c>
      <c r="FF18" s="17">
        <f>FE18*VLOOKUP('Données projet'!$B$16,Paramètres!$A$1:$I$89,3,0)*VLOOKUP('Données projet'!$B$16,Paramètres!$A$1:$I$89,5,0)</f>
        <v>9.4881328932330273</v>
      </c>
      <c r="FG18" s="13">
        <f t="shared" si="47"/>
        <v>3.3650303333773621</v>
      </c>
      <c r="FH18" s="20">
        <f t="shared" si="22"/>
        <v>22.385925953013096</v>
      </c>
      <c r="FI18" s="59">
        <f t="shared" si="23"/>
        <v>315.71925928634641</v>
      </c>
      <c r="FJ18" s="59">
        <f ca="1">AVERAGE(OFFSET($FI$3,0,0,'Données projet'!$E$16+1,1))-AVERAGE(OFFSET($H$3,0,0,'Données projet'!$E$16+1,1))</f>
        <v>102.86738524979938</v>
      </c>
      <c r="FK18" s="59">
        <f t="shared" si="48"/>
        <v>56.347130462109817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3.55</v>
      </c>
      <c r="FZ18" s="12">
        <f>IF('Données projet'!$A$244&gt;35,FZ17+FY18-GH17,IF(A18&lt;'Données projet'!$A$244,$FW$205^A18,IF(A18='Données projet'!$A$244,'Données projet'!$B$244,FZ17+FY18-GH17)))</f>
        <v>24.459285228630861</v>
      </c>
      <c r="GA18" s="17">
        <f>FZ18*VLOOKUP('Données projet'!$B$17,Paramètres!$A$1:$I$89,3,0)*VLOOKUP('Données projet'!$B$17,Paramètres!$A$1:$I$89,5,0)</f>
        <v>16.407288531365584</v>
      </c>
      <c r="GB18" s="13">
        <f t="shared" si="49"/>
        <v>5.4595719654067478</v>
      </c>
      <c r="GC18" s="20">
        <f t="shared" si="25"/>
        <v>38.084782031878483</v>
      </c>
      <c r="GD18" s="59">
        <f t="shared" si="26"/>
        <v>331.4181153652118</v>
      </c>
      <c r="GE18" s="59">
        <f ca="1">AVERAGE(OFFSET($GD$3,0,0,'Données projet'!$E$17+1,1))-AVERAGE(OFFSET($H$3,0,0,'Données projet'!$E$17+1,1))</f>
        <v>168.00454652899231</v>
      </c>
      <c r="GF18" s="59">
        <f t="shared" si="50"/>
        <v>135.31958994080446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4.0628205128205126</v>
      </c>
      <c r="N19" s="13">
        <f>IF('Données projet'!$A$36&gt;35,N18+M19-V18,IF(A19&lt;'Données projet'!$A$36,$K$205^A19,IF(A19='Données projet'!$A$36,'Données projet'!$B$36,N18+M19-V18)))</f>
        <v>12.957048229201293</v>
      </c>
      <c r="O19" s="13">
        <f>N19*VLOOKUP('Données projet'!$B$9,Paramètres!$A$1:$I$89,3,0)*VLOOKUP('Données projet'!$B$9,Paramètres!$A$1:$I$89,5,0)</f>
        <v>11.723537237781329</v>
      </c>
      <c r="P19" s="13">
        <f t="shared" si="33"/>
        <v>4.0566944998610817</v>
      </c>
      <c r="Q19" s="20">
        <f t="shared" si="2"/>
        <v>27.483903609727193</v>
      </c>
      <c r="R19" s="59">
        <f t="shared" si="0"/>
        <v>320.81723694306049</v>
      </c>
      <c r="S19" s="59">
        <f ca="1">AVERAGE(OFFSET($R$3,0,0,'Données projet'!$E$9+1,1))-AVERAGE(OFFSET($H$3,0,0,'Données projet'!$E$9+1,1))</f>
        <v>221.7429870520005</v>
      </c>
      <c r="T19" s="59">
        <f t="shared" si="34"/>
        <v>182.2029938397186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2.9235042735042733</v>
      </c>
      <c r="AI19" s="13">
        <f>IF('Données projet'!$A$62&gt;35,AI18+AH19-AQ18,IF(A19&lt;'Données projet'!$A$62,$AF$205^A19,IF(A19='Données projet'!$A$62,'Données projet'!$B$62,AI18+AH19-AQ18)))</f>
        <v>10.87126277571476</v>
      </c>
      <c r="AJ19" s="13">
        <f>AI19*VLOOKUP('Données projet'!$B$10,Paramètres!$A$1:$I$89,3,0)*VLOOKUP('Données projet'!$B$10,Paramètres!$A$1:$I$89,5,0)</f>
        <v>9.8363185594667133</v>
      </c>
      <c r="AK19" s="13">
        <f t="shared" si="35"/>
        <v>3.4739129955724146</v>
      </c>
      <c r="AL19" s="20">
        <f t="shared" si="4"/>
        <v>23.181986625026479</v>
      </c>
      <c r="AM19" s="59">
        <f t="shared" si="5"/>
        <v>316.51531995835978</v>
      </c>
      <c r="AN19" s="59">
        <f ca="1">AVERAGE(OFFSET($AM$3,0,0,'Données projet'!$E$10+1,1))-AVERAGE(OFFSET($H$3,0,0,'Données projet'!$E$10+1,1))</f>
        <v>153.45079678708987</v>
      </c>
      <c r="AO19" s="59">
        <f t="shared" si="36"/>
        <v>115.4217868409637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7.2264102564102561</v>
      </c>
      <c r="BD19" s="12">
        <f>IF('Données projet'!$A$88&gt;35,BD18+BC19-BL18,IF(A19&lt;'Données projet'!$A$88,$BA$205^A19,IF(A19='Données projet'!$A$88,'Données projet'!$B$88,BD18+BC19-BL18)))</f>
        <v>17.61530077939495</v>
      </c>
      <c r="BE19" s="13">
        <f>BD19*VLOOKUP('Données projet'!$B$11,Paramètres!$A$1:$I$89,3,0)*VLOOKUP('Données projet'!$B$11,Paramètres!$A$1:$I$89,5,0)</f>
        <v>8.2439607647568369</v>
      </c>
      <c r="BF19" s="13">
        <f t="shared" si="37"/>
        <v>2.972006537558364</v>
      </c>
      <c r="BG19" s="20">
        <f t="shared" si="7"/>
        <v>19.534476384865641</v>
      </c>
      <c r="BH19" s="59">
        <f t="shared" si="8"/>
        <v>312.86780971819894</v>
      </c>
      <c r="BI19" s="59">
        <f ca="1">AVERAGE(OFFSET($BH$3,0,0,'Données projet'!$E$11+1,1))-AVERAGE(OFFSET($H$3,0,0,'Données projet'!$E$11+1,1))</f>
        <v>158.58786357608489</v>
      </c>
      <c r="BJ19" s="59">
        <f t="shared" si="38"/>
        <v>163.20074068819849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7.9</v>
      </c>
      <c r="BY19" s="12">
        <f>IF('Données projet'!$A$114&gt;35,BY18+BX19-CG18,IF(A19&lt;'Données projet'!$A$114,$BV$205^A19,IF(A19='Données projet'!$A$114,'Données projet'!$B$114,BY18+BX19-CG18)))</f>
        <v>57.401820934596167</v>
      </c>
      <c r="BZ19" s="13">
        <f>BY19*VLOOKUP('Données projet'!$B$12,Paramètres!$A$1:$I$89,3,0)*VLOOKUP('Données projet'!$B$12,Paramètres!$A$1:$I$89,5,0)</f>
        <v>35.818736263188008</v>
      </c>
      <c r="CA19" s="13">
        <f t="shared" si="39"/>
        <v>10.883382426793592</v>
      </c>
      <c r="CB19" s="20">
        <f t="shared" si="10"/>
        <v>81.339523385051294</v>
      </c>
      <c r="CC19" s="59">
        <f t="shared" si="11"/>
        <v>374.67285671838459</v>
      </c>
      <c r="CD19" s="59">
        <f ca="1">AVERAGE(OFFSET($CC$3,0,0,'Données projet'!$E$12+1,1))-AVERAGE(OFFSET($H$3,0,0,'Données projet'!$E$12+1,1))</f>
        <v>255.41017495879987</v>
      </c>
      <c r="CE19" s="59">
        <f t="shared" si="40"/>
        <v>297.50513563712764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6.179370629370629</v>
      </c>
      <c r="CT19" s="12">
        <f>IF('Données projet'!$A$140&gt;35,CT18+CS19-DB18,IF(A19&lt;'Données projet'!$A$140,$CQ$205^A19,IF(A19='Données projet'!$A$140,'Données projet'!$B$140,CT18+CS19-DB18)))</f>
        <v>35.607344135893811</v>
      </c>
      <c r="CU19" s="17">
        <f>CT19*VLOOKUP('Données projet'!$B$13,Paramètres!$A$1:$I$89,3,0)*VLOOKUP('Données projet'!$B$13,Paramètres!$A$1:$I$89,5,0)</f>
        <v>20.367400845731261</v>
      </c>
      <c r="CV19" s="13">
        <f t="shared" si="41"/>
        <v>6.6088754988564409</v>
      </c>
      <c r="CW19" s="20">
        <f t="shared" si="13"/>
        <v>46.98368130015691</v>
      </c>
      <c r="CX19" s="59">
        <f t="shared" si="14"/>
        <v>340.3170146334902</v>
      </c>
      <c r="CY19" s="59">
        <f ca="1">AVERAGE(OFFSET($CX$3,0,0,'Données projet'!$E$13+1,1))-AVERAGE(OFFSET($H$3,0,0,'Données projet'!$E$13+1,1))</f>
        <v>134.70214882504786</v>
      </c>
      <c r="CZ19" s="59">
        <f t="shared" si="42"/>
        <v>102.18553029667771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13.468131868131868</v>
      </c>
      <c r="DO19" s="12">
        <f>IF('Données projet'!$A$166&gt;35,DO18+DN19-DW18,IF(A19&lt;'Données projet'!$A$166,$DL$205^A19,IF(A19='Données projet'!$A$166,'Données projet'!$B$166,DO18+DN19-DW18)))</f>
        <v>49.175824175824175</v>
      </c>
      <c r="DP19" s="17">
        <f>DO19*VLOOKUP('Données projet'!$B$14,Paramètres!$A$1:$I$89,3,0)*VLOOKUP('Données projet'!$B$14,Paramètres!$A$1:$I$89,5,0)</f>
        <v>29.407142857142858</v>
      </c>
      <c r="DQ19" s="13">
        <f t="shared" si="43"/>
        <v>9.1427529908921841</v>
      </c>
      <c r="DR19" s="20">
        <f t="shared" si="16"/>
        <v>67.141068601994363</v>
      </c>
      <c r="DS19" s="59">
        <f t="shared" si="17"/>
        <v>360.47440193532771</v>
      </c>
      <c r="DT19" s="59">
        <f ca="1">AVERAGE(OFFSET($DS$3,0,0,'Données projet'!$E$14+1,1))-AVERAGE(OFFSET($H$3,0,0,'Données projet'!$E$14+1,1))</f>
        <v>179.32848817523677</v>
      </c>
      <c r="DU19" s="59">
        <f t="shared" si="44"/>
        <v>131.3292389103035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9.3968325791855207</v>
      </c>
      <c r="EJ19" s="12">
        <f>IF('Données projet'!$A$192&gt;35,EJ18+EI19-ER18,IF(A19&lt;'Données projet'!$A$192,$EG$205^A19,IF(A19='Données projet'!$A$192,'Données projet'!$B$192,EJ18+EI19-ER18)))</f>
        <v>118.52688122141336</v>
      </c>
      <c r="EK19" s="17">
        <f>EJ19*VLOOKUP('Données projet'!$B$15,Paramètres!$A$1:$I$89,3,0)*VLOOKUP('Données projet'!$B$15,Paramètres!$A$1:$I$89,5,0)</f>
        <v>52.388881499864709</v>
      </c>
      <c r="EL19" s="13">
        <f t="shared" si="45"/>
        <v>15.229012983699008</v>
      </c>
      <c r="EM19" s="20">
        <f t="shared" si="19"/>
        <v>117.7678328922068</v>
      </c>
      <c r="EN19" s="59">
        <f t="shared" si="20"/>
        <v>411.10116622554011</v>
      </c>
      <c r="EO19" s="59">
        <f ca="1">AVERAGE(OFFSET($EN$3,0,0,'Données projet'!$E$15+1,1))-AVERAGE(OFFSET($H$3,0,0,'Données projet'!$E$15+1,1))</f>
        <v>191.932060106699</v>
      </c>
      <c r="EP19" s="59">
        <f t="shared" si="46"/>
        <v>260.28593152736903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1.05</v>
      </c>
      <c r="FE19" s="12">
        <f>IF('Données projet'!$A$218&gt;35,FE18+FD19-FM18,IF(A19&lt;'Données projet'!$A$218,$FB$205^A19,IF(A19='Données projet'!$A$218,'Données projet'!$B$218,FE18+FD19-FM18)))</f>
        <v>11.42287530066646</v>
      </c>
      <c r="FF19" s="17">
        <f>FE19*VLOOKUP('Données projet'!$B$16,Paramètres!$A$1:$I$89,3,0)*VLOOKUP('Données projet'!$B$16,Paramètres!$A$1:$I$89,5,0)</f>
        <v>11.048204990804599</v>
      </c>
      <c r="FG19" s="13">
        <f t="shared" si="47"/>
        <v>3.8495027292785511</v>
      </c>
      <c r="FH19" s="20">
        <f t="shared" si="22"/>
        <v>25.946840945811488</v>
      </c>
      <c r="FI19" s="59">
        <f t="shared" si="23"/>
        <v>319.28017427914483</v>
      </c>
      <c r="FJ19" s="59">
        <f ca="1">AVERAGE(OFFSET($FI$3,0,0,'Données projet'!$E$16+1,1))-AVERAGE(OFFSET($H$3,0,0,'Données projet'!$E$16+1,1))</f>
        <v>102.86738524979938</v>
      </c>
      <c r="FK19" s="59">
        <f t="shared" si="48"/>
        <v>56.347130462109817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3.55</v>
      </c>
      <c r="FZ19" s="12">
        <f>IF('Données projet'!$A$244&gt;35,FZ18+FY19-GH18,IF(A19&lt;'Données projet'!$A$244,$FW$205^A19,IF(A19='Données projet'!$A$244,'Données projet'!$B$244,FZ18+FY19-GH18)))</f>
        <v>30.269599790850222</v>
      </c>
      <c r="GA19" s="17">
        <f>FZ19*VLOOKUP('Données projet'!$B$17,Paramètres!$A$1:$I$89,3,0)*VLOOKUP('Données projet'!$B$17,Paramètres!$A$1:$I$89,5,0)</f>
        <v>20.30484753970233</v>
      </c>
      <c r="GB19" s="13">
        <f t="shared" si="49"/>
        <v>6.5909374317148233</v>
      </c>
      <c r="GC19" s="20">
        <f t="shared" si="25"/>
        <v>46.843492158551534</v>
      </c>
      <c r="GD19" s="59">
        <f t="shared" si="26"/>
        <v>340.17682549188487</v>
      </c>
      <c r="GE19" s="59">
        <f ca="1">AVERAGE(OFFSET($GD$3,0,0,'Données projet'!$E$17+1,1))-AVERAGE(OFFSET($H$3,0,0,'Données projet'!$E$17+1,1))</f>
        <v>168.00454652899231</v>
      </c>
      <c r="GF19" s="59">
        <f t="shared" si="50"/>
        <v>135.31958994080446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4.0628205128205126</v>
      </c>
      <c r="N20" s="13">
        <f>IF('Données projet'!$A$36&gt;35,N19+M20-V19,IF(A20&lt;'Données projet'!$A$36,$K$205^A20,IF(A20='Données projet'!$A$36,'Données projet'!$B$36,N19+M20-V19)))</f>
        <v>15.206795479203771</v>
      </c>
      <c r="O20" s="13">
        <f>N20*VLOOKUP('Données projet'!$B$9,Paramètres!$A$1:$I$89,3,0)*VLOOKUP('Données projet'!$B$9,Paramètres!$A$1:$I$89,5,0)</f>
        <v>13.759108549583573</v>
      </c>
      <c r="P20" s="13">
        <f t="shared" si="33"/>
        <v>4.6731578539740832</v>
      </c>
      <c r="Q20" s="20">
        <f t="shared" si="2"/>
        <v>32.102863986196247</v>
      </c>
      <c r="R20" s="59">
        <f t="shared" si="0"/>
        <v>325.43619731952958</v>
      </c>
      <c r="S20" s="59">
        <f ca="1">AVERAGE(OFFSET($R$3,0,0,'Données projet'!$E$9+1,1))-AVERAGE(OFFSET($H$3,0,0,'Données projet'!$E$9+1,1))</f>
        <v>221.7429870520005</v>
      </c>
      <c r="T20" s="59">
        <f t="shared" si="34"/>
        <v>182.2029938397186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2.9235042735042733</v>
      </c>
      <c r="AI20" s="13">
        <f>IF('Données projet'!$A$62&gt;35,AI19+AH20-AQ19,IF(A20&lt;'Données projet'!$A$62,$AF$205^A20,IF(A20='Données projet'!$A$62,'Données projet'!$B$62,AI19+AH20-AQ19)))</f>
        <v>12.619655315413629</v>
      </c>
      <c r="AJ20" s="13">
        <f>AI20*VLOOKUP('Données projet'!$B$10,Paramètres!$A$1:$I$89,3,0)*VLOOKUP('Données projet'!$B$10,Paramètres!$A$1:$I$89,5,0)</f>
        <v>11.418264129386252</v>
      </c>
      <c r="AK20" s="13">
        <f t="shared" si="35"/>
        <v>3.9632137861156949</v>
      </c>
      <c r="AL20" s="20">
        <f t="shared" si="4"/>
        <v>26.789407369499227</v>
      </c>
      <c r="AM20" s="59">
        <f t="shared" si="5"/>
        <v>320.12274070283252</v>
      </c>
      <c r="AN20" s="59">
        <f ca="1">AVERAGE(OFFSET($AM$3,0,0,'Données projet'!$E$10+1,1))-AVERAGE(OFFSET($H$3,0,0,'Données projet'!$E$10+1,1))</f>
        <v>153.45079678708987</v>
      </c>
      <c r="AO20" s="59">
        <f t="shared" si="36"/>
        <v>115.4217868409637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7.2264102564102561</v>
      </c>
      <c r="BD20" s="12">
        <f>IF('Données projet'!$A$88&gt;35,BD19+BC20-BL19,IF(A20&lt;'Données projet'!$A$88,$BA$205^A20,IF(A20='Données projet'!$A$88,'Données projet'!$B$88,BD19+BC20-BL19)))</f>
        <v>21.074544276434004</v>
      </c>
      <c r="BE20" s="13">
        <f>BD20*VLOOKUP('Données projet'!$B$11,Paramètres!$A$1:$I$89,3,0)*VLOOKUP('Données projet'!$B$11,Paramètres!$A$1:$I$89,5,0)</f>
        <v>9.8628867213711136</v>
      </c>
      <c r="BF20" s="13">
        <f t="shared" si="37"/>
        <v>3.4822026296536168</v>
      </c>
      <c r="BG20" s="20">
        <f t="shared" si="7"/>
        <v>23.24269728636807</v>
      </c>
      <c r="BH20" s="59">
        <f t="shared" si="8"/>
        <v>316.57603061970138</v>
      </c>
      <c r="BI20" s="59">
        <f ca="1">AVERAGE(OFFSET($BH$3,0,0,'Données projet'!$E$11+1,1))-AVERAGE(OFFSET($H$3,0,0,'Données projet'!$E$11+1,1))</f>
        <v>158.58786357608489</v>
      </c>
      <c r="BJ20" s="59">
        <f t="shared" si="38"/>
        <v>163.20074068819849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7.9</v>
      </c>
      <c r="BY20" s="12">
        <f>IF('Données projet'!$A$114&gt;35,BY19+BX20-CG19,IF(A20&lt;'Données projet'!$A$114,$BV$205^A20,IF(A20='Données projet'!$A$114,'Données projet'!$B$114,BY19+BX20-CG19)))</f>
        <v>73.936437994095741</v>
      </c>
      <c r="BZ20" s="13">
        <f>BY20*VLOOKUP('Données projet'!$B$12,Paramètres!$A$1:$I$89,3,0)*VLOOKUP('Données projet'!$B$12,Paramètres!$A$1:$I$89,5,0)</f>
        <v>46.136337308315738</v>
      </c>
      <c r="CA20" s="13">
        <f t="shared" si="39"/>
        <v>13.611329895681916</v>
      </c>
      <c r="CB20" s="20">
        <f t="shared" si="10"/>
        <v>104.0605203802959</v>
      </c>
      <c r="CC20" s="59">
        <f t="shared" si="11"/>
        <v>397.3938537136292</v>
      </c>
      <c r="CD20" s="59">
        <f ca="1">AVERAGE(OFFSET($CC$3,0,0,'Données projet'!$E$12+1,1))-AVERAGE(OFFSET($H$3,0,0,'Données projet'!$E$12+1,1))</f>
        <v>255.41017495879987</v>
      </c>
      <c r="CE20" s="59">
        <f t="shared" si="40"/>
        <v>297.50513563712764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6.179370629370629</v>
      </c>
      <c r="CT20" s="12">
        <f>IF('Données projet'!$A$140&gt;35,CT19+CS20-DB19,IF(A20&lt;'Données projet'!$A$140,$CQ$205^A20,IF(A20='Données projet'!$A$140,'Données projet'!$B$140,CT19+CS20-DB19)))</f>
        <v>44.515453879110744</v>
      </c>
      <c r="CU20" s="17">
        <f>CT20*VLOOKUP('Données projet'!$B$13,Paramètres!$A$1:$I$89,3,0)*VLOOKUP('Données projet'!$B$13,Paramètres!$A$1:$I$89,5,0)</f>
        <v>25.462839618851344</v>
      </c>
      <c r="CV20" s="13">
        <f t="shared" si="41"/>
        <v>8.0502866344398551</v>
      </c>
      <c r="CW20" s="20">
        <f t="shared" si="13"/>
        <v>58.368694891148834</v>
      </c>
      <c r="CX20" s="59">
        <f t="shared" si="14"/>
        <v>351.70202822448215</v>
      </c>
      <c r="CY20" s="59">
        <f ca="1">AVERAGE(OFFSET($CX$3,0,0,'Données projet'!$E$13+1,1))-AVERAGE(OFFSET($H$3,0,0,'Données projet'!$E$13+1,1))</f>
        <v>134.70214882504786</v>
      </c>
      <c r="CZ20" s="59">
        <f t="shared" si="42"/>
        <v>102.18553029667771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13.468131868131868</v>
      </c>
      <c r="DO20" s="12">
        <f>IF('Données projet'!$A$166&gt;35,DO19+DN20-DW19,IF(A20&lt;'Données projet'!$A$166,$DL$205^A20,IF(A20='Données projet'!$A$166,'Données projet'!$B$166,DO19+DN20-DW19)))</f>
        <v>62.643956043956045</v>
      </c>
      <c r="DP20" s="17">
        <f>DO20*VLOOKUP('Données projet'!$B$14,Paramètres!$A$1:$I$89,3,0)*VLOOKUP('Données projet'!$B$14,Paramètres!$A$1:$I$89,5,0)</f>
        <v>37.461085714285716</v>
      </c>
      <c r="DQ20" s="13">
        <f t="shared" si="43"/>
        <v>11.323160704188275</v>
      </c>
      <c r="DR20" s="20">
        <f t="shared" si="16"/>
        <v>84.965895845508868</v>
      </c>
      <c r="DS20" s="59">
        <f t="shared" si="17"/>
        <v>378.29922917884221</v>
      </c>
      <c r="DT20" s="59">
        <f ca="1">AVERAGE(OFFSET($DS$3,0,0,'Données projet'!$E$14+1,1))-AVERAGE(OFFSET($H$3,0,0,'Données projet'!$E$14+1,1))</f>
        <v>179.32848817523677</v>
      </c>
      <c r="DU20" s="59">
        <f t="shared" si="44"/>
        <v>131.3292389103035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>
        <f>VLOOKUP(A20,'Données projet'!$A$191:$I$211,2,0)</f>
        <v>159.74615384615385</v>
      </c>
      <c r="EH20" s="12">
        <f>VLOOKUP(A20,'Données projet'!$A$191:$I$211,9,0)</f>
        <v>9.3968325791855207</v>
      </c>
      <c r="EI20" s="12">
        <f t="array" ref="EI20">INDEX(EH:EH,MIN(IF(ISNUMBER(EH20:EH216),ROW(EH20:EH216),"")))</f>
        <v>9.3968325791855207</v>
      </c>
      <c r="EJ20" s="12">
        <f>IF('Données projet'!$A$192&gt;35,EJ19+EI20-ER19,IF(A20&lt;'Données projet'!$A$192,$EG$205^A20,IF(A20='Données projet'!$A$192,'Données projet'!$B$192,EJ19+EI20-ER19)))</f>
        <v>159.74615384615385</v>
      </c>
      <c r="EK20" s="17">
        <f>EJ20*VLOOKUP('Données projet'!$B$15,Paramètres!$A$1:$I$89,3,0)*VLOOKUP('Données projet'!$B$15,Paramètres!$A$1:$I$89,5,0)</f>
        <v>70.607800000000012</v>
      </c>
      <c r="EL20" s="13">
        <f t="shared" si="45"/>
        <v>19.824319702841304</v>
      </c>
      <c r="EM20" s="20">
        <f t="shared" si="19"/>
        <v>157.50260848244861</v>
      </c>
      <c r="EN20" s="59">
        <f t="shared" si="20"/>
        <v>450.83594181578189</v>
      </c>
      <c r="EO20" s="59">
        <f ca="1">AVERAGE(OFFSET($EN$3,0,0,'Données projet'!$E$15+1,1))-AVERAGE(OFFSET($H$3,0,0,'Données projet'!$E$15+1,1))</f>
        <v>191.932060106699</v>
      </c>
      <c r="EP20" s="59">
        <f t="shared" si="46"/>
        <v>260.28593152736903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1.05</v>
      </c>
      <c r="FE20" s="12">
        <f>IF('Données projet'!$A$218&gt;35,FE19+FD20-FM19,IF(A20&lt;'Données projet'!$A$218,$FB$205^A20,IF(A20='Données projet'!$A$218,'Données projet'!$B$218,FE19+FD20-FM19)))</f>
        <v>13.301064532535134</v>
      </c>
      <c r="FF20" s="17">
        <f>FE20*VLOOKUP('Données projet'!$B$16,Paramètres!$A$1:$I$89,3,0)*VLOOKUP('Données projet'!$B$16,Paramètres!$A$1:$I$89,5,0)</f>
        <v>12.864789615867982</v>
      </c>
      <c r="FG20" s="13">
        <f t="shared" si="47"/>
        <v>4.4037259087201281</v>
      </c>
      <c r="FH20" s="20">
        <f t="shared" si="22"/>
        <v>30.07599787199096</v>
      </c>
      <c r="FI20" s="59">
        <f t="shared" si="23"/>
        <v>323.40933120532429</v>
      </c>
      <c r="FJ20" s="59">
        <f ca="1">AVERAGE(OFFSET($FI$3,0,0,'Données projet'!$E$16+1,1))-AVERAGE(OFFSET($H$3,0,0,'Données projet'!$E$16+1,1))</f>
        <v>102.86738524979938</v>
      </c>
      <c r="FK20" s="59">
        <f t="shared" si="48"/>
        <v>56.347130462109817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3.55</v>
      </c>
      <c r="FZ20" s="12">
        <f>IF('Données projet'!$A$244&gt;35,FZ19+FY20-GH19,IF(A20&lt;'Données projet'!$A$244,$FW$205^A20,IF(A20='Données projet'!$A$244,'Données projet'!$B$244,FZ19+FY20-GH19)))</f>
        <v>37.46015727498542</v>
      </c>
      <c r="GA20" s="17">
        <f>FZ20*VLOOKUP('Données projet'!$B$17,Paramètres!$A$1:$I$89,3,0)*VLOOKUP('Données projet'!$B$17,Paramètres!$A$1:$I$89,5,0)</f>
        <v>25.128273500060221</v>
      </c>
      <c r="GB20" s="13">
        <f t="shared" si="49"/>
        <v>7.9567512808750367</v>
      </c>
      <c r="GC20" s="20">
        <f t="shared" si="25"/>
        <v>57.623084826795569</v>
      </c>
      <c r="GD20" s="59">
        <f t="shared" si="26"/>
        <v>350.95641816012886</v>
      </c>
      <c r="GE20" s="59">
        <f ca="1">AVERAGE(OFFSET($GD$3,0,0,'Données projet'!$E$17+1,1))-AVERAGE(OFFSET($H$3,0,0,'Données projet'!$E$17+1,1))</f>
        <v>168.00454652899231</v>
      </c>
      <c r="GF20" s="59">
        <f t="shared" si="50"/>
        <v>135.31958994080446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4.0628205128205126</v>
      </c>
      <c r="N21" s="13">
        <f>IF('Données projet'!$A$36&gt;35,N20+M21-V20,IF(A21&lt;'Données projet'!$A$36,$K$205^A21,IF(A21='Données projet'!$A$36,'Données projet'!$B$36,N20+M21-V20)))</f>
        <v>17.847168942782186</v>
      </c>
      <c r="O21" s="13">
        <f>N21*VLOOKUP('Données projet'!$B$9,Paramètres!$A$1:$I$89,3,0)*VLOOKUP('Données projet'!$B$9,Paramètres!$A$1:$I$89,5,0)</f>
        <v>16.148118459429323</v>
      </c>
      <c r="P21" s="13">
        <f t="shared" si="33"/>
        <v>5.3833002038747271</v>
      </c>
      <c r="Q21" s="20">
        <f t="shared" si="2"/>
        <v>37.500554171921223</v>
      </c>
      <c r="R21" s="59">
        <f t="shared" si="0"/>
        <v>330.83388750525455</v>
      </c>
      <c r="S21" s="59">
        <f ca="1">AVERAGE(OFFSET($R$3,0,0,'Données projet'!$E$9+1,1))-AVERAGE(OFFSET($H$3,0,0,'Données projet'!$E$9+1,1))</f>
        <v>221.7429870520005</v>
      </c>
      <c r="T21" s="59">
        <f t="shared" si="34"/>
        <v>182.2029938397186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2.9235042735042733</v>
      </c>
      <c r="AI21" s="13">
        <f>IF('Données projet'!$A$62&gt;35,AI20+AH21-AQ20,IF(A21&lt;'Données projet'!$A$62,$AF$205^A21,IF(A21='Données projet'!$A$62,'Données projet'!$B$62,AI20+AH21-AQ20)))</f>
        <v>14.649236575865659</v>
      </c>
      <c r="AJ21" s="13">
        <f>AI21*VLOOKUP('Données projet'!$B$10,Paramètres!$A$1:$I$89,3,0)*VLOOKUP('Données projet'!$B$10,Paramètres!$A$1:$I$89,5,0)</f>
        <v>13.254629253843246</v>
      </c>
      <c r="AK21" s="13">
        <f t="shared" si="35"/>
        <v>4.5214326134467182</v>
      </c>
      <c r="AL21" s="20">
        <f t="shared" si="4"/>
        <v>30.959974418863357</v>
      </c>
      <c r="AM21" s="59">
        <f t="shared" si="5"/>
        <v>324.29330775219665</v>
      </c>
      <c r="AN21" s="59">
        <f ca="1">AVERAGE(OFFSET($AM$3,0,0,'Données projet'!$E$10+1,1))-AVERAGE(OFFSET($H$3,0,0,'Données projet'!$E$10+1,1))</f>
        <v>153.45079678708987</v>
      </c>
      <c r="AO21" s="59">
        <f t="shared" si="36"/>
        <v>115.4217868409637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7.2264102564102561</v>
      </c>
      <c r="BD21" s="12">
        <f>IF('Données projet'!$A$88&gt;35,BD20+BC21-BL20,IF(A21&lt;'Données projet'!$A$88,$BA$205^A21,IF(A21='Données projet'!$A$88,'Données projet'!$B$88,BD20+BC21-BL20)))</f>
        <v>25.213104335913162</v>
      </c>
      <c r="BE21" s="13">
        <f>BD21*VLOOKUP('Données projet'!$B$11,Paramètres!$A$1:$I$89,3,0)*VLOOKUP('Données projet'!$B$11,Paramètres!$A$1:$I$89,5,0)</f>
        <v>11.799732829207361</v>
      </c>
      <c r="BF21" s="13">
        <f t="shared" si="37"/>
        <v>4.079982665155371</v>
      </c>
      <c r="BG21" s="20">
        <f t="shared" si="7"/>
        <v>27.657171152681755</v>
      </c>
      <c r="BH21" s="59">
        <f t="shared" si="8"/>
        <v>320.99050448601508</v>
      </c>
      <c r="BI21" s="59">
        <f ca="1">AVERAGE(OFFSET($BH$3,0,0,'Données projet'!$E$11+1,1))-AVERAGE(OFFSET($H$3,0,0,'Données projet'!$E$11+1,1))</f>
        <v>158.58786357608489</v>
      </c>
      <c r="BJ21" s="59">
        <f t="shared" si="38"/>
        <v>163.20074068819849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7.9</v>
      </c>
      <c r="BY21" s="12">
        <f>IF('Données projet'!$A$114&gt;35,BY20+BX21-CG20,IF(A21&lt;'Données projet'!$A$114,$BV$205^A21,IF(A21='Données projet'!$A$114,'Données projet'!$B$114,BY20+BX21-CG20)))</f>
        <v>95.233857990035276</v>
      </c>
      <c r="BZ21" s="13">
        <f>BY21*VLOOKUP('Données projet'!$B$12,Paramètres!$A$1:$I$89,3,0)*VLOOKUP('Données projet'!$B$12,Paramètres!$A$1:$I$89,5,0)</f>
        <v>59.425927385782011</v>
      </c>
      <c r="CA21" s="13">
        <f t="shared" si="39"/>
        <v>17.023044331601881</v>
      </c>
      <c r="CB21" s="20">
        <f t="shared" si="10"/>
        <v>133.14862574111029</v>
      </c>
      <c r="CC21" s="59">
        <f t="shared" si="11"/>
        <v>426.48195907444358</v>
      </c>
      <c r="CD21" s="59">
        <f ca="1">AVERAGE(OFFSET($CC$3,0,0,'Données projet'!$E$12+1,1))-AVERAGE(OFFSET($H$3,0,0,'Données projet'!$E$12+1,1))</f>
        <v>255.41017495879987</v>
      </c>
      <c r="CE21" s="59">
        <f t="shared" si="40"/>
        <v>297.50513563712764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6.179370629370629</v>
      </c>
      <c r="CT21" s="12">
        <f>IF('Données projet'!$A$140&gt;35,CT20+CS21-DB20,IF(A21&lt;'Données projet'!$A$140,$CQ$205^A21,IF(A21='Données projet'!$A$140,'Données projet'!$B$140,CT20+CS21-DB20)))</f>
        <v>55.652160590816642</v>
      </c>
      <c r="CU21" s="17">
        <f>CT21*VLOOKUP('Données projet'!$B$13,Paramètres!$A$1:$I$89,3,0)*VLOOKUP('Données projet'!$B$13,Paramètres!$A$1:$I$89,5,0)</f>
        <v>31.83303585794712</v>
      </c>
      <c r="CV21" s="13">
        <f t="shared" si="41"/>
        <v>9.8060728951324378</v>
      </c>
      <c r="CW21" s="20">
        <f t="shared" si="13"/>
        <v>72.521447744946883</v>
      </c>
      <c r="CX21" s="59">
        <f t="shared" si="14"/>
        <v>365.85478107828021</v>
      </c>
      <c r="CY21" s="59">
        <f ca="1">AVERAGE(OFFSET($CX$3,0,0,'Données projet'!$E$13+1,1))-AVERAGE(OFFSET($H$3,0,0,'Données projet'!$E$13+1,1))</f>
        <v>134.70214882504786</v>
      </c>
      <c r="CZ21" s="59">
        <f t="shared" si="42"/>
        <v>102.18553029667771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13.468131868131868</v>
      </c>
      <c r="DO21" s="12">
        <f>IF('Données projet'!$A$166&gt;35,DO20+DN21-DW20,IF(A21&lt;'Données projet'!$A$166,$DL$205^A21,IF(A21='Données projet'!$A$166,'Données projet'!$B$166,DO20+DN21-DW20)))</f>
        <v>76.112087912087915</v>
      </c>
      <c r="DP21" s="17">
        <f>DO21*VLOOKUP('Données projet'!$B$14,Paramètres!$A$1:$I$89,3,0)*VLOOKUP('Données projet'!$B$14,Paramètres!$A$1:$I$89,5,0)</f>
        <v>45.515028571428573</v>
      </c>
      <c r="DQ21" s="13">
        <f t="shared" si="43"/>
        <v>13.449237521387609</v>
      </c>
      <c r="DR21" s="20">
        <f t="shared" si="16"/>
        <v>102.69609677832152</v>
      </c>
      <c r="DS21" s="59">
        <f t="shared" si="17"/>
        <v>396.02943011165485</v>
      </c>
      <c r="DT21" s="59">
        <f ca="1">AVERAGE(OFFSET($DS$3,0,0,'Données projet'!$E$14+1,1))-AVERAGE(OFFSET($H$3,0,0,'Données projet'!$E$14+1,1))</f>
        <v>179.32848817523677</v>
      </c>
      <c r="DU21" s="59">
        <f t="shared" si="44"/>
        <v>131.3292389103035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>
        <f>VLOOKUP(A21,'Données projet'!$A$191:$I$211,2,0)</f>
        <v>182.89230769230767</v>
      </c>
      <c r="EH21" s="12">
        <f>VLOOKUP(A21,'Données projet'!$A$191:$I$211,9,0)</f>
        <v>23.146153846153823</v>
      </c>
      <c r="EI21" s="12">
        <f t="array" ref="EI21">INDEX(EH:EH,MIN(IF(ISNUMBER(EH21:EH217),ROW(EH21:EH217),"")))</f>
        <v>23.146153846153823</v>
      </c>
      <c r="EJ21" s="12">
        <f>IF('Données projet'!$A$192&gt;35,EJ20+EI21-ER20,IF(A21&lt;'Données projet'!$A$192,$EG$205^A21,IF(A21='Données projet'!$A$192,'Données projet'!$B$192,EJ20+EI21-ER20)))</f>
        <v>182.89230769230767</v>
      </c>
      <c r="EK21" s="17">
        <f>EJ21*VLOOKUP('Données projet'!$B$15,Paramètres!$A$1:$I$89,3,0)*VLOOKUP('Données projet'!$B$15,Paramètres!$A$1:$I$89,5,0)</f>
        <v>80.838399999999993</v>
      </c>
      <c r="EL21" s="13">
        <f t="shared" si="45"/>
        <v>22.342052739481037</v>
      </c>
      <c r="EM21" s="20">
        <f t="shared" si="19"/>
        <v>179.70595518792945</v>
      </c>
      <c r="EN21" s="59">
        <f t="shared" si="20"/>
        <v>473.03928852126273</v>
      </c>
      <c r="EO21" s="59">
        <f ca="1">AVERAGE(OFFSET($EN$3,0,0,'Données projet'!$E$15+1,1))-AVERAGE(OFFSET($H$3,0,0,'Données projet'!$E$15+1,1))</f>
        <v>191.932060106699</v>
      </c>
      <c r="EP21" s="59">
        <f t="shared" si="46"/>
        <v>260.28593152736903</v>
      </c>
      <c r="EQ21" s="15">
        <f>IF(ISNA(VLOOKUP(A21,'Données projet'!$A$191:$I$211,3,0)),0,VLOOKUP(A21,'Données projet'!$A$191:$I$211,3,0))</f>
        <v>1</v>
      </c>
      <c r="ER21" s="15">
        <f>IF(ISNA(VLOOKUP(A21,'Données projet'!$A$191:$I$211,4,0)),0,VLOOKUP(A21,'Données projet'!$A$191:$I$211,4,0))</f>
        <v>69.284615384615378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0.27500000000000002</v>
      </c>
      <c r="EU21" s="16">
        <f>IF(ISNA(VLOOKUP(A21,'Données projet'!$A$191:$I$211,7,0)),0%,VLOOKUP(A21,'Données projet'!$A$191:$I$211,7,0))</f>
        <v>0.5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11.127734929599322</v>
      </c>
      <c r="EX21" s="21">
        <f>EXP(-LN(2)/2)*EX20+(1-EXP(-LN(2)/2))/(LN(2)/2)*ER21*EU21*VLOOKUP('Données projet'!$B$15,Paramètres!$A$1:$I$89,3,0)*0.475*44/12</f>
        <v>17.336627716495496</v>
      </c>
      <c r="EY21" s="22">
        <f t="shared" si="21"/>
        <v>28.46436264609482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1.05</v>
      </c>
      <c r="FE21" s="12">
        <f>IF('Données projet'!$A$218&gt;35,FE20+FD21-FM20,IF(A21&lt;'Données projet'!$A$218,$FB$205^A21,IF(A21='Données projet'!$A$218,'Données projet'!$B$218,FE20+FD21-FM20)))</f>
        <v>15.48807222716875</v>
      </c>
      <c r="FF21" s="17">
        <f>FE21*VLOOKUP('Données projet'!$B$16,Paramètres!$A$1:$I$89,3,0)*VLOOKUP('Données projet'!$B$16,Paramètres!$A$1:$I$89,5,0)</f>
        <v>14.980063458117616</v>
      </c>
      <c r="FG21" s="13">
        <f t="shared" si="47"/>
        <v>5.0377420781222293</v>
      </c>
      <c r="FH21" s="20">
        <f t="shared" si="22"/>
        <v>34.864344642284394</v>
      </c>
      <c r="FI21" s="59">
        <f t="shared" si="23"/>
        <v>328.19767797561769</v>
      </c>
      <c r="FJ21" s="59">
        <f ca="1">AVERAGE(OFFSET($FI$3,0,0,'Données projet'!$E$16+1,1))-AVERAGE(OFFSET($H$3,0,0,'Données projet'!$E$16+1,1))</f>
        <v>102.86738524979938</v>
      </c>
      <c r="FK21" s="59">
        <f t="shared" si="48"/>
        <v>56.347130462109817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3.55</v>
      </c>
      <c r="FZ21" s="12">
        <f>IF('Données projet'!$A$244&gt;35,FZ20+FY21-GH20,IF(A21&lt;'Données projet'!$A$244,$FW$205^A21,IF(A21='Données projet'!$A$244,'Données projet'!$B$244,FZ20+FY21-GH20)))</f>
        <v>46.358835027968098</v>
      </c>
      <c r="GA21" s="17">
        <f>FZ21*VLOOKUP('Données projet'!$B$17,Paramètres!$A$1:$I$89,3,0)*VLOOKUP('Données projet'!$B$17,Paramètres!$A$1:$I$89,5,0)</f>
        <v>31.097506536760999</v>
      </c>
      <c r="GB21" s="13">
        <f t="shared" si="49"/>
        <v>9.6055973223272808</v>
      </c>
      <c r="GC21" s="20">
        <f t="shared" si="25"/>
        <v>70.891239221245428</v>
      </c>
      <c r="GD21" s="59">
        <f t="shared" si="26"/>
        <v>364.22457255457874</v>
      </c>
      <c r="GE21" s="59">
        <f ca="1">AVERAGE(OFFSET($GD$3,0,0,'Données projet'!$E$17+1,1))-AVERAGE(OFFSET($H$3,0,0,'Données projet'!$E$17+1,1))</f>
        <v>168.00454652899231</v>
      </c>
      <c r="GF21" s="59">
        <f t="shared" si="50"/>
        <v>135.31958994080446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4.0628205128205126</v>
      </c>
      <c r="N22" s="13">
        <f>IF('Données projet'!$A$36&gt;35,N21+M22-V21,IF(A22&lt;'Données projet'!$A$36,$K$205^A22,IF(A22='Données projet'!$A$36,'Données projet'!$B$36,N21+M22-V21)))</f>
        <v>20.945993500590358</v>
      </c>
      <c r="O22" s="13">
        <f>N22*VLOOKUP('Données projet'!$B$9,Paramètres!$A$1:$I$89,3,0)*VLOOKUP('Données projet'!$B$9,Paramètres!$A$1:$I$89,5,0)</f>
        <v>18.951934919334153</v>
      </c>
      <c r="P22" s="13">
        <f t="shared" si="33"/>
        <v>6.2013571958398481</v>
      </c>
      <c r="Q22" s="20">
        <f t="shared" si="2"/>
        <v>43.808650433928051</v>
      </c>
      <c r="R22" s="59">
        <f t="shared" si="0"/>
        <v>337.14198376726137</v>
      </c>
      <c r="S22" s="59">
        <f ca="1">AVERAGE(OFFSET($R$3,0,0,'Données projet'!$E$9+1,1))-AVERAGE(OFFSET($H$3,0,0,'Données projet'!$E$9+1,1))</f>
        <v>221.7429870520005</v>
      </c>
      <c r="T22" s="59">
        <f t="shared" si="34"/>
        <v>182.2029938397186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2.9235042735042733</v>
      </c>
      <c r="AI22" s="13">
        <f>IF('Données projet'!$A$62&gt;35,AI21+AH22-AQ21,IF(A22&lt;'Données projet'!$A$62,$AF$205^A22,IF(A22='Données projet'!$A$62,'Données projet'!$B$62,AI21+AH22-AQ21)))</f>
        <v>17.005229294461625</v>
      </c>
      <c r="AJ22" s="13">
        <f>AI22*VLOOKUP('Données projet'!$B$10,Paramètres!$A$1:$I$89,3,0)*VLOOKUP('Données projet'!$B$10,Paramètres!$A$1:$I$89,5,0)</f>
        <v>15.386331465628878</v>
      </c>
      <c r="AK22" s="13">
        <f t="shared" si="35"/>
        <v>5.1582765859259734</v>
      </c>
      <c r="AL22" s="20">
        <f t="shared" si="4"/>
        <v>35.781859023124703</v>
      </c>
      <c r="AM22" s="59">
        <f t="shared" si="5"/>
        <v>329.11519235645801</v>
      </c>
      <c r="AN22" s="59">
        <f ca="1">AVERAGE(OFFSET($AM$3,0,0,'Données projet'!$E$10+1,1))-AVERAGE(OFFSET($H$3,0,0,'Données projet'!$E$10+1,1))</f>
        <v>153.45079678708987</v>
      </c>
      <c r="AO22" s="59">
        <f t="shared" si="36"/>
        <v>115.4217868409637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7.2264102564102561</v>
      </c>
      <c r="BD22" s="12">
        <f>IF('Données projet'!$A$88&gt;35,BD21+BC22-BL21,IF(A22&lt;'Données projet'!$A$88,$BA$205^A22,IF(A22='Données projet'!$A$88,'Données projet'!$B$88,BD21+BC22-BL21)))</f>
        <v>30.164383244315122</v>
      </c>
      <c r="BE22" s="13">
        <f>BD22*VLOOKUP('Données projet'!$B$11,Paramètres!$A$1:$I$89,3,0)*VLOOKUP('Données projet'!$B$11,Paramètres!$A$1:$I$89,5,0)</f>
        <v>14.116931358339476</v>
      </c>
      <c r="BF22" s="13">
        <f t="shared" si="37"/>
        <v>4.7803819359082427</v>
      </c>
      <c r="BG22" s="20">
        <f t="shared" si="7"/>
        <v>32.912820654148106</v>
      </c>
      <c r="BH22" s="59">
        <f t="shared" si="8"/>
        <v>326.24615398748142</v>
      </c>
      <c r="BI22" s="59">
        <f ca="1">AVERAGE(OFFSET($BH$3,0,0,'Données projet'!$E$11+1,1))-AVERAGE(OFFSET($H$3,0,0,'Données projet'!$E$11+1,1))</f>
        <v>158.58786357608489</v>
      </c>
      <c r="BJ22" s="59">
        <f t="shared" si="38"/>
        <v>163.20074068819849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7.9</v>
      </c>
      <c r="BY22" s="12">
        <f>IF('Données projet'!$A$114&gt;35,BY21+BX22-CG21,IF(A22&lt;'Données projet'!$A$114,$BV$205^A22,IF(A22='Données projet'!$A$114,'Données projet'!$B$114,BY21+BX22-CG21)))</f>
        <v>122.66600817840934</v>
      </c>
      <c r="BZ22" s="13">
        <f>BY22*VLOOKUP('Données projet'!$B$12,Paramètres!$A$1:$I$89,3,0)*VLOOKUP('Données projet'!$B$12,Paramètres!$A$1:$I$89,5,0)</f>
        <v>76.543589103327434</v>
      </c>
      <c r="CA22" s="13">
        <f t="shared" si="39"/>
        <v>21.289913662853376</v>
      </c>
      <c r="CB22" s="20">
        <f t="shared" si="10"/>
        <v>170.39335065109825</v>
      </c>
      <c r="CC22" s="59">
        <f t="shared" si="11"/>
        <v>463.72668398443159</v>
      </c>
      <c r="CD22" s="59">
        <f ca="1">AVERAGE(OFFSET($CC$3,0,0,'Données projet'!$E$12+1,1))-AVERAGE(OFFSET($H$3,0,0,'Données projet'!$E$12+1,1))</f>
        <v>255.41017495879987</v>
      </c>
      <c r="CE22" s="59">
        <f t="shared" si="40"/>
        <v>297.50513563712764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6.179370629370629</v>
      </c>
      <c r="CT22" s="12">
        <f>IF('Données projet'!$A$140&gt;35,CT21+CS22-DB21,IF(A22&lt;'Données projet'!$A$140,$CQ$205^A22,IF(A22='Données projet'!$A$140,'Données projet'!$B$140,CT21+CS22-DB21)))</f>
        <v>69.57500617284316</v>
      </c>
      <c r="CU22" s="17">
        <f>CT22*VLOOKUP('Données projet'!$B$13,Paramètres!$A$1:$I$89,3,0)*VLOOKUP('Données projet'!$B$13,Paramètres!$A$1:$I$89,5,0)</f>
        <v>39.796903530866288</v>
      </c>
      <c r="CV22" s="13">
        <f t="shared" si="41"/>
        <v>11.944800227767528</v>
      </c>
      <c r="CW22" s="20">
        <f t="shared" si="13"/>
        <v>90.116800712953889</v>
      </c>
      <c r="CX22" s="59">
        <f t="shared" si="14"/>
        <v>383.45013404628719</v>
      </c>
      <c r="CY22" s="59">
        <f ca="1">AVERAGE(OFFSET($CX$3,0,0,'Données projet'!$E$13+1,1))-AVERAGE(OFFSET($H$3,0,0,'Données projet'!$E$13+1,1))</f>
        <v>134.70214882504786</v>
      </c>
      <c r="CZ22" s="59">
        <f t="shared" si="42"/>
        <v>102.18553029667771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13.468131868131868</v>
      </c>
      <c r="DO22" s="12">
        <f>IF('Données projet'!$A$166&gt;35,DO21+DN22-DW21,IF(A22&lt;'Données projet'!$A$166,$DL$205^A22,IF(A22='Données projet'!$A$166,'Données projet'!$B$166,DO21+DN22-DW21)))</f>
        <v>89.580219780219778</v>
      </c>
      <c r="DP22" s="17">
        <f>DO22*VLOOKUP('Données projet'!$B$14,Paramètres!$A$1:$I$89,3,0)*VLOOKUP('Données projet'!$B$14,Paramètres!$A$1:$I$89,5,0)</f>
        <v>53.56897142857143</v>
      </c>
      <c r="DQ22" s="13">
        <f t="shared" si="43"/>
        <v>15.531731116329365</v>
      </c>
      <c r="DR22" s="20">
        <f t="shared" si="16"/>
        <v>120.35039026570223</v>
      </c>
      <c r="DS22" s="59">
        <f t="shared" si="17"/>
        <v>413.68372359903555</v>
      </c>
      <c r="DT22" s="59">
        <f ca="1">AVERAGE(OFFSET($DS$3,0,0,'Données projet'!$E$14+1,1))-AVERAGE(OFFSET($H$3,0,0,'Données projet'!$E$14+1,1))</f>
        <v>179.32848817523677</v>
      </c>
      <c r="DU22" s="59">
        <f t="shared" si="44"/>
        <v>131.3292389103035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20.658974358974358</v>
      </c>
      <c r="EJ22" s="12">
        <f>IF('Données projet'!$A$192&gt;35,EJ21+EI22-ER21,IF(A22&lt;'Données projet'!$A$192,$EG$205^A22,IF(A22='Données projet'!$A$192,'Données projet'!$B$192,EJ21+EI22-ER21)))</f>
        <v>134.26666666666665</v>
      </c>
      <c r="EK22" s="17">
        <f>EJ22*VLOOKUP('Données projet'!$B$15,Paramètres!$A$1:$I$89,3,0)*VLOOKUP('Données projet'!$B$15,Paramètres!$A$1:$I$89,5,0)</f>
        <v>59.345866666666666</v>
      </c>
      <c r="EL22" s="13">
        <f t="shared" si="45"/>
        <v>17.002778215587412</v>
      </c>
      <c r="EM22" s="20">
        <f t="shared" si="19"/>
        <v>132.97388983659252</v>
      </c>
      <c r="EN22" s="59">
        <f t="shared" si="20"/>
        <v>426.30722316992581</v>
      </c>
      <c r="EO22" s="59">
        <f ca="1">AVERAGE(OFFSET($EN$3,0,0,'Données projet'!$E$15+1,1))-AVERAGE(OFFSET($H$3,0,0,'Données projet'!$E$15+1,1))</f>
        <v>191.932060106699</v>
      </c>
      <c r="EP22" s="59">
        <f t="shared" si="46"/>
        <v>260.28593152736903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10.823446432767282</v>
      </c>
      <c r="EX22" s="21">
        <f>EXP(-LN(2)/2)*EX21+(1-EXP(-LN(2)/2))/(LN(2)/2)*ER22*EU22*VLOOKUP('Données projet'!$B$15,Paramètres!$A$1:$I$89,3,0)*0.475*44/12</f>
        <v>12.258847021240616</v>
      </c>
      <c r="EY22" s="22">
        <f t="shared" si="21"/>
        <v>23.082293454007896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1.05</v>
      </c>
      <c r="FE22" s="12">
        <f>IF('Données projet'!$A$218&gt;35,FE21+FD22-FM21,IF(A22&lt;'Données projet'!$A$218,$FB$205^A22,IF(A22='Données projet'!$A$218,'Données projet'!$B$218,FE21+FD22-FM21)))</f>
        <v>18.034675399644545</v>
      </c>
      <c r="FF22" s="17">
        <f>FE22*VLOOKUP('Données projet'!$B$16,Paramètres!$A$1:$I$89,3,0)*VLOOKUP('Données projet'!$B$16,Paramètres!$A$1:$I$89,5,0)</f>
        <v>17.443138046536202</v>
      </c>
      <c r="FG22" s="13">
        <f t="shared" si="47"/>
        <v>5.7630392471586012</v>
      </c>
      <c r="FH22" s="20">
        <f t="shared" si="22"/>
        <v>40.417425453185118</v>
      </c>
      <c r="FI22" s="59">
        <f t="shared" si="23"/>
        <v>333.75075878651842</v>
      </c>
      <c r="FJ22" s="59">
        <f ca="1">AVERAGE(OFFSET($FI$3,0,0,'Données projet'!$E$16+1,1))-AVERAGE(OFFSET($H$3,0,0,'Données projet'!$E$16+1,1))</f>
        <v>102.86738524979938</v>
      </c>
      <c r="FK22" s="59">
        <f t="shared" si="48"/>
        <v>56.347130462109817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3.55</v>
      </c>
      <c r="FZ22" s="12">
        <f>IF('Données projet'!$A$244&gt;35,FZ21+FY22-GH21,IF(A22&lt;'Données projet'!$A$244,$FW$205^A22,IF(A22='Données projet'!$A$244,'Données projet'!$B$244,FZ21+FY22-GH21)))</f>
        <v>57.371397812723103</v>
      </c>
      <c r="GA22" s="17">
        <f>FZ22*VLOOKUP('Données projet'!$B$17,Paramètres!$A$1:$I$89,3,0)*VLOOKUP('Données projet'!$B$17,Paramètres!$A$1:$I$89,5,0)</f>
        <v>38.484733652774658</v>
      </c>
      <c r="GB22" s="13">
        <f t="shared" si="49"/>
        <v>11.59612719584142</v>
      </c>
      <c r="GC22" s="20">
        <f t="shared" si="25"/>
        <v>87.224165978006326</v>
      </c>
      <c r="GD22" s="59">
        <f t="shared" si="26"/>
        <v>380.55749931133965</v>
      </c>
      <c r="GE22" s="59">
        <f ca="1">AVERAGE(OFFSET($GD$3,0,0,'Données projet'!$E$17+1,1))-AVERAGE(OFFSET($H$3,0,0,'Données projet'!$E$17+1,1))</f>
        <v>168.00454652899231</v>
      </c>
      <c r="GF22" s="59">
        <f t="shared" si="50"/>
        <v>135.31958994080446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4.0628205128205126</v>
      </c>
      <c r="N23" s="13">
        <f>IF('Données projet'!$A$36&gt;35,N22+M23-V22,IF(A23&lt;'Données projet'!$A$36,$K$205^A23,IF(A23='Données projet'!$A$36,'Données projet'!$B$36,N22+M23-V22)))</f>
        <v>24.582870545650774</v>
      </c>
      <c r="O23" s="13">
        <f>N23*VLOOKUP('Données projet'!$B$9,Paramètres!$A$1:$I$89,3,0)*VLOOKUP('Données projet'!$B$9,Paramètres!$A$1:$I$89,5,0)</f>
        <v>22.242581269704818</v>
      </c>
      <c r="P23" s="13">
        <f t="shared" si="33"/>
        <v>7.1437277532311274</v>
      </c>
      <c r="Q23" s="20">
        <f t="shared" si="2"/>
        <v>51.181154881613445</v>
      </c>
      <c r="R23" s="59">
        <f t="shared" si="0"/>
        <v>344.51448821494677</v>
      </c>
      <c r="S23" s="59">
        <f ca="1">AVERAGE(OFFSET($R$3,0,0,'Données projet'!$E$9+1,1))-AVERAGE(OFFSET($H$3,0,0,'Données projet'!$E$9+1,1))</f>
        <v>221.7429870520005</v>
      </c>
      <c r="T23" s="59">
        <f t="shared" si="34"/>
        <v>182.2029938397186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2.9235042735042733</v>
      </c>
      <c r="AI23" s="13">
        <f>IF('Données projet'!$A$62&gt;35,AI22+AH23-AQ22,IF(A23&lt;'Données projet'!$A$62,$AF$205^A23,IF(A23='Données projet'!$A$62,'Données projet'!$B$62,AI22+AH23-AQ22)))</f>
        <v>19.740129245617538</v>
      </c>
      <c r="AJ23" s="13">
        <f>AI23*VLOOKUP('Données projet'!$B$10,Paramètres!$A$1:$I$89,3,0)*VLOOKUP('Données projet'!$B$10,Paramètres!$A$1:$I$89,5,0)</f>
        <v>17.860868941434749</v>
      </c>
      <c r="AK23" s="13">
        <f t="shared" si="35"/>
        <v>5.8848200585320249</v>
      </c>
      <c r="AL23" s="20">
        <f t="shared" si="4"/>
        <v>41.357075008275459</v>
      </c>
      <c r="AM23" s="59">
        <f t="shared" si="5"/>
        <v>334.69040834160876</v>
      </c>
      <c r="AN23" s="59">
        <f ca="1">AVERAGE(OFFSET($AM$3,0,0,'Données projet'!$E$10+1,1))-AVERAGE(OFFSET($H$3,0,0,'Données projet'!$E$10+1,1))</f>
        <v>153.45079678708987</v>
      </c>
      <c r="AO23" s="59">
        <f t="shared" si="36"/>
        <v>115.4217868409637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7.2264102564102561</v>
      </c>
      <c r="BD23" s="12">
        <f>IF('Données projet'!$A$88&gt;35,BD22+BC23-BL22,IF(A23&lt;'Données projet'!$A$88,$BA$205^A23,IF(A23='Données projet'!$A$88,'Données projet'!$B$88,BD22+BC23-BL22)))</f>
        <v>36.0879804560157</v>
      </c>
      <c r="BE23" s="13">
        <f>BD23*VLOOKUP('Données projet'!$B$11,Paramètres!$A$1:$I$89,3,0)*VLOOKUP('Données projet'!$B$11,Paramètres!$A$1:$I$89,5,0)</f>
        <v>16.889174853415348</v>
      </c>
      <c r="BF23" s="13">
        <f t="shared" si="37"/>
        <v>5.6010168004690764</v>
      </c>
      <c r="BG23" s="20">
        <f t="shared" si="7"/>
        <v>39.170417130515368</v>
      </c>
      <c r="BH23" s="59">
        <f t="shared" si="8"/>
        <v>332.50375046384869</v>
      </c>
      <c r="BI23" s="59">
        <f ca="1">AVERAGE(OFFSET($BH$3,0,0,'Données projet'!$E$11+1,1))-AVERAGE(OFFSET($H$3,0,0,'Données projet'!$E$11+1,1))</f>
        <v>158.58786357608489</v>
      </c>
      <c r="BJ23" s="59">
        <f t="shared" si="38"/>
        <v>163.20074068819849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158</v>
      </c>
      <c r="BW23" s="12">
        <f>VLOOKUP(A23,'Données projet'!$A$113:$I$133,9,0)</f>
        <v>7.9</v>
      </c>
      <c r="BX23" s="12">
        <f t="array" ref="BX23">INDEX(BW:BW,MIN(IF(ISNUMBER(BW23:BW219),ROW(BW23:BW219),"")))</f>
        <v>7.9</v>
      </c>
      <c r="BY23" s="12">
        <f>IF('Données projet'!$A$114&gt;35,BY22+BX23-CG22,IF(A23&lt;'Données projet'!$A$114,$BV$205^A23,IF(A23='Données projet'!$A$114,'Données projet'!$B$114,BY22+BX23-CG22)))</f>
        <v>158</v>
      </c>
      <c r="BZ23" s="13">
        <f>BY23*VLOOKUP('Données projet'!$B$12,Paramètres!$A$1:$I$89,3,0)*VLOOKUP('Données projet'!$B$12,Paramètres!$A$1:$I$89,5,0)</f>
        <v>98.592000000000013</v>
      </c>
      <c r="CA23" s="13">
        <f t="shared" si="39"/>
        <v>26.626284637602105</v>
      </c>
      <c r="CB23" s="20">
        <f t="shared" si="10"/>
        <v>218.08851241049035</v>
      </c>
      <c r="CC23" s="59">
        <f t="shared" si="11"/>
        <v>511.42184574382367</v>
      </c>
      <c r="CD23" s="59">
        <f ca="1">AVERAGE(OFFSET($CC$3,0,0,'Données projet'!$E$12+1,1))-AVERAGE(OFFSET($H$3,0,0,'Données projet'!$E$12+1,1))</f>
        <v>255.41017495879987</v>
      </c>
      <c r="CE23" s="59">
        <f t="shared" si="40"/>
        <v>297.50513563712764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60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0.3</v>
      </c>
      <c r="CJ23" s="16">
        <f>IF(ISNA(VLOOKUP(A23,'Données projet'!$A$113:$I$133,7,0)),0%,VLOOKUP(A23,'Données projet'!$A$113:$I$133,7,0))</f>
        <v>0.5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14.841305096542214</v>
      </c>
      <c r="CM23" s="21">
        <f>EXP(-LN(2)/2)*CM22+(1-EXP(-LN(2)/2))/(LN(2)/2)*CG23*CJ23*VLOOKUP('Données projet'!$B$12,Paramètres!$A$1:$I$89,3,0)*0.475*44/12</f>
        <v>21.195388609695438</v>
      </c>
      <c r="CN23" s="22">
        <f t="shared" si="12"/>
        <v>36.036693706237656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6.179370629370629</v>
      </c>
      <c r="CT23" s="12">
        <f>IF('Données projet'!$A$140&gt;35,CT22+CS23-DB22,IF(A23&lt;'Données projet'!$A$140,$CQ$205^A23,IF(A23='Données projet'!$A$140,'Données projet'!$B$140,CT22+CS23-DB22)))</f>
        <v>86.981016236590492</v>
      </c>
      <c r="CU23" s="17">
        <f>CT23*VLOOKUP('Données projet'!$B$13,Paramètres!$A$1:$I$89,3,0)*VLOOKUP('Données projet'!$B$13,Paramètres!$A$1:$I$89,5,0)</f>
        <v>49.753141287329761</v>
      </c>
      <c r="CV23" s="13">
        <f t="shared" si="41"/>
        <v>14.549988971843987</v>
      </c>
      <c r="CW23" s="20">
        <f t="shared" si="13"/>
        <v>111.99461853472759</v>
      </c>
      <c r="CX23" s="59">
        <f t="shared" si="14"/>
        <v>405.32795186806089</v>
      </c>
      <c r="CY23" s="59">
        <f ca="1">AVERAGE(OFFSET($CX$3,0,0,'Données projet'!$E$13+1,1))-AVERAGE(OFFSET($H$3,0,0,'Données projet'!$E$13+1,1))</f>
        <v>134.70214882504786</v>
      </c>
      <c r="CZ23" s="59">
        <f t="shared" si="42"/>
        <v>102.18553029667771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13.468131868131868</v>
      </c>
      <c r="DO23" s="12">
        <f>IF('Données projet'!$A$166&gt;35,DO22+DN23-DW22,IF(A23&lt;'Données projet'!$A$166,$DL$205^A23,IF(A23='Données projet'!$A$166,'Données projet'!$B$166,DO22+DN23-DW22)))</f>
        <v>103.04835164835164</v>
      </c>
      <c r="DP23" s="17">
        <f>DO23*VLOOKUP('Données projet'!$B$14,Paramètres!$A$1:$I$89,3,0)*VLOOKUP('Données projet'!$B$14,Paramètres!$A$1:$I$89,5,0)</f>
        <v>61.622914285714288</v>
      </c>
      <c r="DQ23" s="13">
        <f t="shared" si="43"/>
        <v>17.577953130673084</v>
      </c>
      <c r="DR23" s="20">
        <f t="shared" si="16"/>
        <v>137.94151075020798</v>
      </c>
      <c r="DS23" s="59">
        <f t="shared" si="17"/>
        <v>431.27484408354132</v>
      </c>
      <c r="DT23" s="59">
        <f ca="1">AVERAGE(OFFSET($DS$3,0,0,'Données projet'!$E$14+1,1))-AVERAGE(OFFSET($H$3,0,0,'Données projet'!$E$14+1,1))</f>
        <v>179.32848817523677</v>
      </c>
      <c r="DU23" s="59">
        <f t="shared" si="44"/>
        <v>131.3292389103035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20.658974358974358</v>
      </c>
      <c r="EJ23" s="12">
        <f>IF('Données projet'!$A$192&gt;35,EJ22+EI23-ER22,IF(A23&lt;'Données projet'!$A$192,$EG$205^A23,IF(A23='Données projet'!$A$192,'Données projet'!$B$192,EJ22+EI23-ER22)))</f>
        <v>154.925641025641</v>
      </c>
      <c r="EK23" s="17">
        <f>EJ23*VLOOKUP('Données projet'!$B$15,Paramètres!$A$1:$I$89,3,0)*VLOOKUP('Données projet'!$B$15,Paramètres!$A$1:$I$89,5,0)</f>
        <v>68.477133333333327</v>
      </c>
      <c r="EL23" s="13">
        <f t="shared" si="45"/>
        <v>19.294793347355824</v>
      </c>
      <c r="EM23" s="20">
        <f t="shared" si="19"/>
        <v>152.86943896886694</v>
      </c>
      <c r="EN23" s="59">
        <f t="shared" si="20"/>
        <v>446.20277230220029</v>
      </c>
      <c r="EO23" s="59">
        <f ca="1">AVERAGE(OFFSET($EN$3,0,0,'Données projet'!$E$15+1,1))-AVERAGE(OFFSET($H$3,0,0,'Données projet'!$E$15+1,1))</f>
        <v>191.932060106699</v>
      </c>
      <c r="EP23" s="59">
        <f t="shared" si="46"/>
        <v>260.28593152736903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10.52747872088295</v>
      </c>
      <c r="EX23" s="21">
        <f>EXP(-LN(2)/2)*EX22+(1-EXP(-LN(2)/2))/(LN(2)/2)*ER23*EU23*VLOOKUP('Données projet'!$B$15,Paramètres!$A$1:$I$89,3,0)*0.475*44/12</f>
        <v>8.6683138582477479</v>
      </c>
      <c r="EY23" s="22">
        <f t="shared" si="21"/>
        <v>19.195792579130696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>
        <f>VLOOKUP(A23,'Données projet'!$A$217:$I$237,2,0)</f>
        <v>21</v>
      </c>
      <c r="FC23" s="12">
        <f>VLOOKUP(A23,'Données projet'!$A$217:$I$237,9,0)</f>
        <v>1.05</v>
      </c>
      <c r="FD23" s="12">
        <f t="array" ref="FD23">INDEX(FC:FC,MIN(IF(ISNUMBER(FC23:FC219),ROW(FC23:FC219),"")))</f>
        <v>1.05</v>
      </c>
      <c r="FE23" s="12">
        <f>IF('Données projet'!$A$218&gt;35,FE22+FD23-FM22,IF(A23&lt;'Données projet'!$A$218,$FB$205^A23,IF(A23='Données projet'!$A$218,'Données projet'!$B$218,FE22+FD23-FM22)))</f>
        <v>21</v>
      </c>
      <c r="FF23" s="17">
        <f>FE23*VLOOKUP('Données projet'!$B$16,Paramètres!$A$1:$I$89,3,0)*VLOOKUP('Données projet'!$B$16,Paramètres!$A$1:$I$89,5,0)</f>
        <v>20.311199999999999</v>
      </c>
      <c r="FG23" s="13">
        <f t="shared" si="47"/>
        <v>6.5927593849088089</v>
      </c>
      <c r="FH23" s="20">
        <f t="shared" si="22"/>
        <v>46.85772926204951</v>
      </c>
      <c r="FI23" s="59">
        <f t="shared" si="23"/>
        <v>340.19106259538285</v>
      </c>
      <c r="FJ23" s="59">
        <f ca="1">AVERAGE(OFFSET($FI$3,0,0,'Données projet'!$E$16+1,1))-AVERAGE(OFFSET($H$3,0,0,'Données projet'!$E$16+1,1))</f>
        <v>102.86738524979938</v>
      </c>
      <c r="FK23" s="59">
        <f t="shared" si="48"/>
        <v>56.347130462109817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>
        <f>VLOOKUP(A23,'Données projet'!$A$243:$I$263,2,0)</f>
        <v>71</v>
      </c>
      <c r="FX23" s="12">
        <f>VLOOKUP(A23,'Données projet'!$A$243:$I$263,9,0)</f>
        <v>3.55</v>
      </c>
      <c r="FY23" s="12">
        <f t="array" ref="FY23">INDEX(FX:FX,MIN(IF(ISNUMBER(FX23:FX219),ROW(FX23:FX219),"")))</f>
        <v>3.55</v>
      </c>
      <c r="FZ23" s="12">
        <f>IF('Données projet'!$A$244&gt;35,FZ22+FY23-GH22,IF(A23&lt;'Données projet'!$A$244,$FW$205^A23,IF(A23='Données projet'!$A$244,'Données projet'!$B$244,FZ22+FY23-GH22)))</f>
        <v>71</v>
      </c>
      <c r="GA23" s="17">
        <f>FZ23*VLOOKUP('Données projet'!$B$17,Paramètres!$A$1:$I$89,3,0)*VLOOKUP('Données projet'!$B$17,Paramètres!$A$1:$I$89,5,0)</f>
        <v>47.626800000000003</v>
      </c>
      <c r="GB23" s="13">
        <f t="shared" si="49"/>
        <v>13.999146688105517</v>
      </c>
      <c r="GC23" s="20">
        <f t="shared" si="25"/>
        <v>107.33185714845045</v>
      </c>
      <c r="GD23" s="59">
        <f t="shared" si="26"/>
        <v>400.66519048178378</v>
      </c>
      <c r="GE23" s="59">
        <f ca="1">AVERAGE(OFFSET($GD$3,0,0,'Données projet'!$E$17+1,1))-AVERAGE(OFFSET($H$3,0,0,'Données projet'!$E$17+1,1))</f>
        <v>168.00454652899231</v>
      </c>
      <c r="GF23" s="59">
        <f t="shared" si="50"/>
        <v>135.31958994080446</v>
      </c>
      <c r="GG23" s="15">
        <f>IF(ISNA(VLOOKUP(A23,'Données projet'!$A$243:$I$263,3,0)),0,VLOOKUP(A23,'Données projet'!$A$243:$I$263,3,0))</f>
        <v>1</v>
      </c>
      <c r="GH23" s="15">
        <f>IF(ISNA(VLOOKUP(A23,'Données projet'!$A$243:$I$263,4,0)),0,VLOOKUP(A23,'Données projet'!$A$243:$I$263,4,0))</f>
        <v>18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0</v>
      </c>
      <c r="GN23" s="21">
        <f>EXP(-LN(2)/2)*GN22+(1-EXP(-LN(2)/2))/(LN(2)/2)*GH23*GK23*VLOOKUP('Données projet'!$B$17,Paramètres!$A$1:$I$89,3,0)*0.475*44/12</f>
        <v>0</v>
      </c>
      <c r="GO23" s="21">
        <f t="shared" si="27"/>
        <v>0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4.0628205128205126</v>
      </c>
      <c r="N24" s="13">
        <f>IF('Données projet'!$A$36&gt;35,N23+M24-V23,IF(A24&lt;'Données projet'!$A$36,$K$205^A24,IF(A24='Données projet'!$A$36,'Données projet'!$B$36,N23+M24-V23)))</f>
        <v>28.851222752799568</v>
      </c>
      <c r="O24" s="13">
        <f>N24*VLOOKUP('Données projet'!$B$9,Paramètres!$A$1:$I$89,3,0)*VLOOKUP('Données projet'!$B$9,Paramètres!$A$1:$I$89,5,0)</f>
        <v>26.104586346733051</v>
      </c>
      <c r="P24" s="13">
        <f t="shared" si="33"/>
        <v>8.2293028123778775</v>
      </c>
      <c r="Q24" s="20">
        <f t="shared" si="2"/>
        <v>59.798190285451518</v>
      </c>
      <c r="R24" s="59">
        <f t="shared" si="0"/>
        <v>353.13152361878485</v>
      </c>
      <c r="S24" s="59">
        <f ca="1">AVERAGE(OFFSET($R$3,0,0,'Données projet'!$E$9+1,1))-AVERAGE(OFFSET($H$3,0,0,'Données projet'!$E$9+1,1))</f>
        <v>221.7429870520005</v>
      </c>
      <c r="T24" s="59">
        <f t="shared" si="34"/>
        <v>182.2029938397186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2.9235042735042733</v>
      </c>
      <c r="AI24" s="13">
        <f>IF('Données projet'!$A$62&gt;35,AI23+AH24-AQ23,IF(A24&lt;'Données projet'!$A$62,$AF$205^A24,IF(A24='Données projet'!$A$62,'Données projet'!$B$62,AI23+AH24-AQ23)))</f>
        <v>22.91487494147438</v>
      </c>
      <c r="AJ24" s="13">
        <f>AI24*VLOOKUP('Données projet'!$B$10,Paramètres!$A$1:$I$89,3,0)*VLOOKUP('Données projet'!$B$10,Paramètres!$A$1:$I$89,5,0)</f>
        <v>20.733378847046019</v>
      </c>
      <c r="AK24" s="13">
        <f t="shared" si="35"/>
        <v>6.713697209604776</v>
      </c>
      <c r="AL24" s="20">
        <f t="shared" si="4"/>
        <v>47.803657465333458</v>
      </c>
      <c r="AM24" s="59">
        <f t="shared" si="5"/>
        <v>341.13699079866677</v>
      </c>
      <c r="AN24" s="59">
        <f ca="1">AVERAGE(OFFSET($AM$3,0,0,'Données projet'!$E$10+1,1))-AVERAGE(OFFSET($H$3,0,0,'Données projet'!$E$10+1,1))</f>
        <v>153.45079678708987</v>
      </c>
      <c r="AO24" s="59">
        <f t="shared" si="36"/>
        <v>115.4217868409637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7.2264102564102561</v>
      </c>
      <c r="BD24" s="12">
        <f>IF('Données projet'!$A$88&gt;35,BD23+BC24-BL23,IF(A24&lt;'Données projet'!$A$88,$BA$205^A24,IF(A24='Données projet'!$A$88,'Données projet'!$B$88,BD23+BC24-BL23)))</f>
        <v>43.17483711984115</v>
      </c>
      <c r="BE24" s="13">
        <f>BD24*VLOOKUP('Données projet'!$B$11,Paramètres!$A$1:$I$89,3,0)*VLOOKUP('Données projet'!$B$11,Paramètres!$A$1:$I$89,5,0)</f>
        <v>20.205823772085658</v>
      </c>
      <c r="BF24" s="13">
        <f t="shared" si="37"/>
        <v>6.5625277686471071</v>
      </c>
      <c r="BG24" s="20">
        <f t="shared" si="7"/>
        <v>46.621545600109563</v>
      </c>
      <c r="BH24" s="59">
        <f t="shared" si="8"/>
        <v>339.9548789334429</v>
      </c>
      <c r="BI24" s="59">
        <f ca="1">AVERAGE(OFFSET($BH$3,0,0,'Données projet'!$E$11+1,1))-AVERAGE(OFFSET($H$3,0,0,'Données projet'!$E$11+1,1))</f>
        <v>158.58786357608489</v>
      </c>
      <c r="BJ24" s="59">
        <f t="shared" si="38"/>
        <v>163.20074068819849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16.5</v>
      </c>
      <c r="BY24" s="12">
        <f>IF('Données projet'!$A$114&gt;35,BY23+BX24-CG23,IF(A24&lt;'Données projet'!$A$114,$BV$205^A24,IF(A24='Données projet'!$A$114,'Données projet'!$B$114,BY23+BX24-CG23)))</f>
        <v>114.5</v>
      </c>
      <c r="BZ24" s="13">
        <f>BY24*VLOOKUP('Données projet'!$B$12,Paramètres!$A$1:$I$89,3,0)*VLOOKUP('Données projet'!$B$12,Paramètres!$A$1:$I$89,5,0)</f>
        <v>71.448000000000008</v>
      </c>
      <c r="CA24" s="13">
        <f t="shared" si="39"/>
        <v>20.03261738899662</v>
      </c>
      <c r="CB24" s="20">
        <f t="shared" si="10"/>
        <v>159.32874195250244</v>
      </c>
      <c r="CC24" s="59">
        <f t="shared" si="11"/>
        <v>452.66207528583573</v>
      </c>
      <c r="CD24" s="59">
        <f ca="1">AVERAGE(OFFSET($CC$3,0,0,'Données projet'!$E$12+1,1))-AVERAGE(OFFSET($H$3,0,0,'Données projet'!$E$12+1,1))</f>
        <v>255.41017495879987</v>
      </c>
      <c r="CE24" s="59">
        <f t="shared" si="40"/>
        <v>297.50513563712764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14.435468828206952</v>
      </c>
      <c r="CM24" s="21">
        <f>EXP(-LN(2)/2)*CM23+(1-EXP(-LN(2)/2))/(LN(2)/2)*CG24*CJ24*VLOOKUP('Données projet'!$B$12,Paramètres!$A$1:$I$89,3,0)*0.475*44/12</f>
        <v>14.987403015799755</v>
      </c>
      <c r="CN24" s="22">
        <f t="shared" si="12"/>
        <v>29.422871844006707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6.179370629370629</v>
      </c>
      <c r="CT24" s="12">
        <f>IF('Données projet'!$A$140&gt;35,CT23+CS24-DB23,IF(A24&lt;'Données projet'!$A$140,$CQ$205^A24,IF(A24='Données projet'!$A$140,'Données projet'!$B$140,CT23+CS24-DB23)))</f>
        <v>108.74159560625519</v>
      </c>
      <c r="CU24" s="17">
        <f>CT24*VLOOKUP('Données projet'!$B$13,Paramètres!$A$1:$I$89,3,0)*VLOOKUP('Données projet'!$B$13,Paramètres!$A$1:$I$89,5,0)</f>
        <v>62.200192686777967</v>
      </c>
      <c r="CV24" s="13">
        <f t="shared" si="41"/>
        <v>17.723375447389007</v>
      </c>
      <c r="CW24" s="20">
        <f t="shared" si="13"/>
        <v>139.20021450034079</v>
      </c>
      <c r="CX24" s="59">
        <f t="shared" si="14"/>
        <v>432.53354783367411</v>
      </c>
      <c r="CY24" s="59">
        <f ca="1">AVERAGE(OFFSET($CX$3,0,0,'Données projet'!$E$13+1,1))-AVERAGE(OFFSET($H$3,0,0,'Données projet'!$E$13+1,1))</f>
        <v>134.70214882504786</v>
      </c>
      <c r="CZ24" s="59">
        <f t="shared" si="42"/>
        <v>102.18553029667771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13.468131868131868</v>
      </c>
      <c r="DO24" s="12">
        <f>IF('Données projet'!$A$166&gt;35,DO23+DN24-DW23,IF(A24&lt;'Données projet'!$A$166,$DL$205^A24,IF(A24='Données projet'!$A$166,'Données projet'!$B$166,DO23+DN24-DW23)))</f>
        <v>116.5164835164835</v>
      </c>
      <c r="DP24" s="17">
        <f>DO24*VLOOKUP('Données projet'!$B$14,Paramètres!$A$1:$I$89,3,0)*VLOOKUP('Données projet'!$B$14,Paramètres!$A$1:$I$89,5,0)</f>
        <v>69.676857142857145</v>
      </c>
      <c r="DQ24" s="13">
        <f t="shared" si="43"/>
        <v>19.593188213653896</v>
      </c>
      <c r="DR24" s="20">
        <f t="shared" si="16"/>
        <v>155.47866232925674</v>
      </c>
      <c r="DS24" s="59">
        <f t="shared" si="17"/>
        <v>448.81199566259005</v>
      </c>
      <c r="DT24" s="59">
        <f ca="1">AVERAGE(OFFSET($DS$3,0,0,'Données projet'!$E$14+1,1))-AVERAGE(OFFSET($H$3,0,0,'Données projet'!$E$14+1,1))</f>
        <v>179.32848817523677</v>
      </c>
      <c r="DU24" s="59">
        <f t="shared" si="44"/>
        <v>131.3292389103035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20.658974358974358</v>
      </c>
      <c r="EJ24" s="12">
        <f>IF('Données projet'!$A$192&gt;35,EJ23+EI24-ER23,IF(A24&lt;'Données projet'!$A$192,$EG$205^A24,IF(A24='Données projet'!$A$192,'Données projet'!$B$192,EJ23+EI24-ER23)))</f>
        <v>175.58461538461535</v>
      </c>
      <c r="EK24" s="17">
        <f>EJ24*VLOOKUP('Données projet'!$B$15,Paramètres!$A$1:$I$89,3,0)*VLOOKUP('Données projet'!$B$15,Paramètres!$A$1:$I$89,5,0)</f>
        <v>77.608399999999989</v>
      </c>
      <c r="EL24" s="13">
        <f t="shared" si="45"/>
        <v>21.551396579228189</v>
      </c>
      <c r="EM24" s="20">
        <f t="shared" si="19"/>
        <v>172.70331237548908</v>
      </c>
      <c r="EN24" s="59">
        <f t="shared" si="20"/>
        <v>466.03664570882239</v>
      </c>
      <c r="EO24" s="59">
        <f ca="1">AVERAGE(OFFSET($EN$3,0,0,'Données projet'!$E$15+1,1))-AVERAGE(OFFSET($H$3,0,0,'Données projet'!$E$15+1,1))</f>
        <v>191.932060106699</v>
      </c>
      <c r="EP24" s="59">
        <f t="shared" si="46"/>
        <v>260.28593152736903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10.239604261644361</v>
      </c>
      <c r="EX24" s="21">
        <f>EXP(-LN(2)/2)*EX23+(1-EXP(-LN(2)/2))/(LN(2)/2)*ER24*EU24*VLOOKUP('Données projet'!$B$15,Paramètres!$A$1:$I$89,3,0)*0.475*44/12</f>
        <v>6.1294235106203079</v>
      </c>
      <c r="EY24" s="22">
        <f t="shared" si="21"/>
        <v>16.369027772264669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3.3</v>
      </c>
      <c r="FE24" s="12">
        <f>IF('Données projet'!$A$218&gt;35,FE23+FD24-FM23,IF(A24&lt;'Données projet'!$A$218,$FB$205^A24,IF(A24='Données projet'!$A$218,'Données projet'!$B$218,FE23+FD24-FM23)))</f>
        <v>24.3</v>
      </c>
      <c r="FF24" s="17">
        <f>FE24*VLOOKUP('Données projet'!$B$16,Paramètres!$A$1:$I$89,3,0)*VLOOKUP('Données projet'!$B$16,Paramètres!$A$1:$I$89,5,0)</f>
        <v>23.502960000000002</v>
      </c>
      <c r="FG24" s="13">
        <f t="shared" si="47"/>
        <v>7.5002538086241195</v>
      </c>
      <c r="FH24" s="20">
        <f t="shared" si="22"/>
        <v>53.997264050020341</v>
      </c>
      <c r="FI24" s="59">
        <f t="shared" si="23"/>
        <v>347.33059738335368</v>
      </c>
      <c r="FJ24" s="59">
        <f ca="1">AVERAGE(OFFSET($FI$3,0,0,'Données projet'!$E$16+1,1))-AVERAGE(OFFSET($H$3,0,0,'Données projet'!$E$16+1,1))</f>
        <v>102.86738524979938</v>
      </c>
      <c r="FK24" s="59">
        <f t="shared" si="48"/>
        <v>56.347130462109817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7.9</v>
      </c>
      <c r="FZ24" s="12">
        <f>IF('Données projet'!$A$244&gt;35,FZ23+FY24-GH23,IF(A24&lt;'Données projet'!$A$244,$FW$205^A24,IF(A24='Données projet'!$A$244,'Données projet'!$B$244,FZ23+FY24-GH23)))</f>
        <v>60.900000000000006</v>
      </c>
      <c r="GA24" s="17">
        <f>FZ24*VLOOKUP('Données projet'!$B$17,Paramètres!$A$1:$I$89,3,0)*VLOOKUP('Données projet'!$B$17,Paramètres!$A$1:$I$89,5,0)</f>
        <v>40.85172</v>
      </c>
      <c r="GB24" s="13">
        <f t="shared" si="49"/>
        <v>12.224117819258586</v>
      </c>
      <c r="GC24" s="20">
        <f t="shared" si="25"/>
        <v>92.440417535208709</v>
      </c>
      <c r="GD24" s="59">
        <f t="shared" si="26"/>
        <v>385.77375086854204</v>
      </c>
      <c r="GE24" s="59">
        <f ca="1">AVERAGE(OFFSET($GD$3,0,0,'Données projet'!$E$17+1,1))-AVERAGE(OFFSET($H$3,0,0,'Données projet'!$E$17+1,1))</f>
        <v>168.00454652899231</v>
      </c>
      <c r="GF24" s="59">
        <f t="shared" si="50"/>
        <v>135.31958994080446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0</v>
      </c>
      <c r="GN24" s="21">
        <f>EXP(-LN(2)/2)*GN23+(1-EXP(-LN(2)/2))/(LN(2)/2)*GH24*GK24*VLOOKUP('Données projet'!$B$17,Paramètres!$A$1:$I$89,3,0)*0.475*44/12</f>
        <v>0</v>
      </c>
      <c r="GO24" s="21">
        <f t="shared" si="27"/>
        <v>0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4.0628205128205126</v>
      </c>
      <c r="N25" s="13">
        <f>IF('Données projet'!$A$36&gt;35,N24+M25-V24,IF(A25&lt;'Données projet'!$A$36,$K$205^A25,IF(A25='Données projet'!$A$36,'Données projet'!$B$36,N24+M25-V24)))</f>
        <v>33.860693883812012</v>
      </c>
      <c r="O25" s="13">
        <f>N25*VLOOKUP('Données projet'!$B$9,Paramètres!$A$1:$I$89,3,0)*VLOOKUP('Données projet'!$B$9,Paramètres!$A$1:$I$89,5,0)</f>
        <v>30.637155826073108</v>
      </c>
      <c r="P25" s="13">
        <f t="shared" si="33"/>
        <v>9.4798440138175533</v>
      </c>
      <c r="Q25" s="20">
        <f t="shared" si="2"/>
        <v>69.870441387809549</v>
      </c>
      <c r="R25" s="59">
        <f t="shared" si="0"/>
        <v>363.20377472114285</v>
      </c>
      <c r="S25" s="59">
        <f ca="1">AVERAGE(OFFSET($R$3,0,0,'Données projet'!$E$9+1,1))-AVERAGE(OFFSET($H$3,0,0,'Données projet'!$E$9+1,1))</f>
        <v>221.7429870520005</v>
      </c>
      <c r="T25" s="59">
        <f t="shared" si="34"/>
        <v>182.2029938397186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2.9235042735042733</v>
      </c>
      <c r="AI25" s="13">
        <f>IF('Données projet'!$A$62&gt;35,AI24+AH25-AQ24,IF(A25&lt;'Données projet'!$A$62,$AF$205^A25,IF(A25='Données projet'!$A$62,'Données projet'!$B$62,AI24+AH25-AQ24)))</f>
        <v>26.600205452048144</v>
      </c>
      <c r="AJ25" s="13">
        <f>AI25*VLOOKUP('Données projet'!$B$10,Paramètres!$A$1:$I$89,3,0)*VLOOKUP('Données projet'!$B$10,Paramètres!$A$1:$I$89,5,0)</f>
        <v>24.06786589301316</v>
      </c>
      <c r="AK25" s="13">
        <f t="shared" si="35"/>
        <v>7.6593217420310804</v>
      </c>
      <c r="AL25" s="20">
        <f t="shared" si="4"/>
        <v>55.258185131035383</v>
      </c>
      <c r="AM25" s="59">
        <f t="shared" si="5"/>
        <v>348.59151846436868</v>
      </c>
      <c r="AN25" s="59">
        <f ca="1">AVERAGE(OFFSET($AM$3,0,0,'Données projet'!$E$10+1,1))-AVERAGE(OFFSET($H$3,0,0,'Données projet'!$E$10+1,1))</f>
        <v>153.45079678708987</v>
      </c>
      <c r="AO25" s="59">
        <f t="shared" si="36"/>
        <v>115.4217868409637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7.2264102564102561</v>
      </c>
      <c r="BD25" s="12">
        <f>IF('Données projet'!$A$88&gt;35,BD24+BC25-BL24,IF(A25&lt;'Données projet'!$A$88,$BA$205^A25,IF(A25='Données projet'!$A$88,'Données projet'!$B$88,BD24+BC25-BL24)))</f>
        <v>51.653390873361616</v>
      </c>
      <c r="BE25" s="13">
        <f>BD25*VLOOKUP('Données projet'!$B$11,Paramètres!$A$1:$I$89,3,0)*VLOOKUP('Données projet'!$B$11,Paramètres!$A$1:$I$89,5,0)</f>
        <v>24.173786928733236</v>
      </c>
      <c r="BF25" s="13">
        <f t="shared" si="37"/>
        <v>7.6890986491341353</v>
      </c>
      <c r="BG25" s="20">
        <f t="shared" si="7"/>
        <v>55.494525714785674</v>
      </c>
      <c r="BH25" s="59">
        <f t="shared" si="8"/>
        <v>348.82785904811897</v>
      </c>
      <c r="BI25" s="59">
        <f ca="1">AVERAGE(OFFSET($BH$3,0,0,'Données projet'!$E$11+1,1))-AVERAGE(OFFSET($H$3,0,0,'Données projet'!$E$11+1,1))</f>
        <v>158.58786357608489</v>
      </c>
      <c r="BJ25" s="59">
        <f t="shared" si="38"/>
        <v>163.20074068819849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16.5</v>
      </c>
      <c r="BY25" s="12">
        <f>IF('Données projet'!$A$114&gt;35,BY24+BX25-CG24,IF(A25&lt;'Données projet'!$A$114,$BV$205^A25,IF(A25='Données projet'!$A$114,'Données projet'!$B$114,BY24+BX25-CG24)))</f>
        <v>131</v>
      </c>
      <c r="BZ25" s="13">
        <f>BY25*VLOOKUP('Données projet'!$B$12,Paramètres!$A$1:$I$89,3,0)*VLOOKUP('Données projet'!$B$12,Paramètres!$A$1:$I$89,5,0)</f>
        <v>81.744</v>
      </c>
      <c r="CA25" s="13">
        <f t="shared" si="39"/>
        <v>22.563064513367394</v>
      </c>
      <c r="CB25" s="20">
        <f t="shared" si="10"/>
        <v>181.66813736078151</v>
      </c>
      <c r="CC25" s="59">
        <f t="shared" si="11"/>
        <v>475.0014706941148</v>
      </c>
      <c r="CD25" s="59">
        <f ca="1">AVERAGE(OFFSET($CC$3,0,0,'Données projet'!$E$12+1,1))-AVERAGE(OFFSET($H$3,0,0,'Données projet'!$E$12+1,1))</f>
        <v>255.41017495879987</v>
      </c>
      <c r="CE25" s="59">
        <f t="shared" si="40"/>
        <v>297.50513563712764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14.040730173971321</v>
      </c>
      <c r="CM25" s="21">
        <f>EXP(-LN(2)/2)*CM24+(1-EXP(-LN(2)/2))/(LN(2)/2)*CG25*CJ25*VLOOKUP('Données projet'!$B$12,Paramètres!$A$1:$I$89,3,0)*0.475*44/12</f>
        <v>10.597694304847721</v>
      </c>
      <c r="CN25" s="22">
        <f t="shared" si="12"/>
        <v>24.63842447881904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>
        <f>VLOOKUP(A25,'Données projet'!$A$139:$I$159,2,0)</f>
        <v>135.94615384615383</v>
      </c>
      <c r="CR25" s="12">
        <f>VLOOKUP(A25,'Données projet'!$A$139:$I$159,9,0)</f>
        <v>6.179370629370629</v>
      </c>
      <c r="CS25" s="12">
        <f t="array" ref="CS25">INDEX(CR:CR,MIN(IF(ISNUMBER(CR25:CR221),ROW(CR25:CR221),"")))</f>
        <v>6.179370629370629</v>
      </c>
      <c r="CT25" s="12">
        <f>IF('Données projet'!$A$140&gt;35,CT24+CS25-DB24,IF(A25&lt;'Données projet'!$A$140,$CQ$205^A25,IF(A25='Données projet'!$A$140,'Données projet'!$B$140,CT24+CS25-DB24)))</f>
        <v>135.94615384615383</v>
      </c>
      <c r="CU25" s="17">
        <f>CT25*VLOOKUP('Données projet'!$B$13,Paramètres!$A$1:$I$89,3,0)*VLOOKUP('Données projet'!$B$13,Paramètres!$A$1:$I$89,5,0)</f>
        <v>77.761200000000002</v>
      </c>
      <c r="CV25" s="13">
        <f t="shared" si="41"/>
        <v>21.588884902728694</v>
      </c>
      <c r="CW25" s="20">
        <f t="shared" si="13"/>
        <v>173.03473120558579</v>
      </c>
      <c r="CX25" s="59">
        <f t="shared" si="14"/>
        <v>466.3680645389191</v>
      </c>
      <c r="CY25" s="59">
        <f ca="1">AVERAGE(OFFSET($CX$3,0,0,'Données projet'!$E$13+1,1))-AVERAGE(OFFSET($H$3,0,0,'Données projet'!$E$13+1,1))</f>
        <v>134.70214882504786</v>
      </c>
      <c r="CZ25" s="59">
        <f t="shared" si="42"/>
        <v>102.18553029667771</v>
      </c>
      <c r="DA25" s="15">
        <f>IF(ISNA(VLOOKUP(A25,'Données projet'!$A$139:$I$159,3,0)),0,VLOOKUP(A25,'Données projet'!$A$139:$I$159,3,0))</f>
        <v>1</v>
      </c>
      <c r="DB25" s="15">
        <f>IF(ISNA(VLOOKUP(A25,'Données projet'!$A$139:$I$159,4,0)),0,VLOOKUP(A25,'Données projet'!$A$139:$I$159,4,0))</f>
        <v>57.423076923076927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0.22500000000000001</v>
      </c>
      <c r="DE25" s="16">
        <f>IF(ISNA(VLOOKUP(A25,'Données projet'!$A$139:$I$159,7,0)),0%,VLOOKUP(A25,'Données projet'!$A$139:$I$159,7,0))</f>
        <v>0.5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9.7651744230974682</v>
      </c>
      <c r="DH25" s="21">
        <f>EXP(-LN(2)/2)*DH24+(1-EXP(-LN(2)/2))/(LN(2)/2)*DB25*DE25*VLOOKUP('Données projet'!$B$13,Paramètres!$A$1:$I$89,3,0)*0.475*44/12</f>
        <v>18.594651022277151</v>
      </c>
      <c r="DI25" s="22">
        <f t="shared" si="15"/>
        <v>28.359825445374618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>
        <f>VLOOKUP(A25,'Données projet'!$A$165:$I$185,2,0)</f>
        <v>129.98461538461538</v>
      </c>
      <c r="DM25" s="12">
        <f>VLOOKUP(A25,'Données projet'!$A$165:$I$185,9,0)</f>
        <v>13.468131868131868</v>
      </c>
      <c r="DN25" s="12">
        <f t="array" ref="DN25">INDEX(DM:DM,MIN(IF(ISNUMBER(DM25:DM221),ROW(DM25:DM221),"")))</f>
        <v>13.468131868131868</v>
      </c>
      <c r="DO25" s="12">
        <f>IF('Données projet'!$A$166&gt;35,DO24+DN25-DW24,IF(A25&lt;'Données projet'!$A$166,$DL$205^A25,IF(A25='Données projet'!$A$166,'Données projet'!$B$166,DO24+DN25-DW24)))</f>
        <v>129.98461538461538</v>
      </c>
      <c r="DP25" s="17">
        <f>DO25*VLOOKUP('Données projet'!$B$14,Paramètres!$A$1:$I$89,3,0)*VLOOKUP('Données projet'!$B$14,Paramètres!$A$1:$I$89,5,0)</f>
        <v>77.730800000000002</v>
      </c>
      <c r="DQ25" s="13">
        <f t="shared" si="43"/>
        <v>21.581427176601697</v>
      </c>
      <c r="DR25" s="20">
        <f t="shared" si="16"/>
        <v>172.96879566591463</v>
      </c>
      <c r="DS25" s="59">
        <f t="shared" si="17"/>
        <v>466.30212899924794</v>
      </c>
      <c r="DT25" s="59">
        <f ca="1">AVERAGE(OFFSET($DS$3,0,0,'Données projet'!$E$14+1,1))-AVERAGE(OFFSET($H$3,0,0,'Données projet'!$E$14+1,1))</f>
        <v>179.32848817523677</v>
      </c>
      <c r="DU25" s="59">
        <f t="shared" si="44"/>
        <v>131.3292389103035</v>
      </c>
      <c r="DV25" s="15">
        <f>IF(ISNA(VLOOKUP(A25,'Données projet'!$A$165:$I$185,3,0)),0,VLOOKUP(A25,'Données projet'!$A$165:$I$185,3,0))</f>
        <v>1</v>
      </c>
      <c r="DW25" s="15">
        <f>IF(ISNA(VLOOKUP(A25,'Données projet'!$A$165:$I$185,4,0)),0,VLOOKUP(A25,'Données projet'!$A$165:$I$185,4,0))</f>
        <v>52.746153846153838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0.22500000000000001</v>
      </c>
      <c r="DZ25" s="16">
        <f>IF(ISNA(VLOOKUP(A25,'Données projet'!$A$165:$I$185,7,0)),0%,VLOOKUP(A25,'Données projet'!$A$165:$I$185,7,0))</f>
        <v>0.5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9.377552356092826</v>
      </c>
      <c r="EC25" s="21">
        <f>EXP(-LN(2)/2)*EC24+(1-EXP(-LN(2)/2))/(LN(2)/2)*DW25*DZ25*VLOOKUP('Données projet'!$B$14,Paramètres!$A$1:$I$89,3,0)*0.475*44/12</f>
        <v>17.856548787519642</v>
      </c>
      <c r="ED25" s="22">
        <f t="shared" si="18"/>
        <v>27.23410114361247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20.658974358974358</v>
      </c>
      <c r="EJ25" s="12">
        <f>IF('Données projet'!$A$192&gt;35,EJ24+EI25-ER24,IF(A25&lt;'Données projet'!$A$192,$EG$205^A25,IF(A25='Données projet'!$A$192,'Données projet'!$B$192,EJ24+EI25-ER24)))</f>
        <v>196.24358974358969</v>
      </c>
      <c r="EK25" s="17">
        <f>EJ25*VLOOKUP('Données projet'!$B$15,Paramètres!$A$1:$I$89,3,0)*VLOOKUP('Données projet'!$B$15,Paramètres!$A$1:$I$89,5,0)</f>
        <v>86.739666666666665</v>
      </c>
      <c r="EL25" s="13">
        <f t="shared" si="45"/>
        <v>23.777230491348298</v>
      </c>
      <c r="EM25" s="20">
        <f t="shared" si="19"/>
        <v>192.48359588354273</v>
      </c>
      <c r="EN25" s="59">
        <f t="shared" si="20"/>
        <v>485.81692921687602</v>
      </c>
      <c r="EO25" s="59">
        <f ca="1">AVERAGE(OFFSET($EN$3,0,0,'Données projet'!$E$15+1,1))-AVERAGE(OFFSET($H$3,0,0,'Données projet'!$E$15+1,1))</f>
        <v>191.932060106699</v>
      </c>
      <c r="EP25" s="59">
        <f t="shared" si="46"/>
        <v>260.28593152736903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9.9596017446323106</v>
      </c>
      <c r="EX25" s="21">
        <f>EXP(-LN(2)/2)*EX24+(1-EXP(-LN(2)/2))/(LN(2)/2)*ER25*EU25*VLOOKUP('Données projet'!$B$15,Paramètres!$A$1:$I$89,3,0)*0.475*44/12</f>
        <v>4.334156929123874</v>
      </c>
      <c r="EY25" s="22">
        <f t="shared" si="21"/>
        <v>14.293758673756184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3.3</v>
      </c>
      <c r="FE25" s="12">
        <f>IF('Données projet'!$A$218&gt;35,FE24+FD25-FM24,IF(A25&lt;'Données projet'!$A$218,$FB$205^A25,IF(A25='Données projet'!$A$218,'Données projet'!$B$218,FE24+FD25-FM24)))</f>
        <v>27.6</v>
      </c>
      <c r="FF25" s="17">
        <f>FE25*VLOOKUP('Données projet'!$B$16,Paramètres!$A$1:$I$89,3,0)*VLOOKUP('Données projet'!$B$16,Paramètres!$A$1:$I$89,5,0)</f>
        <v>26.694720000000004</v>
      </c>
      <c r="FG25" s="13">
        <f t="shared" si="47"/>
        <v>8.3934695983883056</v>
      </c>
      <c r="FH25" s="20">
        <f t="shared" si="22"/>
        <v>61.11193021719297</v>
      </c>
      <c r="FI25" s="59">
        <f t="shared" si="23"/>
        <v>354.44526355052631</v>
      </c>
      <c r="FJ25" s="59">
        <f ca="1">AVERAGE(OFFSET($FI$3,0,0,'Données projet'!$E$16+1,1))-AVERAGE(OFFSET($H$3,0,0,'Données projet'!$E$16+1,1))</f>
        <v>102.86738524979938</v>
      </c>
      <c r="FK25" s="59">
        <f t="shared" si="48"/>
        <v>56.347130462109817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7.9</v>
      </c>
      <c r="FZ25" s="12">
        <f>IF('Données projet'!$A$244&gt;35,FZ24+FY25-GH24,IF(A25&lt;'Données projet'!$A$244,$FW$205^A25,IF(A25='Données projet'!$A$244,'Données projet'!$B$244,FZ24+FY25-GH24)))</f>
        <v>68.800000000000011</v>
      </c>
      <c r="GA25" s="17">
        <f>FZ25*VLOOKUP('Données projet'!$B$17,Paramètres!$A$1:$I$89,3,0)*VLOOKUP('Données projet'!$B$17,Paramètres!$A$1:$I$89,5,0)</f>
        <v>46.151040000000009</v>
      </c>
      <c r="GB25" s="13">
        <f t="shared" si="49"/>
        <v>13.615162570292751</v>
      </c>
      <c r="GC25" s="20">
        <f t="shared" si="25"/>
        <v>104.09280280992657</v>
      </c>
      <c r="GD25" s="59">
        <f t="shared" si="26"/>
        <v>397.4261361432599</v>
      </c>
      <c r="GE25" s="59">
        <f ca="1">AVERAGE(OFFSET($GD$3,0,0,'Données projet'!$E$17+1,1))-AVERAGE(OFFSET($H$3,0,0,'Données projet'!$E$17+1,1))</f>
        <v>168.00454652899231</v>
      </c>
      <c r="GF25" s="59">
        <f t="shared" si="50"/>
        <v>135.31958994080446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0</v>
      </c>
      <c r="GN25" s="21">
        <f>EXP(-LN(2)/2)*GN24+(1-EXP(-LN(2)/2))/(LN(2)/2)*GH25*GK25*VLOOKUP('Données projet'!$B$17,Paramètres!$A$1:$I$89,3,0)*0.475*44/12</f>
        <v>0</v>
      </c>
      <c r="GO25" s="21">
        <f t="shared" si="27"/>
        <v>0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4.0628205128205126</v>
      </c>
      <c r="N26" s="13">
        <f>IF('Données projet'!$A$36&gt;35,N25+M26-V25,IF(A26&lt;'Données projet'!$A$36,$K$205^A26,IF(A26='Données projet'!$A$36,'Données projet'!$B$36,N25+M26-V25)))</f>
        <v>39.739965273463824</v>
      </c>
      <c r="O26" s="13">
        <f>N26*VLOOKUP('Données projet'!$B$9,Paramètres!$A$1:$I$89,3,0)*VLOOKUP('Données projet'!$B$9,Paramètres!$A$1:$I$89,5,0)</f>
        <v>35.956720579430062</v>
      </c>
      <c r="P26" s="13">
        <f t="shared" si="33"/>
        <v>10.920419940209383</v>
      </c>
      <c r="Q26" s="20">
        <f t="shared" si="2"/>
        <v>81.644353071705368</v>
      </c>
      <c r="R26" s="59">
        <f t="shared" si="0"/>
        <v>374.9776864050387</v>
      </c>
      <c r="S26" s="59">
        <f ca="1">AVERAGE(OFFSET($R$3,0,0,'Données projet'!$E$9+1,1))-AVERAGE(OFFSET($H$3,0,0,'Données projet'!$E$9+1,1))</f>
        <v>221.7429870520005</v>
      </c>
      <c r="T26" s="59">
        <f t="shared" si="34"/>
        <v>182.2029938397186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2.9235042735042733</v>
      </c>
      <c r="AI26" s="13">
        <f>IF('Données projet'!$A$62&gt;35,AI25+AH26-AQ25,IF(A26&lt;'Données projet'!$A$62,$AF$205^A26,IF(A26='Données projet'!$A$62,'Données projet'!$B$62,AI25+AH26-AQ25)))</f>
        <v>30.878236599516239</v>
      </c>
      <c r="AJ26" s="13">
        <f>AI26*VLOOKUP('Données projet'!$B$10,Paramètres!$A$1:$I$89,3,0)*VLOOKUP('Données projet'!$B$10,Paramètres!$A$1:$I$89,5,0)</f>
        <v>27.938628475242293</v>
      </c>
      <c r="AK26" s="13">
        <f t="shared" si="35"/>
        <v>8.7381375293515138</v>
      </c>
      <c r="AL26" s="20">
        <f t="shared" si="4"/>
        <v>63.878700791334211</v>
      </c>
      <c r="AM26" s="59">
        <f t="shared" si="5"/>
        <v>357.21203412466753</v>
      </c>
      <c r="AN26" s="59">
        <f ca="1">AVERAGE(OFFSET($AM$3,0,0,'Données projet'!$E$10+1,1))-AVERAGE(OFFSET($H$3,0,0,'Données projet'!$E$10+1,1))</f>
        <v>153.45079678708987</v>
      </c>
      <c r="AO26" s="59">
        <f t="shared" si="36"/>
        <v>115.4217868409637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7.2264102564102561</v>
      </c>
      <c r="BD26" s="12">
        <f>IF('Données projet'!$A$88&gt;35,BD25+BC26-BL25,IF(A26&lt;'Données projet'!$A$88,$BA$205^A26,IF(A26='Données projet'!$A$88,'Données projet'!$B$88,BD25+BC26-BL25)))</f>
        <v>61.796939298472864</v>
      </c>
      <c r="BE26" s="13">
        <f>BD26*VLOOKUP('Données projet'!$B$11,Paramètres!$A$1:$I$89,3,0)*VLOOKUP('Données projet'!$B$11,Paramètres!$A$1:$I$89,5,0)</f>
        <v>28.920967591685301</v>
      </c>
      <c r="BF26" s="13">
        <f t="shared" si="37"/>
        <v>9.0090648177637647</v>
      </c>
      <c r="BG26" s="20">
        <f t="shared" si="7"/>
        <v>66.061473113123796</v>
      </c>
      <c r="BH26" s="59">
        <f t="shared" si="8"/>
        <v>359.3948064464571</v>
      </c>
      <c r="BI26" s="59">
        <f ca="1">AVERAGE(OFFSET($BH$3,0,0,'Données projet'!$E$11+1,1))-AVERAGE(OFFSET($H$3,0,0,'Données projet'!$E$11+1,1))</f>
        <v>158.58786357608489</v>
      </c>
      <c r="BJ26" s="59">
        <f t="shared" si="38"/>
        <v>163.20074068819849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16.5</v>
      </c>
      <c r="BY26" s="12">
        <f>IF('Données projet'!$A$114&gt;35,BY25+BX26-CG25,IF(A26&lt;'Données projet'!$A$114,$BV$205^A26,IF(A26='Données projet'!$A$114,'Données projet'!$B$114,BY25+BX26-CG25)))</f>
        <v>147.5</v>
      </c>
      <c r="BZ26" s="13">
        <f>BY26*VLOOKUP('Données projet'!$B$12,Paramètres!$A$1:$I$89,3,0)*VLOOKUP('Données projet'!$B$12,Paramètres!$A$1:$I$89,5,0)</f>
        <v>92.04</v>
      </c>
      <c r="CA26" s="13">
        <f t="shared" si="39"/>
        <v>25.056580235859606</v>
      </c>
      <c r="CB26" s="20">
        <f t="shared" si="10"/>
        <v>203.94321057745549</v>
      </c>
      <c r="CC26" s="59">
        <f t="shared" si="11"/>
        <v>497.2765439107888</v>
      </c>
      <c r="CD26" s="59">
        <f ca="1">AVERAGE(OFFSET($CC$3,0,0,'Données projet'!$E$12+1,1))-AVERAGE(OFFSET($H$3,0,0,'Données projet'!$E$12+1,1))</f>
        <v>255.41017495879987</v>
      </c>
      <c r="CE26" s="59">
        <f t="shared" si="40"/>
        <v>297.50513563712764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13.656785668994166</v>
      </c>
      <c r="CM26" s="21">
        <f>EXP(-LN(2)/2)*CM25+(1-EXP(-LN(2)/2))/(LN(2)/2)*CG26*CJ26*VLOOKUP('Données projet'!$B$12,Paramètres!$A$1:$I$89,3,0)*0.475*44/12</f>
        <v>7.4937015078998792</v>
      </c>
      <c r="CN26" s="22">
        <f t="shared" si="12"/>
        <v>21.150487176894046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10.190109890109893</v>
      </c>
      <c r="CT26" s="12">
        <f>IF('Données projet'!$A$140&gt;35,CT25+CS26-DB25,IF(A26&lt;'Données projet'!$A$140,$CQ$205^A26,IF(A26='Données projet'!$A$140,'Données projet'!$B$140,CT25+CS26-DB25)))</f>
        <v>88.71318681318678</v>
      </c>
      <c r="CU26" s="17">
        <f>CT26*VLOOKUP('Données projet'!$B$13,Paramètres!$A$1:$I$89,3,0)*VLOOKUP('Données projet'!$B$13,Paramètres!$A$1:$I$89,5,0)</f>
        <v>50.743942857142841</v>
      </c>
      <c r="CV26" s="13">
        <f t="shared" si="41"/>
        <v>14.805720692645821</v>
      </c>
      <c r="CW26" s="20">
        <f t="shared" si="13"/>
        <v>114.16566401588192</v>
      </c>
      <c r="CX26" s="59">
        <f t="shared" si="14"/>
        <v>407.49899734921524</v>
      </c>
      <c r="CY26" s="59">
        <f ca="1">AVERAGE(OFFSET($CX$3,0,0,'Données projet'!$E$13+1,1))-AVERAGE(OFFSET($H$3,0,0,'Données projet'!$E$13+1,1))</f>
        <v>134.70214882504786</v>
      </c>
      <c r="CZ26" s="59">
        <f t="shared" si="42"/>
        <v>102.18553029667771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9.4981452149696644</v>
      </c>
      <c r="DH26" s="21">
        <f>EXP(-LN(2)/2)*DH25+(1-EXP(-LN(2)/2))/(LN(2)/2)*DB26*DE26*VLOOKUP('Données projet'!$B$13,Paramètres!$A$1:$I$89,3,0)*0.475*44/12</f>
        <v>13.148403831649542</v>
      </c>
      <c r="DI26" s="22">
        <f t="shared" si="15"/>
        <v>22.646549046619207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12.695384615384615</v>
      </c>
      <c r="DO26" s="12">
        <f>IF('Données projet'!$A$166&gt;35,DO25+DN26-DW25,IF(A26&lt;'Données projet'!$A$166,$DL$205^A26,IF(A26='Données projet'!$A$166,'Données projet'!$B$166,DO25+DN26-DW25)))</f>
        <v>89.933846153846162</v>
      </c>
      <c r="DP26" s="17">
        <f>DO26*VLOOKUP('Données projet'!$B$14,Paramètres!$A$1:$I$89,3,0)*VLOOKUP('Données projet'!$B$14,Paramètres!$A$1:$I$89,5,0)</f>
        <v>53.780440000000013</v>
      </c>
      <c r="DQ26" s="13">
        <f t="shared" si="43"/>
        <v>15.5858948320701</v>
      </c>
      <c r="DR26" s="20">
        <f t="shared" si="16"/>
        <v>120.81303316585546</v>
      </c>
      <c r="DS26" s="59">
        <f t="shared" si="17"/>
        <v>414.14636649918879</v>
      </c>
      <c r="DT26" s="59">
        <f ca="1">AVERAGE(OFFSET($DS$3,0,0,'Données projet'!$E$14+1,1))-AVERAGE(OFFSET($H$3,0,0,'Données projet'!$E$14+1,1))</f>
        <v>179.32848817523677</v>
      </c>
      <c r="DU26" s="59">
        <f t="shared" si="44"/>
        <v>131.3292389103035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9.1211226937714223</v>
      </c>
      <c r="EC26" s="21">
        <f>EXP(-LN(2)/2)*EC25+(1-EXP(-LN(2)/2))/(LN(2)/2)*DW26*DZ26*VLOOKUP('Données projet'!$B$14,Paramètres!$A$1:$I$89,3,0)*0.475*44/12</f>
        <v>12.626486736243564</v>
      </c>
      <c r="ED26" s="22">
        <f t="shared" si="18"/>
        <v>21.747609430014986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20.658974358974358</v>
      </c>
      <c r="EJ26" s="12">
        <f>IF('Données projet'!$A$192&gt;35,EJ25+EI26-ER25,IF(A26&lt;'Données projet'!$A$192,$EG$205^A26,IF(A26='Données projet'!$A$192,'Données projet'!$B$192,EJ25+EI26-ER25)))</f>
        <v>216.90256410256404</v>
      </c>
      <c r="EK26" s="17">
        <f>EJ26*VLOOKUP('Données projet'!$B$15,Paramètres!$A$1:$I$89,3,0)*VLOOKUP('Données projet'!$B$15,Paramètres!$A$1:$I$89,5,0)</f>
        <v>95.870933333333312</v>
      </c>
      <c r="EL26" s="13">
        <f t="shared" si="45"/>
        <v>25.975903285965739</v>
      </c>
      <c r="EM26" s="20">
        <f t="shared" si="19"/>
        <v>212.21657377861251</v>
      </c>
      <c r="EN26" s="59">
        <f t="shared" si="20"/>
        <v>505.5499071119458</v>
      </c>
      <c r="EO26" s="59">
        <f ca="1">AVERAGE(OFFSET($EN$3,0,0,'Données projet'!$E$15+1,1))-AVERAGE(OFFSET($H$3,0,0,'Données projet'!$E$15+1,1))</f>
        <v>191.932060106699</v>
      </c>
      <c r="EP26" s="59">
        <f t="shared" si="46"/>
        <v>260.28593152736903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9.6872559111726471</v>
      </c>
      <c r="EX26" s="21">
        <f>EXP(-LN(2)/2)*EX25+(1-EXP(-LN(2)/2))/(LN(2)/2)*ER26*EU26*VLOOKUP('Données projet'!$B$15,Paramètres!$A$1:$I$89,3,0)*0.475*44/12</f>
        <v>3.0647117553101539</v>
      </c>
      <c r="EY26" s="22">
        <f t="shared" si="21"/>
        <v>12.751967666482802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3.3</v>
      </c>
      <c r="FE26" s="12">
        <f>IF('Données projet'!$A$218&gt;35,FE25+FD26-FM25,IF(A26&lt;'Données projet'!$A$218,$FB$205^A26,IF(A26='Données projet'!$A$218,'Données projet'!$B$218,FE25+FD26-FM25)))</f>
        <v>30.900000000000002</v>
      </c>
      <c r="FF26" s="17">
        <f>FE26*VLOOKUP('Données projet'!$B$16,Paramètres!$A$1:$I$89,3,0)*VLOOKUP('Données projet'!$B$16,Paramètres!$A$1:$I$89,5,0)</f>
        <v>29.886480000000002</v>
      </c>
      <c r="FG26" s="13">
        <f t="shared" si="47"/>
        <v>9.2743091639722053</v>
      </c>
      <c r="FH26" s="20">
        <f t="shared" si="22"/>
        <v>68.20504112725159</v>
      </c>
      <c r="FI26" s="59">
        <f t="shared" si="23"/>
        <v>361.53837446058492</v>
      </c>
      <c r="FJ26" s="59">
        <f ca="1">AVERAGE(OFFSET($FI$3,0,0,'Données projet'!$E$16+1,1))-AVERAGE(OFFSET($H$3,0,0,'Données projet'!$E$16+1,1))</f>
        <v>102.86738524979938</v>
      </c>
      <c r="FK26" s="59">
        <f t="shared" si="48"/>
        <v>56.347130462109817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7.9</v>
      </c>
      <c r="FZ26" s="12">
        <f>IF('Données projet'!$A$244&gt;35,FZ25+FY26-GH25,IF(A26&lt;'Données projet'!$A$244,$FW$205^A26,IF(A26='Données projet'!$A$244,'Données projet'!$B$244,FZ25+FY26-GH25)))</f>
        <v>76.700000000000017</v>
      </c>
      <c r="GA26" s="17">
        <f>FZ26*VLOOKUP('Données projet'!$B$17,Paramètres!$A$1:$I$89,3,0)*VLOOKUP('Données projet'!$B$17,Paramètres!$A$1:$I$89,5,0)</f>
        <v>51.450360000000018</v>
      </c>
      <c r="GB26" s="13">
        <f t="shared" si="49"/>
        <v>14.987695838735053</v>
      </c>
      <c r="GC26" s="20">
        <f t="shared" si="25"/>
        <v>115.71294725246356</v>
      </c>
      <c r="GD26" s="59">
        <f t="shared" si="26"/>
        <v>409.04628058579686</v>
      </c>
      <c r="GE26" s="59">
        <f ca="1">AVERAGE(OFFSET($GD$3,0,0,'Données projet'!$E$17+1,1))-AVERAGE(OFFSET($H$3,0,0,'Données projet'!$E$17+1,1))</f>
        <v>168.00454652899231</v>
      </c>
      <c r="GF26" s="59">
        <f t="shared" si="50"/>
        <v>135.31958994080446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0</v>
      </c>
      <c r="GN26" s="21">
        <f>EXP(-LN(2)/2)*GN25+(1-EXP(-LN(2)/2))/(LN(2)/2)*GH26*GK26*VLOOKUP('Données projet'!$B$17,Paramètres!$A$1:$I$89,3,0)*0.475*44/12</f>
        <v>0</v>
      </c>
      <c r="GO26" s="21">
        <f t="shared" si="27"/>
        <v>0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4.0628205128205126</v>
      </c>
      <c r="N27" s="13">
        <f>IF('Données projet'!$A$36&gt;35,N26+M27-V26,IF(A27&lt;'Données projet'!$A$36,$K$205^A27,IF(A27='Données projet'!$A$36,'Données projet'!$B$36,N26+M27-V26)))</f>
        <v>46.640061345320483</v>
      </c>
      <c r="O27" s="13">
        <f>N27*VLOOKUP('Données projet'!$B$9,Paramètres!$A$1:$I$89,3,0)*VLOOKUP('Données projet'!$B$9,Paramètres!$A$1:$I$89,5,0)</f>
        <v>42.199927505245967</v>
      </c>
      <c r="P27" s="13">
        <f t="shared" si="33"/>
        <v>12.579908645827834</v>
      </c>
      <c r="Q27" s="20">
        <f t="shared" si="2"/>
        <v>95.408214629786869</v>
      </c>
      <c r="R27" s="59">
        <f t="shared" si="0"/>
        <v>388.74154796312018</v>
      </c>
      <c r="S27" s="59">
        <f ca="1">AVERAGE(OFFSET($R$3,0,0,'Données projet'!$E$9+1,1))-AVERAGE(OFFSET($H$3,0,0,'Données projet'!$E$9+1,1))</f>
        <v>221.7429870520005</v>
      </c>
      <c r="T27" s="59">
        <f t="shared" si="34"/>
        <v>182.2029938397186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2.9235042735042733</v>
      </c>
      <c r="AI27" s="13">
        <f>IF('Données projet'!$A$62&gt;35,AI26+AH27-AQ26,IF(A27&lt;'Données projet'!$A$62,$AF$205^A27,IF(A27='Données projet'!$A$62,'Données projet'!$B$62,AI26+AH27-AQ26)))</f>
        <v>35.844290647096855</v>
      </c>
      <c r="AJ27" s="13">
        <f>AI27*VLOOKUP('Données projet'!$B$10,Paramètres!$A$1:$I$89,3,0)*VLOOKUP('Données projet'!$B$10,Paramètres!$A$1:$I$89,5,0)</f>
        <v>32.431914177493233</v>
      </c>
      <c r="AK27" s="13">
        <f t="shared" si="35"/>
        <v>9.9689045653817558</v>
      </c>
      <c r="AL27" s="20">
        <f t="shared" si="4"/>
        <v>73.848092643840616</v>
      </c>
      <c r="AM27" s="59">
        <f t="shared" si="5"/>
        <v>367.18142597717394</v>
      </c>
      <c r="AN27" s="59">
        <f ca="1">AVERAGE(OFFSET($AM$3,0,0,'Données projet'!$E$10+1,1))-AVERAGE(OFFSET($H$3,0,0,'Données projet'!$E$10+1,1))</f>
        <v>153.45079678708987</v>
      </c>
      <c r="AO27" s="59">
        <f t="shared" si="36"/>
        <v>115.4217868409637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7.2264102564102561</v>
      </c>
      <c r="BD27" s="12">
        <f>IF('Données projet'!$A$88&gt;35,BD26+BC27-BL26,IF(A27&lt;'Données projet'!$A$88,$BA$205^A27,IF(A27='Données projet'!$A$88,'Données projet'!$B$88,BD26+BC27-BL26)))</f>
        <v>73.932449391789717</v>
      </c>
      <c r="BE27" s="13">
        <f>BD27*VLOOKUP('Données projet'!$B$11,Paramètres!$A$1:$I$89,3,0)*VLOOKUP('Données projet'!$B$11,Paramètres!$A$1:$I$89,5,0)</f>
        <v>34.600386315357589</v>
      </c>
      <c r="BF27" s="13">
        <f t="shared" si="37"/>
        <v>10.555625905490055</v>
      </c>
      <c r="BG27" s="20">
        <f t="shared" si="7"/>
        <v>78.646721284642979</v>
      </c>
      <c r="BH27" s="59">
        <f t="shared" si="8"/>
        <v>371.98005461797629</v>
      </c>
      <c r="BI27" s="59">
        <f ca="1">AVERAGE(OFFSET($BH$3,0,0,'Données projet'!$E$11+1,1))-AVERAGE(OFFSET($H$3,0,0,'Données projet'!$E$11+1,1))</f>
        <v>158.58786357608489</v>
      </c>
      <c r="BJ27" s="59">
        <f t="shared" si="38"/>
        <v>163.20074068819849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16.5</v>
      </c>
      <c r="BY27" s="12">
        <f>IF('Données projet'!$A$114&gt;35,BY26+BX27-CG26,IF(A27&lt;'Données projet'!$A$114,$BV$205^A27,IF(A27='Données projet'!$A$114,'Données projet'!$B$114,BY26+BX27-CG26)))</f>
        <v>164</v>
      </c>
      <c r="BZ27" s="13">
        <f>BY27*VLOOKUP('Données projet'!$B$12,Paramètres!$A$1:$I$89,3,0)*VLOOKUP('Données projet'!$B$12,Paramètres!$A$1:$I$89,5,0)</f>
        <v>102.336</v>
      </c>
      <c r="CA27" s="13">
        <f t="shared" si="39"/>
        <v>27.517767215282735</v>
      </c>
      <c r="CB27" s="20">
        <f t="shared" si="10"/>
        <v>226.16197789995076</v>
      </c>
      <c r="CC27" s="59">
        <f t="shared" si="11"/>
        <v>519.49531123328404</v>
      </c>
      <c r="CD27" s="59">
        <f ca="1">AVERAGE(OFFSET($CC$3,0,0,'Données projet'!$E$12+1,1))-AVERAGE(OFFSET($H$3,0,0,'Données projet'!$E$12+1,1))</f>
        <v>255.41017495879987</v>
      </c>
      <c r="CE27" s="59">
        <f t="shared" si="40"/>
        <v>297.50513563712764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13.283340146696375</v>
      </c>
      <c r="CM27" s="21">
        <f>EXP(-LN(2)/2)*CM26+(1-EXP(-LN(2)/2))/(LN(2)/2)*CG27*CJ27*VLOOKUP('Données projet'!$B$12,Paramètres!$A$1:$I$89,3,0)*0.475*44/12</f>
        <v>5.2988471524238614</v>
      </c>
      <c r="CN27" s="22">
        <f t="shared" si="12"/>
        <v>18.582187299120235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10.190109890109893</v>
      </c>
      <c r="CT27" s="12">
        <f>IF('Données projet'!$A$140&gt;35,CT26+CS27-DB26,IF(A27&lt;'Données projet'!$A$140,$CQ$205^A27,IF(A27='Données projet'!$A$140,'Données projet'!$B$140,CT26+CS27-DB26)))</f>
        <v>98.903296703296675</v>
      </c>
      <c r="CU27" s="17">
        <f>CT27*VLOOKUP('Données projet'!$B$13,Paramètres!$A$1:$I$89,3,0)*VLOOKUP('Données projet'!$B$13,Paramètres!$A$1:$I$89,5,0)</f>
        <v>56.572685714285697</v>
      </c>
      <c r="CV27" s="13">
        <f t="shared" si="41"/>
        <v>16.298792489935416</v>
      </c>
      <c r="CW27" s="20">
        <f t="shared" si="13"/>
        <v>126.91782453901844</v>
      </c>
      <c r="CX27" s="59">
        <f t="shared" si="14"/>
        <v>420.25115787235177</v>
      </c>
      <c r="CY27" s="59">
        <f ca="1">AVERAGE(OFFSET($CX$3,0,0,'Données projet'!$E$13+1,1))-AVERAGE(OFFSET($H$3,0,0,'Données projet'!$E$13+1,1))</f>
        <v>134.70214882504786</v>
      </c>
      <c r="CZ27" s="59">
        <f t="shared" si="42"/>
        <v>102.18553029667771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9.2384179345805695</v>
      </c>
      <c r="DH27" s="21">
        <f>EXP(-LN(2)/2)*DH26+(1-EXP(-LN(2)/2))/(LN(2)/2)*DB27*DE27*VLOOKUP('Données projet'!$B$13,Paramètres!$A$1:$I$89,3,0)*0.475*44/12</f>
        <v>9.2973255111385757</v>
      </c>
      <c r="DI27" s="22">
        <f t="shared" si="15"/>
        <v>18.535743445719145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12.695384615384615</v>
      </c>
      <c r="DO27" s="12">
        <f>IF('Données projet'!$A$166&gt;35,DO26+DN27-DW26,IF(A27&lt;'Données projet'!$A$166,$DL$205^A27,IF(A27='Données projet'!$A$166,'Données projet'!$B$166,DO26+DN27-DW26)))</f>
        <v>102.62923076923077</v>
      </c>
      <c r="DP27" s="17">
        <f>DO27*VLOOKUP('Données projet'!$B$14,Paramètres!$A$1:$I$89,3,0)*VLOOKUP('Données projet'!$B$14,Paramètres!$A$1:$I$89,5,0)</f>
        <v>61.372280000000011</v>
      </c>
      <c r="DQ27" s="13">
        <f t="shared" si="43"/>
        <v>17.514766499235456</v>
      </c>
      <c r="DR27" s="20">
        <f t="shared" si="16"/>
        <v>137.39493931950179</v>
      </c>
      <c r="DS27" s="59">
        <f t="shared" si="17"/>
        <v>430.72827265283513</v>
      </c>
      <c r="DT27" s="59">
        <f ca="1">AVERAGE(OFFSET($DS$3,0,0,'Données projet'!$E$14+1,1))-AVERAGE(OFFSET($H$3,0,0,'Données projet'!$E$14+1,1))</f>
        <v>179.32848817523677</v>
      </c>
      <c r="DU27" s="59">
        <f t="shared" si="44"/>
        <v>131.3292389103035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8.8717051140512471</v>
      </c>
      <c r="EC27" s="21">
        <f>EXP(-LN(2)/2)*EC26+(1-EXP(-LN(2)/2))/(LN(2)/2)*DW27*DZ27*VLOOKUP('Données projet'!$B$14,Paramètres!$A$1:$I$89,3,0)*0.475*44/12</f>
        <v>8.928274393759823</v>
      </c>
      <c r="ED27" s="22">
        <f t="shared" si="18"/>
        <v>17.79997950781107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>
        <f>VLOOKUP(A27,'Données projet'!$A$191:$I$211,2,0)</f>
        <v>237.56153846153845</v>
      </c>
      <c r="EH27" s="12">
        <f>VLOOKUP(A27,'Données projet'!$A$191:$I$211,9,0)</f>
        <v>20.658974358974358</v>
      </c>
      <c r="EI27" s="12">
        <f t="array" ref="EI27">INDEX(EH:EH,MIN(IF(ISNUMBER(EH27:EH223),ROW(EH27:EH223),"")))</f>
        <v>20.658974358974358</v>
      </c>
      <c r="EJ27" s="12">
        <f>IF('Données projet'!$A$192&gt;35,EJ26+EI27-ER26,IF(A27&lt;'Données projet'!$A$192,$EG$205^A27,IF(A27='Données projet'!$A$192,'Données projet'!$B$192,EJ26+EI27-ER26)))</f>
        <v>237.56153846153839</v>
      </c>
      <c r="EK27" s="17">
        <f>EJ27*VLOOKUP('Données projet'!$B$15,Paramètres!$A$1:$I$89,3,0)*VLOOKUP('Données projet'!$B$15,Paramètres!$A$1:$I$89,5,0)</f>
        <v>105.00219999999997</v>
      </c>
      <c r="EL27" s="13">
        <f t="shared" si="45"/>
        <v>28.15029625619421</v>
      </c>
      <c r="EM27" s="20">
        <f t="shared" si="19"/>
        <v>231.90726431287155</v>
      </c>
      <c r="EN27" s="59">
        <f t="shared" si="20"/>
        <v>525.24059764620483</v>
      </c>
      <c r="EO27" s="59">
        <f ca="1">AVERAGE(OFFSET($EN$3,0,0,'Données projet'!$E$15+1,1))-AVERAGE(OFFSET($H$3,0,0,'Données projet'!$E$15+1,1))</f>
        <v>191.932060106699</v>
      </c>
      <c r="EP27" s="59">
        <f t="shared" si="46"/>
        <v>260.28593152736903</v>
      </c>
      <c r="EQ27" s="15">
        <f>IF(ISNA(VLOOKUP(A27,'Données projet'!$A$191:$I$211,3,0)),0,VLOOKUP(A27,'Données projet'!$A$191:$I$211,3,0))</f>
        <v>2</v>
      </c>
      <c r="ER27" s="15">
        <f>IF(ISNA(VLOOKUP(A27,'Données projet'!$A$191:$I$211,4,0)),0,VLOOKUP(A27,'Données projet'!$A$191:$I$211,4,0))</f>
        <v>42.661538461538463</v>
      </c>
      <c r="ES27" s="16">
        <f>IF(ISNA(VLOOKUP(A27,'Données projet'!$A$191:$I$211,5,0)),0%,VLOOKUP(A27,'Données projet'!$A$191:$I$211,5,0)*VLOOKUP('Données projet'!$B$15,Paramètres!$A$1:$I$89,7,0))</f>
        <v>0.11000000000000001</v>
      </c>
      <c r="ET27" s="16">
        <f>IF(ISNA(VLOOKUP(A27,'Données projet'!$A$191:$I$211,6,0)),0%,VLOOKUP(A27,'Données projet'!$A$191:$I$211,6,0)*VLOOKUP('Données projet'!$B$15,Paramètres!$A$1:$I$89,7,0))</f>
        <v>0.22000000000000003</v>
      </c>
      <c r="EU27" s="16">
        <f>IF(ISNA(VLOOKUP(A27,'Données projet'!$A$191:$I$211,7,0)),0%,VLOOKUP(A27,'Données projet'!$A$191:$I$211,7,0))</f>
        <v>0.4</v>
      </c>
      <c r="EV27" s="21">
        <f>EXP(-LN(2)/35)*EV26+(1-EXP(-LN(2)/35))/(LN(2)/35)*ER27*ES27*VLOOKUP('Données projet'!$B$15,Paramètres!$A$1:$I$89,3,0)*0.475*44/12</f>
        <v>2.7515652997305167</v>
      </c>
      <c r="EW27" s="21">
        <f>EXP(-LN(2)/25)*EW26+(1-EXP(-LN(2)/25))/(LN(2)/25)*Calculateur!ER27*Calculateur!ET27*VLOOKUP('Données projet'!$B$15,Paramètres!$A$1:$I$89,3,0)*0.475*44/12</f>
        <v>14.903820066284791</v>
      </c>
      <c r="EX27" s="21">
        <f>EXP(-LN(2)/2)*EX26+(1-EXP(-LN(2)/2))/(LN(2)/2)*ER27*EU27*VLOOKUP('Données projet'!$B$15,Paramètres!$A$1:$I$89,3,0)*0.475*44/12</f>
        <v>10.70700850259316</v>
      </c>
      <c r="EY27" s="22">
        <f t="shared" si="21"/>
        <v>28.362393868608464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3.3</v>
      </c>
      <c r="FE27" s="12">
        <f>IF('Données projet'!$A$218&gt;35,FE26+FD27-FM26,IF(A27&lt;'Données projet'!$A$218,$FB$205^A27,IF(A27='Données projet'!$A$218,'Données projet'!$B$218,FE26+FD27-FM26)))</f>
        <v>34.200000000000003</v>
      </c>
      <c r="FF27" s="17">
        <f>FE27*VLOOKUP('Données projet'!$B$16,Paramètres!$A$1:$I$89,3,0)*VLOOKUP('Données projet'!$B$16,Paramètres!$A$1:$I$89,5,0)</f>
        <v>33.078240000000001</v>
      </c>
      <c r="FG27" s="13">
        <f t="shared" si="47"/>
        <v>10.144244872597879</v>
      </c>
      <c r="FH27" s="20">
        <f t="shared" si="22"/>
        <v>75.279161153107964</v>
      </c>
      <c r="FI27" s="59">
        <f t="shared" si="23"/>
        <v>368.61249448644128</v>
      </c>
      <c r="FJ27" s="59">
        <f ca="1">AVERAGE(OFFSET($FI$3,0,0,'Données projet'!$E$16+1,1))-AVERAGE(OFFSET($H$3,0,0,'Données projet'!$E$16+1,1))</f>
        <v>102.86738524979938</v>
      </c>
      <c r="FK27" s="59">
        <f t="shared" si="48"/>
        <v>56.347130462109817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7.9</v>
      </c>
      <c r="FZ27" s="12">
        <f>IF('Données projet'!$A$244&gt;35,FZ26+FY27-GH26,IF(A27&lt;'Données projet'!$A$244,$FW$205^A27,IF(A27='Données projet'!$A$244,'Données projet'!$B$244,FZ26+FY27-GH26)))</f>
        <v>84.600000000000023</v>
      </c>
      <c r="GA27" s="17">
        <f>FZ27*VLOOKUP('Données projet'!$B$17,Paramètres!$A$1:$I$89,3,0)*VLOOKUP('Données projet'!$B$17,Paramètres!$A$1:$I$89,5,0)</f>
        <v>56.749680000000012</v>
      </c>
      <c r="GB27" s="13">
        <f t="shared" si="49"/>
        <v>16.343841431568325</v>
      </c>
      <c r="GC27" s="20">
        <f t="shared" si="25"/>
        <v>127.30454982664817</v>
      </c>
      <c r="GD27" s="59">
        <f t="shared" si="26"/>
        <v>420.63788315998147</v>
      </c>
      <c r="GE27" s="59">
        <f ca="1">AVERAGE(OFFSET($GD$3,0,0,'Données projet'!$E$17+1,1))-AVERAGE(OFFSET($H$3,0,0,'Données projet'!$E$17+1,1))</f>
        <v>168.00454652899231</v>
      </c>
      <c r="GF27" s="59">
        <f t="shared" si="50"/>
        <v>135.31958994080446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0</v>
      </c>
      <c r="GN27" s="21">
        <f>EXP(-LN(2)/2)*GN26+(1-EXP(-LN(2)/2))/(LN(2)/2)*GH27*GK27*VLOOKUP('Données projet'!$B$17,Paramètres!$A$1:$I$89,3,0)*0.475*44/12</f>
        <v>0</v>
      </c>
      <c r="GO27" s="21">
        <f t="shared" si="27"/>
        <v>0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4.0628205128205126</v>
      </c>
      <c r="N28" s="13">
        <f>IF('Données projet'!$A$36&gt;35,N27+M28-V27,IF(A28&lt;'Données projet'!$A$36,$K$205^A28,IF(A28='Données projet'!$A$36,'Données projet'!$B$36,N27+M28-V27)))</f>
        <v>54.738229068051083</v>
      </c>
      <c r="O28" s="13">
        <f>N28*VLOOKUP('Données projet'!$B$9,Paramètres!$A$1:$I$89,3,0)*VLOOKUP('Données projet'!$B$9,Paramètres!$A$1:$I$89,5,0)</f>
        <v>49.527149660772622</v>
      </c>
      <c r="P28" s="13">
        <f t="shared" si="33"/>
        <v>14.49157655143614</v>
      </c>
      <c r="Q28" s="20">
        <f t="shared" si="2"/>
        <v>111.49928148626357</v>
      </c>
      <c r="R28" s="59">
        <f t="shared" si="0"/>
        <v>404.83261481959687</v>
      </c>
      <c r="S28" s="59">
        <f ca="1">AVERAGE(OFFSET($R$3,0,0,'Données projet'!$E$9+1,1))-AVERAGE(OFFSET($H$3,0,0,'Données projet'!$E$9+1,1))</f>
        <v>221.7429870520005</v>
      </c>
      <c r="T28" s="59">
        <f t="shared" si="34"/>
        <v>182.2029938397186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2.9235042735042733</v>
      </c>
      <c r="AI28" s="13">
        <f>IF('Données projet'!$A$62&gt;35,AI27+AH28-AQ27,IF(A28&lt;'Données projet'!$A$62,$AF$205^A28,IF(A28='Données projet'!$A$62,'Données projet'!$B$62,AI27+AH28-AQ27)))</f>
        <v>41.609020251295185</v>
      </c>
      <c r="AJ28" s="13">
        <f>AI28*VLOOKUP('Données projet'!$B$10,Paramètres!$A$1:$I$89,3,0)*VLOOKUP('Données projet'!$B$10,Paramètres!$A$1:$I$89,5,0)</f>
        <v>37.647841523371881</v>
      </c>
      <c r="AK28" s="13">
        <f t="shared" si="35"/>
        <v>11.373025189850091</v>
      </c>
      <c r="AL28" s="20">
        <f t="shared" si="4"/>
        <v>85.37800952552827</v>
      </c>
      <c r="AM28" s="59">
        <f t="shared" si="5"/>
        <v>378.7113428588616</v>
      </c>
      <c r="AN28" s="59">
        <f ca="1">AVERAGE(OFFSET($AM$3,0,0,'Données projet'!$E$10+1,1))-AVERAGE(OFFSET($H$3,0,0,'Données projet'!$E$10+1,1))</f>
        <v>153.45079678708987</v>
      </c>
      <c r="AO28" s="59">
        <f t="shared" si="36"/>
        <v>115.4217868409637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7.2264102564102561</v>
      </c>
      <c r="BD28" s="12">
        <f>IF('Données projet'!$A$88&gt;35,BD27+BC28-BL27,IF(A28&lt;'Données projet'!$A$88,$BA$205^A28,IF(A28='Données projet'!$A$88,'Données projet'!$B$88,BD27+BC28-BL27)))</f>
        <v>88.451097014195071</v>
      </c>
      <c r="BE28" s="13">
        <f>BD28*VLOOKUP('Données projet'!$B$11,Paramètres!$A$1:$I$89,3,0)*VLOOKUP('Données projet'!$B$11,Paramètres!$A$1:$I$89,5,0)</f>
        <v>41.39511340264329</v>
      </c>
      <c r="BF28" s="13">
        <f t="shared" si="37"/>
        <v>12.367680831528276</v>
      </c>
      <c r="BG28" s="20">
        <f t="shared" si="7"/>
        <v>93.636866624515463</v>
      </c>
      <c r="BH28" s="59">
        <f t="shared" si="8"/>
        <v>386.97019995784876</v>
      </c>
      <c r="BI28" s="59">
        <f ca="1">AVERAGE(OFFSET($BH$3,0,0,'Données projet'!$E$11+1,1))-AVERAGE(OFFSET($H$3,0,0,'Données projet'!$E$11+1,1))</f>
        <v>158.58786357608489</v>
      </c>
      <c r="BJ28" s="59">
        <f t="shared" si="38"/>
        <v>163.20074068819849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16.5</v>
      </c>
      <c r="BY28" s="12">
        <f>IF('Données projet'!$A$114&gt;35,BY27+BX28-CG27,IF(A28&lt;'Données projet'!$A$114,$BV$205^A28,IF(A28='Données projet'!$A$114,'Données projet'!$B$114,BY27+BX28-CG27)))</f>
        <v>180.5</v>
      </c>
      <c r="BZ28" s="13">
        <f>BY28*VLOOKUP('Données projet'!$B$12,Paramètres!$A$1:$I$89,3,0)*VLOOKUP('Données projet'!$B$12,Paramètres!$A$1:$I$89,5,0)</f>
        <v>112.63200000000001</v>
      </c>
      <c r="CA28" s="13">
        <f t="shared" si="39"/>
        <v>29.950248336286034</v>
      </c>
      <c r="CB28" s="20">
        <f t="shared" si="10"/>
        <v>248.33074918569818</v>
      </c>
      <c r="CC28" s="59">
        <f t="shared" si="11"/>
        <v>541.66408251903147</v>
      </c>
      <c r="CD28" s="59">
        <f ca="1">AVERAGE(OFFSET($CC$3,0,0,'Données projet'!$E$12+1,1))-AVERAGE(OFFSET($H$3,0,0,'Données projet'!$E$12+1,1))</f>
        <v>255.41017495879987</v>
      </c>
      <c r="CE28" s="59">
        <f t="shared" si="40"/>
        <v>297.50513563712764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12.920106511844464</v>
      </c>
      <c r="CM28" s="21">
        <f>EXP(-LN(2)/2)*CM27+(1-EXP(-LN(2)/2))/(LN(2)/2)*CG28*CJ28*VLOOKUP('Données projet'!$B$12,Paramètres!$A$1:$I$89,3,0)*0.475*44/12</f>
        <v>3.74685075394994</v>
      </c>
      <c r="CN28" s="22">
        <f t="shared" si="12"/>
        <v>16.666957265794405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10.190109890109893</v>
      </c>
      <c r="CT28" s="12">
        <f>IF('Données projet'!$A$140&gt;35,CT27+CS28-DB27,IF(A28&lt;'Données projet'!$A$140,$CQ$205^A28,IF(A28='Données projet'!$A$140,'Données projet'!$B$140,CT27+CS28-DB27)))</f>
        <v>109.09340659340657</v>
      </c>
      <c r="CU28" s="17">
        <f>CT28*VLOOKUP('Données projet'!$B$13,Paramètres!$A$1:$I$89,3,0)*VLOOKUP('Données projet'!$B$13,Paramètres!$A$1:$I$89,5,0)</f>
        <v>62.401428571428561</v>
      </c>
      <c r="CV28" s="13">
        <f t="shared" si="41"/>
        <v>17.774031828136089</v>
      </c>
      <c r="CW28" s="20">
        <f t="shared" si="13"/>
        <v>139.63892686257512</v>
      </c>
      <c r="CX28" s="59">
        <f t="shared" si="14"/>
        <v>432.97226019590846</v>
      </c>
      <c r="CY28" s="59">
        <f ca="1">AVERAGE(OFFSET($CX$3,0,0,'Données projet'!$E$13+1,1))-AVERAGE(OFFSET($H$3,0,0,'Données projet'!$E$13+1,1))</f>
        <v>134.70214882504786</v>
      </c>
      <c r="CZ28" s="59">
        <f t="shared" si="42"/>
        <v>102.18553029667771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8.9857929103321794</v>
      </c>
      <c r="DH28" s="21">
        <f>EXP(-LN(2)/2)*DH27+(1-EXP(-LN(2)/2))/(LN(2)/2)*DB28*DE28*VLOOKUP('Données projet'!$B$13,Paramètres!$A$1:$I$89,3,0)*0.475*44/12</f>
        <v>6.5742019158247711</v>
      </c>
      <c r="DI28" s="22">
        <f t="shared" si="15"/>
        <v>15.559994826156951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12.695384615384615</v>
      </c>
      <c r="DO28" s="12">
        <f>IF('Données projet'!$A$166&gt;35,DO27+DN28-DW27,IF(A28&lt;'Données projet'!$A$166,$DL$205^A28,IF(A28='Données projet'!$A$166,'Données projet'!$B$166,DO27+DN28-DW27)))</f>
        <v>115.32461538461538</v>
      </c>
      <c r="DP28" s="17">
        <f>DO28*VLOOKUP('Données projet'!$B$14,Paramètres!$A$1:$I$89,3,0)*VLOOKUP('Données projet'!$B$14,Paramètres!$A$1:$I$89,5,0)</f>
        <v>68.964120000000008</v>
      </c>
      <c r="DQ28" s="13">
        <f t="shared" si="43"/>
        <v>19.415989273317052</v>
      </c>
      <c r="DR28" s="20">
        <f t="shared" si="16"/>
        <v>153.92869031769388</v>
      </c>
      <c r="DS28" s="59">
        <f t="shared" si="17"/>
        <v>447.26202365102722</v>
      </c>
      <c r="DT28" s="59">
        <f ca="1">AVERAGE(OFFSET($DS$3,0,0,'Données projet'!$E$14+1,1))-AVERAGE(OFFSET($H$3,0,0,'Données projet'!$E$14+1,1))</f>
        <v>179.32848817523677</v>
      </c>
      <c r="DU28" s="59">
        <f t="shared" si="44"/>
        <v>131.3292389103035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8.6291078711648197</v>
      </c>
      <c r="EC28" s="21">
        <f>EXP(-LN(2)/2)*EC27+(1-EXP(-LN(2)/2))/(LN(2)/2)*DW28*DZ28*VLOOKUP('Données projet'!$B$14,Paramètres!$A$1:$I$89,3,0)*0.475*44/12</f>
        <v>6.3132433681217828</v>
      </c>
      <c r="ED28" s="22">
        <f t="shared" si="18"/>
        <v>14.942351239286602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22.828205128205127</v>
      </c>
      <c r="EJ28" s="12">
        <f>IF('Données projet'!$A$192&gt;35,EJ27+EI28-ER27,IF(A28&lt;'Données projet'!$A$192,$EG$205^A28,IF(A28='Données projet'!$A$192,'Données projet'!$B$192,EJ27+EI28-ER27)))</f>
        <v>217.72820512820502</v>
      </c>
      <c r="EK28" s="17">
        <f>EJ28*VLOOKUP('Données projet'!$B$15,Paramètres!$A$1:$I$89,3,0)*VLOOKUP('Données projet'!$B$15,Paramètres!$A$1:$I$89,5,0)</f>
        <v>96.235866666666638</v>
      </c>
      <c r="EL28" s="13">
        <f t="shared" si="45"/>
        <v>26.063252068634284</v>
      </c>
      <c r="EM28" s="20">
        <f t="shared" si="19"/>
        <v>213.00429846398242</v>
      </c>
      <c r="EN28" s="59">
        <f t="shared" si="20"/>
        <v>506.33763179731574</v>
      </c>
      <c r="EO28" s="59">
        <f ca="1">AVERAGE(OFFSET($EN$3,0,0,'Données projet'!$E$15+1,1))-AVERAGE(OFFSET($H$3,0,0,'Données projet'!$E$15+1,1))</f>
        <v>191.932060106699</v>
      </c>
      <c r="EP28" s="59">
        <f t="shared" si="46"/>
        <v>260.28593152736903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2.6976087824919168</v>
      </c>
      <c r="EW28" s="21">
        <f>EXP(-LN(2)/25)*EW27+(1-EXP(-LN(2)/25))/(LN(2)/25)*Calculateur!ER28*Calculateur!ET28*VLOOKUP('Données projet'!$B$15,Paramètres!$A$1:$I$89,3,0)*0.475*44/12</f>
        <v>14.496274322814399</v>
      </c>
      <c r="EX28" s="21">
        <f>EXP(-LN(2)/2)*EX27+(1-EXP(-LN(2)/2))/(LN(2)/2)*ER28*EU28*VLOOKUP('Données projet'!$B$15,Paramètres!$A$1:$I$89,3,0)*0.475*44/12</f>
        <v>7.5709983184056462</v>
      </c>
      <c r="EY28" s="22">
        <f t="shared" si="21"/>
        <v>24.764881423711962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3.3</v>
      </c>
      <c r="FE28" s="12">
        <f>IF('Données projet'!$A$218&gt;35,FE27+FD28-FM27,IF(A28&lt;'Données projet'!$A$218,$FB$205^A28,IF(A28='Données projet'!$A$218,'Données projet'!$B$218,FE27+FD28-FM27)))</f>
        <v>37.5</v>
      </c>
      <c r="FF28" s="17">
        <f>FE28*VLOOKUP('Données projet'!$B$16,Paramètres!$A$1:$I$89,3,0)*VLOOKUP('Données projet'!$B$16,Paramètres!$A$1:$I$89,5,0)</f>
        <v>36.270000000000003</v>
      </c>
      <c r="FG28" s="13">
        <f t="shared" si="47"/>
        <v>11.004448568154203</v>
      </c>
      <c r="FH28" s="20">
        <f t="shared" si="22"/>
        <v>82.336331256201902</v>
      </c>
      <c r="FI28" s="59">
        <f t="shared" si="23"/>
        <v>375.66966458953522</v>
      </c>
      <c r="FJ28" s="59">
        <f ca="1">AVERAGE(OFFSET($FI$3,0,0,'Données projet'!$E$16+1,1))-AVERAGE(OFFSET($H$3,0,0,'Données projet'!$E$16+1,1))</f>
        <v>102.86738524979938</v>
      </c>
      <c r="FK28" s="59">
        <f t="shared" si="48"/>
        <v>56.347130462109817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7.9</v>
      </c>
      <c r="FZ28" s="12">
        <f>IF('Données projet'!$A$244&gt;35,FZ27+FY28-GH27,IF(A28&lt;'Données projet'!$A$244,$FW$205^A28,IF(A28='Données projet'!$A$244,'Données projet'!$B$244,FZ27+FY28-GH27)))</f>
        <v>92.500000000000028</v>
      </c>
      <c r="GA28" s="17">
        <f>FZ28*VLOOKUP('Données projet'!$B$17,Paramètres!$A$1:$I$89,3,0)*VLOOKUP('Données projet'!$B$17,Paramètres!$A$1:$I$89,5,0)</f>
        <v>62.049000000000021</v>
      </c>
      <c r="GB28" s="13">
        <f t="shared" si="49"/>
        <v>17.685303710532473</v>
      </c>
      <c r="GC28" s="20">
        <f t="shared" si="25"/>
        <v>138.87057896251073</v>
      </c>
      <c r="GD28" s="59">
        <f t="shared" si="26"/>
        <v>432.20391229584402</v>
      </c>
      <c r="GE28" s="59">
        <f ca="1">AVERAGE(OFFSET($GD$3,0,0,'Données projet'!$E$17+1,1))-AVERAGE(OFFSET($H$3,0,0,'Données projet'!$E$17+1,1))</f>
        <v>168.00454652899231</v>
      </c>
      <c r="GF28" s="59">
        <f t="shared" si="50"/>
        <v>135.31958994080446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0</v>
      </c>
      <c r="GN28" s="21">
        <f>EXP(-LN(2)/2)*GN27+(1-EXP(-LN(2)/2))/(LN(2)/2)*GH28*GK28*VLOOKUP('Données projet'!$B$17,Paramètres!$A$1:$I$89,3,0)*0.475*44/12</f>
        <v>0</v>
      </c>
      <c r="GO28" s="21">
        <f t="shared" si="27"/>
        <v>0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4.0628205128205126</v>
      </c>
      <c r="N29" s="13">
        <f>IF('Données projet'!$A$36&gt;35,N28+M29-V28,IF(A29&lt;'Données projet'!$A$36,$K$205^A29,IF(A29='Données projet'!$A$36,'Données projet'!$B$36,N28+M29-V28)))</f>
        <v>64.242491006222849</v>
      </c>
      <c r="O29" s="13">
        <f>N29*VLOOKUP('Données projet'!$B$9,Paramètres!$A$1:$I$89,3,0)*VLOOKUP('Données projet'!$B$9,Paramètres!$A$1:$I$89,5,0)</f>
        <v>58.126605862430431</v>
      </c>
      <c r="P29" s="13">
        <f t="shared" si="33"/>
        <v>16.69374530917462</v>
      </c>
      <c r="Q29" s="20">
        <f t="shared" si="2"/>
        <v>130.31211162387879</v>
      </c>
      <c r="R29" s="59">
        <f t="shared" si="0"/>
        <v>423.64544495721213</v>
      </c>
      <c r="S29" s="59">
        <f ca="1">AVERAGE(OFFSET($R$3,0,0,'Données projet'!$E$9+1,1))-AVERAGE(OFFSET($H$3,0,0,'Données projet'!$E$9+1,1))</f>
        <v>221.7429870520005</v>
      </c>
      <c r="T29" s="59">
        <f t="shared" si="34"/>
        <v>182.2029938397186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2.9235042735042733</v>
      </c>
      <c r="AI29" s="13">
        <f>IF('Données projet'!$A$62&gt;35,AI28+AH29-AQ28,IF(A29&lt;'Données projet'!$A$62,$AF$205^A29,IF(A29='Données projet'!$A$62,'Données projet'!$B$62,AI28+AH29-AQ28)))</f>
        <v>48.30087400300993</v>
      </c>
      <c r="AJ29" s="13">
        <f>AI29*VLOOKUP('Données projet'!$B$10,Paramètres!$A$1:$I$89,3,0)*VLOOKUP('Données projet'!$B$10,Paramètres!$A$1:$I$89,5,0)</f>
        <v>43.702630797923383</v>
      </c>
      <c r="AK29" s="13">
        <f t="shared" si="35"/>
        <v>12.974916262929579</v>
      </c>
      <c r="AL29" s="20">
        <f t="shared" si="4"/>
        <v>98.71339446431891</v>
      </c>
      <c r="AM29" s="59">
        <f t="shared" si="5"/>
        <v>392.04672779765224</v>
      </c>
      <c r="AN29" s="59">
        <f ca="1">AVERAGE(OFFSET($AM$3,0,0,'Données projet'!$E$10+1,1))-AVERAGE(OFFSET($H$3,0,0,'Données projet'!$E$10+1,1))</f>
        <v>153.45079678708987</v>
      </c>
      <c r="AO29" s="59">
        <f t="shared" si="36"/>
        <v>115.4217868409637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7.2264102564102561</v>
      </c>
      <c r="BD29" s="12">
        <f>IF('Données projet'!$A$88&gt;35,BD28+BC29-BL28,IF(A29&lt;'Données projet'!$A$88,$BA$205^A29,IF(A29='Données projet'!$A$88,'Données projet'!$B$88,BD28+BC29-BL28)))</f>
        <v>105.82087604801265</v>
      </c>
      <c r="BE29" s="13">
        <f>BD29*VLOOKUP('Données projet'!$B$11,Paramètres!$A$1:$I$89,3,0)*VLOOKUP('Données projet'!$B$11,Paramètres!$A$1:$I$89,5,0)</f>
        <v>49.524169990469915</v>
      </c>
      <c r="BF29" s="13">
        <f t="shared" si="37"/>
        <v>14.490806184311312</v>
      </c>
      <c r="BG29" s="20">
        <f t="shared" si="7"/>
        <v>111.4927501710773</v>
      </c>
      <c r="BH29" s="59">
        <f t="shared" si="8"/>
        <v>404.82608350441063</v>
      </c>
      <c r="BI29" s="59">
        <f ca="1">AVERAGE(OFFSET($BH$3,0,0,'Données projet'!$E$11+1,1))-AVERAGE(OFFSET($H$3,0,0,'Données projet'!$E$11+1,1))</f>
        <v>158.58786357608489</v>
      </c>
      <c r="BJ29" s="59">
        <f t="shared" si="38"/>
        <v>163.20074068819849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16.5</v>
      </c>
      <c r="BY29" s="12">
        <f>IF('Données projet'!$A$114&gt;35,BY28+BX29-CG28,IF(A29&lt;'Données projet'!$A$114,$BV$205^A29,IF(A29='Données projet'!$A$114,'Données projet'!$B$114,BY28+BX29-CG28)))</f>
        <v>197</v>
      </c>
      <c r="BZ29" s="13">
        <f>BY29*VLOOKUP('Données projet'!$B$12,Paramètres!$A$1:$I$89,3,0)*VLOOKUP('Données projet'!$B$12,Paramètres!$A$1:$I$89,5,0)</f>
        <v>122.92800000000001</v>
      </c>
      <c r="CA29" s="13">
        <f t="shared" si="39"/>
        <v>32.356946120737945</v>
      </c>
      <c r="CB29" s="20">
        <f t="shared" si="10"/>
        <v>270.45461449361864</v>
      </c>
      <c r="CC29" s="59">
        <f t="shared" si="11"/>
        <v>563.78794782695195</v>
      </c>
      <c r="CD29" s="59">
        <f ca="1">AVERAGE(OFFSET($CC$3,0,0,'Données projet'!$E$12+1,1))-AVERAGE(OFFSET($H$3,0,0,'Données projet'!$E$12+1,1))</f>
        <v>255.41017495879987</v>
      </c>
      <c r="CE29" s="59">
        <f t="shared" si="40"/>
        <v>297.50513563712764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12.566805519839205</v>
      </c>
      <c r="CM29" s="21">
        <f>EXP(-LN(2)/2)*CM28+(1-EXP(-LN(2)/2))/(LN(2)/2)*CG29*CJ29*VLOOKUP('Données projet'!$B$12,Paramètres!$A$1:$I$89,3,0)*0.475*44/12</f>
        <v>2.6494235762119311</v>
      </c>
      <c r="CN29" s="22">
        <f t="shared" si="12"/>
        <v>15.216229096051137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10.190109890109893</v>
      </c>
      <c r="CT29" s="12">
        <f>IF('Données projet'!$A$140&gt;35,CT28+CS29-DB28,IF(A29&lt;'Données projet'!$A$140,$CQ$205^A29,IF(A29='Données projet'!$A$140,'Données projet'!$B$140,CT28+CS29-DB28)))</f>
        <v>119.28351648351646</v>
      </c>
      <c r="CU29" s="17">
        <f>CT29*VLOOKUP('Données projet'!$B$13,Paramètres!$A$1:$I$89,3,0)*VLOOKUP('Données projet'!$B$13,Paramètres!$A$1:$I$89,5,0)</f>
        <v>68.230171428571424</v>
      </c>
      <c r="CV29" s="13">
        <f t="shared" si="41"/>
        <v>19.23329385880966</v>
      </c>
      <c r="CW29" s="20">
        <f t="shared" si="13"/>
        <v>152.3322020421887</v>
      </c>
      <c r="CX29" s="59">
        <f t="shared" si="14"/>
        <v>445.66553537552204</v>
      </c>
      <c r="CY29" s="59">
        <f ca="1">AVERAGE(OFFSET($CX$3,0,0,'Données projet'!$E$13+1,1))-AVERAGE(OFFSET($H$3,0,0,'Données projet'!$E$13+1,1))</f>
        <v>134.70214882504786</v>
      </c>
      <c r="CZ29" s="59">
        <f t="shared" si="42"/>
        <v>102.18553029667771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8.7400759306568343</v>
      </c>
      <c r="DH29" s="21">
        <f>EXP(-LN(2)/2)*DH28+(1-EXP(-LN(2)/2))/(LN(2)/2)*DB29*DE29*VLOOKUP('Données projet'!$B$13,Paramètres!$A$1:$I$89,3,0)*0.475*44/12</f>
        <v>4.6486627555692879</v>
      </c>
      <c r="DI29" s="22">
        <f t="shared" si="15"/>
        <v>13.388738686226123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12.695384615384615</v>
      </c>
      <c r="DO29" s="12">
        <f>IF('Données projet'!$A$166&gt;35,DO28+DN29-DW28,IF(A29&lt;'Données projet'!$A$166,$DL$205^A29,IF(A29='Données projet'!$A$166,'Données projet'!$B$166,DO28+DN29-DW28)))</f>
        <v>128.02000000000001</v>
      </c>
      <c r="DP29" s="17">
        <f>DO29*VLOOKUP('Données projet'!$B$14,Paramètres!$A$1:$I$89,3,0)*VLOOKUP('Données projet'!$B$14,Paramètres!$A$1:$I$89,5,0)</f>
        <v>76.555960000000013</v>
      </c>
      <c r="DQ29" s="13">
        <f t="shared" si="43"/>
        <v>21.292953972936246</v>
      </c>
      <c r="DR29" s="20">
        <f t="shared" si="16"/>
        <v>170.42019183619729</v>
      </c>
      <c r="DS29" s="59">
        <f t="shared" si="17"/>
        <v>463.75352516953058</v>
      </c>
      <c r="DT29" s="59">
        <f ca="1">AVERAGE(OFFSET($DS$3,0,0,'Données projet'!$E$14+1,1))-AVERAGE(OFFSET($H$3,0,0,'Données projet'!$E$14+1,1))</f>
        <v>179.32848817523677</v>
      </c>
      <c r="DU29" s="59">
        <f t="shared" si="44"/>
        <v>131.3292389103035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8.3931444626427574</v>
      </c>
      <c r="EC29" s="21">
        <f>EXP(-LN(2)/2)*EC28+(1-EXP(-LN(2)/2))/(LN(2)/2)*DW29*DZ29*VLOOKUP('Données projet'!$B$14,Paramètres!$A$1:$I$89,3,0)*0.475*44/12</f>
        <v>4.4641371968799124</v>
      </c>
      <c r="ED29" s="22">
        <f t="shared" si="18"/>
        <v>12.85728165952267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22.828205128205127</v>
      </c>
      <c r="EJ29" s="12">
        <f>IF('Données projet'!$A$192&gt;35,EJ28+EI29-ER28,IF(A29&lt;'Données projet'!$A$192,$EG$205^A29,IF(A29='Données projet'!$A$192,'Données projet'!$B$192,EJ28+EI29-ER28)))</f>
        <v>240.55641025641015</v>
      </c>
      <c r="EK29" s="17">
        <f>EJ29*VLOOKUP('Données projet'!$B$15,Paramètres!$A$1:$I$89,3,0)*VLOOKUP('Données projet'!$B$15,Paramètres!$A$1:$I$89,5,0)</f>
        <v>106.3259333333333</v>
      </c>
      <c r="EL29" s="13">
        <f t="shared" si="45"/>
        <v>28.463641787882203</v>
      </c>
      <c r="EM29" s="20">
        <f t="shared" si="19"/>
        <v>234.75851000278365</v>
      </c>
      <c r="EN29" s="59">
        <f t="shared" si="20"/>
        <v>528.09184333611699</v>
      </c>
      <c r="EO29" s="59">
        <f ca="1">AVERAGE(OFFSET($EN$3,0,0,'Données projet'!$E$15+1,1))-AVERAGE(OFFSET($H$3,0,0,'Données projet'!$E$15+1,1))</f>
        <v>191.932060106699</v>
      </c>
      <c r="EP29" s="59">
        <f t="shared" si="46"/>
        <v>260.28593152736903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2.6447103196461401</v>
      </c>
      <c r="EW29" s="21">
        <f>EXP(-LN(2)/25)*EW28+(1-EXP(-LN(2)/25))/(LN(2)/25)*Calculateur!ER29*Calculateur!ET29*VLOOKUP('Données projet'!$B$15,Paramètres!$A$1:$I$89,3,0)*0.475*44/12</f>
        <v>14.099872939131105</v>
      </c>
      <c r="EX29" s="21">
        <f>EXP(-LN(2)/2)*EX28+(1-EXP(-LN(2)/2))/(LN(2)/2)*ER29*EU29*VLOOKUP('Données projet'!$B$15,Paramètres!$A$1:$I$89,3,0)*0.475*44/12</f>
        <v>5.3535042512965809</v>
      </c>
      <c r="EY29" s="22">
        <f t="shared" si="21"/>
        <v>22.098087510073825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3.3</v>
      </c>
      <c r="FE29" s="12">
        <f>IF('Données projet'!$A$218&gt;35,FE28+FD29-FM28,IF(A29&lt;'Données projet'!$A$218,$FB$205^A29,IF(A29='Données projet'!$A$218,'Données projet'!$B$218,FE28+FD29-FM28)))</f>
        <v>40.799999999999997</v>
      </c>
      <c r="FF29" s="17">
        <f>FE29*VLOOKUP('Données projet'!$B$16,Paramètres!$A$1:$I$89,3,0)*VLOOKUP('Données projet'!$B$16,Paramètres!$A$1:$I$89,5,0)</f>
        <v>39.461759999999998</v>
      </c>
      <c r="FG29" s="13">
        <f t="shared" si="47"/>
        <v>11.855874048851691</v>
      </c>
      <c r="FH29" s="20">
        <f t="shared" si="22"/>
        <v>89.378212635083344</v>
      </c>
      <c r="FI29" s="59">
        <f t="shared" si="23"/>
        <v>382.71154596841666</v>
      </c>
      <c r="FJ29" s="59">
        <f ca="1">AVERAGE(OFFSET($FI$3,0,0,'Données projet'!$E$16+1,1))-AVERAGE(OFFSET($H$3,0,0,'Données projet'!$E$16+1,1))</f>
        <v>102.86738524979938</v>
      </c>
      <c r="FK29" s="59">
        <f t="shared" si="48"/>
        <v>56.347130462109817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7.9</v>
      </c>
      <c r="FZ29" s="12">
        <f>IF('Données projet'!$A$244&gt;35,FZ28+FY29-GH28,IF(A29&lt;'Données projet'!$A$244,$FW$205^A29,IF(A29='Données projet'!$A$244,'Données projet'!$B$244,FZ28+FY29-GH28)))</f>
        <v>100.40000000000003</v>
      </c>
      <c r="GA29" s="17">
        <f>FZ29*VLOOKUP('Données projet'!$B$17,Paramètres!$A$1:$I$89,3,0)*VLOOKUP('Données projet'!$B$17,Paramètres!$A$1:$I$89,5,0)</f>
        <v>67.348320000000015</v>
      </c>
      <c r="GB29" s="13">
        <f t="shared" si="49"/>
        <v>19.013479288782474</v>
      </c>
      <c r="GC29" s="20">
        <f t="shared" si="25"/>
        <v>150.41346709462951</v>
      </c>
      <c r="GD29" s="59">
        <f t="shared" si="26"/>
        <v>443.74680042796285</v>
      </c>
      <c r="GE29" s="59">
        <f ca="1">AVERAGE(OFFSET($GD$3,0,0,'Données projet'!$E$17+1,1))-AVERAGE(OFFSET($H$3,0,0,'Données projet'!$E$17+1,1))</f>
        <v>168.00454652899231</v>
      </c>
      <c r="GF29" s="59">
        <f t="shared" si="50"/>
        <v>135.31958994080446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0</v>
      </c>
      <c r="GN29" s="21">
        <f>EXP(-LN(2)/2)*GN28+(1-EXP(-LN(2)/2))/(LN(2)/2)*GH29*GK29*VLOOKUP('Données projet'!$B$17,Paramètres!$A$1:$I$89,3,0)*0.475*44/12</f>
        <v>0</v>
      </c>
      <c r="GO29" s="21">
        <f t="shared" si="27"/>
        <v>0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4.0628205128205126</v>
      </c>
      <c r="N30" s="13">
        <f>IF('Données projet'!$A$36&gt;35,N29+M30-V29,IF(A30&lt;'Données projet'!$A$36,$K$205^A30,IF(A30='Données projet'!$A$36,'Données projet'!$B$36,N29+M30-V29)))</f>
        <v>75.396988922564091</v>
      </c>
      <c r="O30" s="13">
        <f>N30*VLOOKUP('Données projet'!$B$9,Paramètres!$A$1:$I$89,3,0)*VLOOKUP('Données projet'!$B$9,Paramètres!$A$1:$I$89,5,0)</f>
        <v>68.219195577135991</v>
      </c>
      <c r="P30" s="13">
        <f t="shared" si="33"/>
        <v>19.230560005562129</v>
      </c>
      <c r="Q30" s="20">
        <f t="shared" si="2"/>
        <v>152.30832430653254</v>
      </c>
      <c r="R30" s="59">
        <f t="shared" si="0"/>
        <v>445.64165763986585</v>
      </c>
      <c r="S30" s="59">
        <f ca="1">AVERAGE(OFFSET($R$3,0,0,'Données projet'!$E$9+1,1))-AVERAGE(OFFSET($H$3,0,0,'Données projet'!$E$9+1,1))</f>
        <v>221.7429870520005</v>
      </c>
      <c r="T30" s="59">
        <f t="shared" si="34"/>
        <v>182.2029938397186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2.9235042735042733</v>
      </c>
      <c r="AI30" s="13">
        <f>IF('Données projet'!$A$62&gt;35,AI29+AH30-AQ29,IF(A30&lt;'Données projet'!$A$62,$AF$205^A30,IF(A30='Données projet'!$A$62,'Données projet'!$B$62,AI29+AH30-AQ29)))</f>
        <v>56.068958494210662</v>
      </c>
      <c r="AJ30" s="13">
        <f>AI30*VLOOKUP('Données projet'!$B$10,Paramètres!$A$1:$I$89,3,0)*VLOOKUP('Données projet'!$B$10,Paramètres!$A$1:$I$89,5,0)</f>
        <v>50.731193645561802</v>
      </c>
      <c r="AK30" s="13">
        <f t="shared" si="35"/>
        <v>14.802433760568636</v>
      </c>
      <c r="AL30" s="20">
        <f t="shared" si="4"/>
        <v>114.13773439901051</v>
      </c>
      <c r="AM30" s="59">
        <f t="shared" si="5"/>
        <v>407.47106773234384</v>
      </c>
      <c r="AN30" s="59">
        <f ca="1">AVERAGE(OFFSET($AM$3,0,0,'Données projet'!$E$10+1,1))-AVERAGE(OFFSET($H$3,0,0,'Données projet'!$E$10+1,1))</f>
        <v>153.45079678708987</v>
      </c>
      <c r="AO30" s="59">
        <f t="shared" si="36"/>
        <v>115.4217868409637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7.2264102564102561</v>
      </c>
      <c r="BD30" s="12">
        <f>IF('Données projet'!$A$88&gt;35,BD29+BC30-BL29,IF(A30&lt;'Données projet'!$A$88,$BA$205^A30,IF(A30='Données projet'!$A$88,'Données projet'!$B$88,BD29+BC30-BL29)))</f>
        <v>126.60168370519743</v>
      </c>
      <c r="BE30" s="13">
        <f>BD30*VLOOKUP('Données projet'!$B$11,Paramètres!$A$1:$I$89,3,0)*VLOOKUP('Données projet'!$B$11,Paramètres!$A$1:$I$89,5,0)</f>
        <v>59.249587974032401</v>
      </c>
      <c r="BF30" s="13">
        <f t="shared" si="37"/>
        <v>16.97840255838226</v>
      </c>
      <c r="BG30" s="20">
        <f t="shared" si="7"/>
        <v>132.76375017728887</v>
      </c>
      <c r="BH30" s="59">
        <f t="shared" si="8"/>
        <v>426.09708351062216</v>
      </c>
      <c r="BI30" s="59">
        <f ca="1">AVERAGE(OFFSET($BH$3,0,0,'Données projet'!$E$11+1,1))-AVERAGE(OFFSET($H$3,0,0,'Données projet'!$E$11+1,1))</f>
        <v>158.58786357608489</v>
      </c>
      <c r="BJ30" s="59">
        <f t="shared" si="38"/>
        <v>163.20074068819849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16.5</v>
      </c>
      <c r="BY30" s="12">
        <f>IF('Données projet'!$A$114&gt;35,BY29+BX30-CG29,IF(A30&lt;'Données projet'!$A$114,$BV$205^A30,IF(A30='Données projet'!$A$114,'Données projet'!$B$114,BY29+BX30-CG29)))</f>
        <v>213.5</v>
      </c>
      <c r="BZ30" s="13">
        <f>BY30*VLOOKUP('Données projet'!$B$12,Paramètres!$A$1:$I$89,3,0)*VLOOKUP('Données projet'!$B$12,Paramètres!$A$1:$I$89,5,0)</f>
        <v>133.22399999999999</v>
      </c>
      <c r="CA30" s="13">
        <f t="shared" si="39"/>
        <v>34.740265606230608</v>
      </c>
      <c r="CB30" s="20">
        <f t="shared" si="10"/>
        <v>292.53776259751828</v>
      </c>
      <c r="CC30" s="59">
        <f t="shared" si="11"/>
        <v>585.87109593085165</v>
      </c>
      <c r="CD30" s="59">
        <f ca="1">AVERAGE(OFFSET($CC$3,0,0,'Données projet'!$E$12+1,1))-AVERAGE(OFFSET($H$3,0,0,'Données projet'!$E$12+1,1))</f>
        <v>255.41017495879987</v>
      </c>
      <c r="CE30" s="59">
        <f t="shared" si="40"/>
        <v>297.50513563712764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12.223165562039622</v>
      </c>
      <c r="CM30" s="21">
        <f>EXP(-LN(2)/2)*CM29+(1-EXP(-LN(2)/2))/(LN(2)/2)*CG30*CJ30*VLOOKUP('Données projet'!$B$12,Paramètres!$A$1:$I$89,3,0)*0.475*44/12</f>
        <v>1.8734253769749702</v>
      </c>
      <c r="CN30" s="22">
        <f t="shared" si="12"/>
        <v>14.096590939014591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10.190109890109893</v>
      </c>
      <c r="CT30" s="12">
        <f>IF('Données projet'!$A$140&gt;35,CT29+CS30-DB29,IF(A30&lt;'Données projet'!$A$140,$CQ$205^A30,IF(A30='Données projet'!$A$140,'Données projet'!$B$140,CT29+CS30-DB29)))</f>
        <v>129.47362637362636</v>
      </c>
      <c r="CU30" s="17">
        <f>CT30*VLOOKUP('Données projet'!$B$13,Paramètres!$A$1:$I$89,3,0)*VLOOKUP('Données projet'!$B$13,Paramètres!$A$1:$I$89,5,0)</f>
        <v>74.05891428571428</v>
      </c>
      <c r="CV30" s="13">
        <f t="shared" si="41"/>
        <v>20.678098670004484</v>
      </c>
      <c r="CW30" s="20">
        <f t="shared" si="13"/>
        <v>165.0002975645435</v>
      </c>
      <c r="CX30" s="59">
        <f t="shared" si="14"/>
        <v>458.33363089787679</v>
      </c>
      <c r="CY30" s="59">
        <f ca="1">AVERAGE(OFFSET($CX$3,0,0,'Données projet'!$E$13+1,1))-AVERAGE(OFFSET($H$3,0,0,'Données projet'!$E$13+1,1))</f>
        <v>134.70214882504786</v>
      </c>
      <c r="CZ30" s="59">
        <f t="shared" si="42"/>
        <v>102.18553029667771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8.5010780947124065</v>
      </c>
      <c r="DH30" s="21">
        <f>EXP(-LN(2)/2)*DH29+(1-EXP(-LN(2)/2))/(LN(2)/2)*DB30*DE30*VLOOKUP('Données projet'!$B$13,Paramètres!$A$1:$I$89,3,0)*0.475*44/12</f>
        <v>3.2871009579123855</v>
      </c>
      <c r="DI30" s="22">
        <f t="shared" si="15"/>
        <v>11.788179052624791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>
        <f>VLOOKUP(A30,'Données projet'!$A$165:$I$185,2,0)</f>
        <v>140.71538461538461</v>
      </c>
      <c r="DM30" s="12">
        <f>VLOOKUP(A30,'Données projet'!$A$165:$I$185,9,0)</f>
        <v>12.695384615384615</v>
      </c>
      <c r="DN30" s="12">
        <f t="array" ref="DN30">INDEX(DM:DM,MIN(IF(ISNUMBER(DM30:DM226),ROW(DM30:DM226),"")))</f>
        <v>12.695384615384615</v>
      </c>
      <c r="DO30" s="12">
        <f>IF('Données projet'!$A$166&gt;35,DO29+DN30-DW29,IF(A30&lt;'Données projet'!$A$166,$DL$205^A30,IF(A30='Données projet'!$A$166,'Données projet'!$B$166,DO29+DN30-DW29)))</f>
        <v>140.71538461538464</v>
      </c>
      <c r="DP30" s="17">
        <f>DO30*VLOOKUP('Données projet'!$B$14,Paramètres!$A$1:$I$89,3,0)*VLOOKUP('Données projet'!$B$14,Paramètres!$A$1:$I$89,5,0)</f>
        <v>84.147800000000018</v>
      </c>
      <c r="DQ30" s="13">
        <f t="shared" si="43"/>
        <v>23.148340019013897</v>
      </c>
      <c r="DR30" s="20">
        <f t="shared" si="16"/>
        <v>186.8741105331159</v>
      </c>
      <c r="DS30" s="59">
        <f t="shared" si="17"/>
        <v>480.20744386644924</v>
      </c>
      <c r="DT30" s="59">
        <f ca="1">AVERAGE(OFFSET($DS$3,0,0,'Données projet'!$E$14+1,1))-AVERAGE(OFFSET($H$3,0,0,'Données projet'!$E$14+1,1))</f>
        <v>179.32848817523677</v>
      </c>
      <c r="DU30" s="59">
        <f t="shared" si="44"/>
        <v>131.3292389103035</v>
      </c>
      <c r="DV30" s="15">
        <f>IF(ISNA(VLOOKUP(A30,'Données projet'!$A$165:$I$185,3,0)),0,VLOOKUP(A30,'Données projet'!$A$165:$I$185,3,0))</f>
        <v>2</v>
      </c>
      <c r="DW30" s="15">
        <f>IF(ISNA(VLOOKUP(A30,'Données projet'!$A$165:$I$185,4,0)),0,VLOOKUP(A30,'Données projet'!$A$165:$I$185,4,0))</f>
        <v>34.646153846153844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0.22500000000000001</v>
      </c>
      <c r="DZ30" s="16">
        <f>IF(ISNA(VLOOKUP(A30,'Données projet'!$A$165:$I$185,7,0)),0%,VLOOKUP(A30,'Données projet'!$A$165:$I$185,7,0))</f>
        <v>0.5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14.323250783856185</v>
      </c>
      <c r="EC30" s="21">
        <f>EXP(-LN(2)/2)*EC29+(1-EXP(-LN(2)/2))/(LN(2)/2)*DW30*DZ30*VLOOKUP('Données projet'!$B$14,Paramètres!$A$1:$I$89,3,0)*0.475*44/12</f>
        <v>14.885642500597056</v>
      </c>
      <c r="ED30" s="22">
        <f t="shared" si="18"/>
        <v>29.208893284453239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22.828205128205127</v>
      </c>
      <c r="EJ30" s="12">
        <f>IF('Données projet'!$A$192&gt;35,EJ29+EI30-ER29,IF(A30&lt;'Données projet'!$A$192,$EG$205^A30,IF(A30='Données projet'!$A$192,'Données projet'!$B$192,EJ29+EI30-ER29)))</f>
        <v>263.38461538461524</v>
      </c>
      <c r="EK30" s="17">
        <f>EJ30*VLOOKUP('Données projet'!$B$15,Paramètres!$A$1:$I$89,3,0)*VLOOKUP('Données projet'!$B$15,Paramètres!$A$1:$I$89,5,0)</f>
        <v>116.41599999999995</v>
      </c>
      <c r="EL30" s="13">
        <f t="shared" si="45"/>
        <v>30.837620730008716</v>
      </c>
      <c r="EM30" s="20">
        <f t="shared" si="19"/>
        <v>256.46672277143176</v>
      </c>
      <c r="EN30" s="59">
        <f t="shared" si="20"/>
        <v>549.80005610476508</v>
      </c>
      <c r="EO30" s="59">
        <f ca="1">AVERAGE(OFFSET($EN$3,0,0,'Données projet'!$E$15+1,1))-AVERAGE(OFFSET($H$3,0,0,'Données projet'!$E$15+1,1))</f>
        <v>191.932060106699</v>
      </c>
      <c r="EP30" s="59">
        <f t="shared" si="46"/>
        <v>260.28593152736903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2.5928491633918926</v>
      </c>
      <c r="EW30" s="21">
        <f>EXP(-LN(2)/25)*EW29+(1-EXP(-LN(2)/25))/(LN(2)/25)*Calculateur!ER30*Calculateur!ET30*VLOOKUP('Données projet'!$B$15,Paramètres!$A$1:$I$89,3,0)*0.475*44/12</f>
        <v>13.714311172130472</v>
      </c>
      <c r="EX30" s="21">
        <f>EXP(-LN(2)/2)*EX29+(1-EXP(-LN(2)/2))/(LN(2)/2)*ER30*EU30*VLOOKUP('Données projet'!$B$15,Paramètres!$A$1:$I$89,3,0)*0.475*44/12</f>
        <v>3.7854991592028235</v>
      </c>
      <c r="EY30" s="22">
        <f t="shared" si="21"/>
        <v>20.09265949472519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3.3</v>
      </c>
      <c r="FE30" s="12">
        <f>IF('Données projet'!$A$218&gt;35,FE29+FD30-FM29,IF(A30&lt;'Données projet'!$A$218,$FB$205^A30,IF(A30='Données projet'!$A$218,'Données projet'!$B$218,FE29+FD30-FM29)))</f>
        <v>44.099999999999994</v>
      </c>
      <c r="FF30" s="17">
        <f>FE30*VLOOKUP('Données projet'!$B$16,Paramètres!$A$1:$I$89,3,0)*VLOOKUP('Données projet'!$B$16,Paramètres!$A$1:$I$89,5,0)</f>
        <v>42.653519999999993</v>
      </c>
      <c r="FG30" s="13">
        <f t="shared" si="47"/>
        <v>12.699312037588646</v>
      </c>
      <c r="FH30" s="20">
        <f t="shared" si="22"/>
        <v>96.406182465466884</v>
      </c>
      <c r="FI30" s="59">
        <f t="shared" si="23"/>
        <v>389.7395157988002</v>
      </c>
      <c r="FJ30" s="59">
        <f ca="1">AVERAGE(OFFSET($FI$3,0,0,'Données projet'!$E$16+1,1))-AVERAGE(OFFSET($H$3,0,0,'Données projet'!$E$16+1,1))</f>
        <v>102.86738524979938</v>
      </c>
      <c r="FK30" s="59">
        <f t="shared" si="48"/>
        <v>56.347130462109817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7.9</v>
      </c>
      <c r="FZ30" s="12">
        <f>IF('Données projet'!$A$244&gt;35,FZ29+FY30-GH29,IF(A30&lt;'Données projet'!$A$244,$FW$205^A30,IF(A30='Données projet'!$A$244,'Données projet'!$B$244,FZ29+FY30-GH29)))</f>
        <v>108.30000000000004</v>
      </c>
      <c r="GA30" s="17">
        <f>FZ30*VLOOKUP('Données projet'!$B$17,Paramètres!$A$1:$I$89,3,0)*VLOOKUP('Données projet'!$B$17,Paramètres!$A$1:$I$89,5,0)</f>
        <v>72.647640000000024</v>
      </c>
      <c r="GB30" s="13">
        <f t="shared" si="49"/>
        <v>20.329532496586594</v>
      </c>
      <c r="GC30" s="20">
        <f t="shared" si="25"/>
        <v>161.93524209822169</v>
      </c>
      <c r="GD30" s="59">
        <f t="shared" si="26"/>
        <v>455.26857543155501</v>
      </c>
      <c r="GE30" s="59">
        <f ca="1">AVERAGE(OFFSET($GD$3,0,0,'Données projet'!$E$17+1,1))-AVERAGE(OFFSET($H$3,0,0,'Données projet'!$E$17+1,1))</f>
        <v>168.00454652899231</v>
      </c>
      <c r="GF30" s="59">
        <f t="shared" si="50"/>
        <v>135.31958994080446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0</v>
      </c>
      <c r="GN30" s="21">
        <f>EXP(-LN(2)/2)*GN29+(1-EXP(-LN(2)/2))/(LN(2)/2)*GH30*GK30*VLOOKUP('Données projet'!$B$17,Paramètres!$A$1:$I$89,3,0)*0.475*44/12</f>
        <v>0</v>
      </c>
      <c r="GO30" s="21">
        <f t="shared" si="27"/>
        <v>0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4.0628205128205126</v>
      </c>
      <c r="N31" s="13">
        <f>IF('Données projet'!$A$36&gt;35,N30+M31-V30,IF(A31&lt;'Données projet'!$A$36,$K$205^A31,IF(A31='Données projet'!$A$36,'Données projet'!$B$36,N30+M31-V30)))</f>
        <v>88.488255196060223</v>
      </c>
      <c r="O31" s="13">
        <f>N31*VLOOKUP('Données projet'!$B$9,Paramètres!$A$1:$I$89,3,0)*VLOOKUP('Données projet'!$B$9,Paramètres!$A$1:$I$89,5,0)</f>
        <v>80.064173301395286</v>
      </c>
      <c r="P31" s="13">
        <f t="shared" si="33"/>
        <v>22.15287410215139</v>
      </c>
      <c r="Q31" s="20">
        <f t="shared" si="2"/>
        <v>178.02802422784376</v>
      </c>
      <c r="R31" s="59">
        <f t="shared" si="0"/>
        <v>471.3613575611771</v>
      </c>
      <c r="S31" s="59">
        <f ca="1">AVERAGE(OFFSET($R$3,0,0,'Données projet'!$E$9+1,1))-AVERAGE(OFFSET($H$3,0,0,'Données projet'!$E$9+1,1))</f>
        <v>221.7429870520005</v>
      </c>
      <c r="T31" s="59">
        <f t="shared" si="34"/>
        <v>182.2029938397186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2.9235042735042733</v>
      </c>
      <c r="AI31" s="13">
        <f>IF('Données projet'!$A$62&gt;35,AI30+AH31-AQ30,IF(A31&lt;'Données projet'!$A$62,$AF$205^A31,IF(A31='Données projet'!$A$62,'Données projet'!$B$62,AI30+AH31-AQ30)))</f>
        <v>65.086360682202411</v>
      </c>
      <c r="AJ31" s="13">
        <f>AI31*VLOOKUP('Données projet'!$B$10,Paramètres!$A$1:$I$89,3,0)*VLOOKUP('Données projet'!$B$10,Paramètres!$A$1:$I$89,5,0)</f>
        <v>58.89013914525674</v>
      </c>
      <c r="AK31" s="13">
        <f t="shared" si="35"/>
        <v>16.887357174091651</v>
      </c>
      <c r="AL31" s="20">
        <f t="shared" si="4"/>
        <v>131.9791394228651</v>
      </c>
      <c r="AM31" s="59">
        <f t="shared" si="5"/>
        <v>425.31247275619842</v>
      </c>
      <c r="AN31" s="59">
        <f ca="1">AVERAGE(OFFSET($AM$3,0,0,'Données projet'!$E$10+1,1))-AVERAGE(OFFSET($H$3,0,0,'Données projet'!$E$10+1,1))</f>
        <v>153.45079678708987</v>
      </c>
      <c r="AO31" s="59">
        <f t="shared" si="36"/>
        <v>115.4217868409637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7.2264102564102561</v>
      </c>
      <c r="BD31" s="12">
        <f>IF('Données projet'!$A$88&gt;35,BD30+BC31-BL30,IF(A31&lt;'Données projet'!$A$88,$BA$205^A31,IF(A31='Données projet'!$A$88,'Données projet'!$B$88,BD30+BC31-BL30)))</f>
        <v>151.46336824615491</v>
      </c>
      <c r="BE31" s="13">
        <f>BD31*VLOOKUP('Données projet'!$B$11,Paramètres!$A$1:$I$89,3,0)*VLOOKUP('Données projet'!$B$11,Paramètres!$A$1:$I$89,5,0)</f>
        <v>70.884856339200496</v>
      </c>
      <c r="BF31" s="13">
        <f t="shared" si="37"/>
        <v>19.893037679751526</v>
      </c>
      <c r="BG31" s="20">
        <f t="shared" si="7"/>
        <v>158.10483208300809</v>
      </c>
      <c r="BH31" s="59">
        <f t="shared" si="8"/>
        <v>451.43816541634141</v>
      </c>
      <c r="BI31" s="59">
        <f ca="1">AVERAGE(OFFSET($BH$3,0,0,'Données projet'!$E$11+1,1))-AVERAGE(OFFSET($H$3,0,0,'Données projet'!$E$11+1,1))</f>
        <v>158.58786357608489</v>
      </c>
      <c r="BJ31" s="59">
        <f t="shared" si="38"/>
        <v>163.20074068819849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16.5</v>
      </c>
      <c r="BY31" s="12">
        <f>IF('Données projet'!$A$114&gt;35,BY30+BX31-CG30,IF(A31&lt;'Données projet'!$A$114,$BV$205^A31,IF(A31='Données projet'!$A$114,'Données projet'!$B$114,BY30+BX31-CG30)))</f>
        <v>230</v>
      </c>
      <c r="BZ31" s="13">
        <f>BY31*VLOOKUP('Données projet'!$B$12,Paramètres!$A$1:$I$89,3,0)*VLOOKUP('Données projet'!$B$12,Paramètres!$A$1:$I$89,5,0)</f>
        <v>143.51999999999998</v>
      </c>
      <c r="CA31" s="13">
        <f t="shared" si="39"/>
        <v>37.102218970378601</v>
      </c>
      <c r="CB31" s="20">
        <f t="shared" si="10"/>
        <v>314.583698040076</v>
      </c>
      <c r="CC31" s="59">
        <f t="shared" si="11"/>
        <v>607.91703137340937</v>
      </c>
      <c r="CD31" s="59">
        <f ca="1">AVERAGE(OFFSET($CC$3,0,0,'Données projet'!$E$12+1,1))-AVERAGE(OFFSET($H$3,0,0,'Données projet'!$E$12+1,1))</f>
        <v>255.41017495879987</v>
      </c>
      <c r="CE31" s="59">
        <f t="shared" si="40"/>
        <v>297.50513563712764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11.888922456957308</v>
      </c>
      <c r="CM31" s="21">
        <f>EXP(-LN(2)/2)*CM30+(1-EXP(-LN(2)/2))/(LN(2)/2)*CG31*CJ31*VLOOKUP('Données projet'!$B$12,Paramètres!$A$1:$I$89,3,0)*0.475*44/12</f>
        <v>1.3247117881059658</v>
      </c>
      <c r="CN31" s="22">
        <f t="shared" si="12"/>
        <v>13.213634245063274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10.190109890109893</v>
      </c>
      <c r="CT31" s="12">
        <f>IF('Données projet'!$A$140&gt;35,CT30+CS31-DB30,IF(A31&lt;'Données projet'!$A$140,$CQ$205^A31,IF(A31='Données projet'!$A$140,'Données projet'!$B$140,CT30+CS31-DB30)))</f>
        <v>139.66373626373624</v>
      </c>
      <c r="CU31" s="17">
        <f>CT31*VLOOKUP('Données projet'!$B$13,Paramètres!$A$1:$I$89,3,0)*VLOOKUP('Données projet'!$B$13,Paramètres!$A$1:$I$89,5,0)</f>
        <v>79.887657142857137</v>
      </c>
      <c r="CV31" s="13">
        <f t="shared" si="41"/>
        <v>22.109713469901262</v>
      </c>
      <c r="CW31" s="20">
        <f t="shared" si="13"/>
        <v>177.64542048388753</v>
      </c>
      <c r="CX31" s="59">
        <f t="shared" si="14"/>
        <v>470.97875381722088</v>
      </c>
      <c r="CY31" s="59">
        <f ca="1">AVERAGE(OFFSET($CX$3,0,0,'Données projet'!$E$13+1,1))-AVERAGE(OFFSET($H$3,0,0,'Données projet'!$E$13+1,1))</f>
        <v>134.70214882504786</v>
      </c>
      <c r="CZ31" s="59">
        <f t="shared" si="42"/>
        <v>102.18553029667771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8.268615667160228</v>
      </c>
      <c r="DH31" s="21">
        <f>EXP(-LN(2)/2)*DH30+(1-EXP(-LN(2)/2))/(LN(2)/2)*DB31*DE31*VLOOKUP('Données projet'!$B$13,Paramètres!$A$1:$I$89,3,0)*0.475*44/12</f>
        <v>2.3243313777846439</v>
      </c>
      <c r="DI31" s="22">
        <f t="shared" si="15"/>
        <v>10.592947044944871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12.97179487179487</v>
      </c>
      <c r="DO31" s="12">
        <f>IF('Données projet'!$A$166&gt;35,DO30+DN31-DW30,IF(A31&lt;'Données projet'!$A$166,$DL$205^A31,IF(A31='Données projet'!$A$166,'Données projet'!$B$166,DO30+DN31-DW30)))</f>
        <v>119.04102564102564</v>
      </c>
      <c r="DP31" s="17">
        <f>DO31*VLOOKUP('Données projet'!$B$14,Paramètres!$A$1:$I$89,3,0)*VLOOKUP('Données projet'!$B$14,Paramètres!$A$1:$I$89,5,0)</f>
        <v>71.18653333333333</v>
      </c>
      <c r="DQ31" s="13">
        <f t="shared" si="43"/>
        <v>19.967826748678</v>
      </c>
      <c r="DR31" s="20">
        <f t="shared" si="16"/>
        <v>158.76051047616974</v>
      </c>
      <c r="DS31" s="59">
        <f t="shared" si="17"/>
        <v>452.09384380950303</v>
      </c>
      <c r="DT31" s="59">
        <f ca="1">AVERAGE(OFFSET($DS$3,0,0,'Données projet'!$E$14+1,1))-AVERAGE(OFFSET($H$3,0,0,'Données projet'!$E$14+1,1))</f>
        <v>179.32848817523677</v>
      </c>
      <c r="DU31" s="59">
        <f t="shared" si="44"/>
        <v>131.3292389103035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13.931580737944616</v>
      </c>
      <c r="EC31" s="21">
        <f>EXP(-LN(2)/2)*EC30+(1-EXP(-LN(2)/2))/(LN(2)/2)*DW31*DZ31*VLOOKUP('Données projet'!$B$14,Paramètres!$A$1:$I$89,3,0)*0.475*44/12</f>
        <v>10.525738754490856</v>
      </c>
      <c r="ED31" s="22">
        <f t="shared" si="18"/>
        <v>24.457319492435474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22.828205128205127</v>
      </c>
      <c r="EJ31" s="12">
        <f>IF('Données projet'!$A$192&gt;35,EJ30+EI31-ER30,IF(A31&lt;'Données projet'!$A$192,$EG$205^A31,IF(A31='Données projet'!$A$192,'Données projet'!$B$192,EJ30+EI31-ER30)))</f>
        <v>286.21282051282037</v>
      </c>
      <c r="EK31" s="17">
        <f>EJ31*VLOOKUP('Données projet'!$B$15,Paramètres!$A$1:$I$89,3,0)*VLOOKUP('Données projet'!$B$15,Paramètres!$A$1:$I$89,5,0)</f>
        <v>126.50606666666661</v>
      </c>
      <c r="EL31" s="13">
        <f t="shared" si="45"/>
        <v>33.187738254760546</v>
      </c>
      <c r="EM31" s="20">
        <f t="shared" si="19"/>
        <v>278.13337690481899</v>
      </c>
      <c r="EN31" s="59">
        <f t="shared" si="20"/>
        <v>571.46671023815225</v>
      </c>
      <c r="EO31" s="59">
        <f ca="1">AVERAGE(OFFSET($EN$3,0,0,'Données projet'!$E$15+1,1))-AVERAGE(OFFSET($H$3,0,0,'Données projet'!$E$15+1,1))</f>
        <v>191.932060106699</v>
      </c>
      <c r="EP31" s="59">
        <f t="shared" si="46"/>
        <v>260.28593152736903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2.5420049727796088</v>
      </c>
      <c r="EW31" s="21">
        <f>EXP(-LN(2)/25)*EW30+(1-EXP(-LN(2)/25))/(LN(2)/25)*Calculateur!ER31*Calculateur!ET31*VLOOKUP('Données projet'!$B$15,Paramètres!$A$1:$I$89,3,0)*0.475*44/12</f>
        <v>13.339292611924284</v>
      </c>
      <c r="EX31" s="21">
        <f>EXP(-LN(2)/2)*EX30+(1-EXP(-LN(2)/2))/(LN(2)/2)*ER31*EU31*VLOOKUP('Données projet'!$B$15,Paramètres!$A$1:$I$89,3,0)*0.475*44/12</f>
        <v>2.6767521256482909</v>
      </c>
      <c r="EY31" s="22">
        <f t="shared" si="21"/>
        <v>18.558049710352183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3.3</v>
      </c>
      <c r="FE31" s="12">
        <f>IF('Données projet'!$A$218&gt;35,FE30+FD31-FM30,IF(A31&lt;'Données projet'!$A$218,$FB$205^A31,IF(A31='Données projet'!$A$218,'Données projet'!$B$218,FE30+FD31-FM30)))</f>
        <v>47.399999999999991</v>
      </c>
      <c r="FF31" s="17">
        <f>FE31*VLOOKUP('Données projet'!$B$16,Paramètres!$A$1:$I$89,3,0)*VLOOKUP('Données projet'!$B$16,Paramètres!$A$1:$I$89,5,0)</f>
        <v>45.845279999999995</v>
      </c>
      <c r="FG31" s="13">
        <f t="shared" si="47"/>
        <v>13.535428202298318</v>
      </c>
      <c r="FH31" s="20">
        <f t="shared" si="22"/>
        <v>103.4214001190029</v>
      </c>
      <c r="FI31" s="59">
        <f t="shared" si="23"/>
        <v>396.75473345233621</v>
      </c>
      <c r="FJ31" s="59">
        <f ca="1">AVERAGE(OFFSET($FI$3,0,0,'Données projet'!$E$16+1,1))-AVERAGE(OFFSET($H$3,0,0,'Données projet'!$E$16+1,1))</f>
        <v>102.86738524979938</v>
      </c>
      <c r="FK31" s="59">
        <f t="shared" si="48"/>
        <v>56.347130462109817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7.9</v>
      </c>
      <c r="FZ31" s="12">
        <f>IF('Données projet'!$A$244&gt;35,FZ30+FY31-GH30,IF(A31&lt;'Données projet'!$A$244,$FW$205^A31,IF(A31='Données projet'!$A$244,'Données projet'!$B$244,FZ30+FY31-GH30)))</f>
        <v>116.20000000000005</v>
      </c>
      <c r="GA31" s="17">
        <f>FZ31*VLOOKUP('Données projet'!$B$17,Paramètres!$A$1:$I$89,3,0)*VLOOKUP('Données projet'!$B$17,Paramètres!$A$1:$I$89,5,0)</f>
        <v>77.946960000000033</v>
      </c>
      <c r="GB31" s="13">
        <f t="shared" si="49"/>
        <v>21.634448167530064</v>
      </c>
      <c r="GC31" s="20">
        <f t="shared" si="25"/>
        <v>173.4376192251149</v>
      </c>
      <c r="GD31" s="59">
        <f t="shared" si="26"/>
        <v>466.77095255844824</v>
      </c>
      <c r="GE31" s="59">
        <f ca="1">AVERAGE(OFFSET($GD$3,0,0,'Données projet'!$E$17+1,1))-AVERAGE(OFFSET($H$3,0,0,'Données projet'!$E$17+1,1))</f>
        <v>168.00454652899231</v>
      </c>
      <c r="GF31" s="59">
        <f t="shared" si="50"/>
        <v>135.31958994080446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0</v>
      </c>
      <c r="GN31" s="21">
        <f>EXP(-LN(2)/2)*GN30+(1-EXP(-LN(2)/2))/(LN(2)/2)*GH31*GK31*VLOOKUP('Données projet'!$B$17,Paramètres!$A$1:$I$89,3,0)*0.475*44/12</f>
        <v>0</v>
      </c>
      <c r="GO31" s="21">
        <f t="shared" si="27"/>
        <v>0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4.0628205128205126</v>
      </c>
      <c r="N32" s="13">
        <f>IF('Données projet'!$A$36&gt;35,N31+M32-V31,IF(A32&lt;'Données projet'!$A$36,$K$205^A32,IF(A32='Données projet'!$A$36,'Données projet'!$B$36,N31+M32-V31)))</f>
        <v>103.85257315361756</v>
      </c>
      <c r="O32" s="13">
        <f>N32*VLOOKUP('Données projet'!$B$9,Paramètres!$A$1:$I$89,3,0)*VLOOKUP('Données projet'!$B$9,Paramètres!$A$1:$I$89,5,0)</f>
        <v>93.965808189393158</v>
      </c>
      <c r="P32" s="13">
        <f t="shared" si="33"/>
        <v>25.519268853524185</v>
      </c>
      <c r="Q32" s="20">
        <f t="shared" si="2"/>
        <v>208.10317584974769</v>
      </c>
      <c r="R32" s="59">
        <f t="shared" si="0"/>
        <v>501.436509183081</v>
      </c>
      <c r="S32" s="59">
        <f ca="1">AVERAGE(OFFSET($R$3,0,0,'Données projet'!$E$9+1,1))-AVERAGE(OFFSET($H$3,0,0,'Données projet'!$E$9+1,1))</f>
        <v>221.7429870520005</v>
      </c>
      <c r="T32" s="59">
        <f t="shared" si="34"/>
        <v>182.2029938397186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2.9235042735042733</v>
      </c>
      <c r="AI32" s="13">
        <f>IF('Données projet'!$A$62&gt;35,AI31+AH32-AQ31,IF(A32&lt;'Données projet'!$A$62,$AF$205^A32,IF(A32='Données projet'!$A$62,'Données projet'!$B$62,AI31+AH32-AQ31)))</f>
        <v>75.55400457975604</v>
      </c>
      <c r="AJ32" s="13">
        <f>AI32*VLOOKUP('Données projet'!$B$10,Paramètres!$A$1:$I$89,3,0)*VLOOKUP('Données projet'!$B$10,Paramètres!$A$1:$I$89,5,0)</f>
        <v>68.36126334376327</v>
      </c>
      <c r="AK32" s="13">
        <f t="shared" si="35"/>
        <v>19.265942137503561</v>
      </c>
      <c r="AL32" s="20">
        <f t="shared" si="4"/>
        <v>152.61738287987308</v>
      </c>
      <c r="AM32" s="59">
        <f t="shared" si="5"/>
        <v>445.95071621320642</v>
      </c>
      <c r="AN32" s="59">
        <f ca="1">AVERAGE(OFFSET($AM$3,0,0,'Données projet'!$E$10+1,1))-AVERAGE(OFFSET($H$3,0,0,'Données projet'!$E$10+1,1))</f>
        <v>153.45079678708987</v>
      </c>
      <c r="AO32" s="59">
        <f t="shared" si="36"/>
        <v>115.4217868409637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7.2264102564102561</v>
      </c>
      <c r="BD32" s="12">
        <f>IF('Données projet'!$A$88&gt;35,BD31+BC32-BL31,IF(A32&lt;'Données projet'!$A$88,$BA$205^A32,IF(A32='Données projet'!$A$88,'Données projet'!$B$88,BD31+BC32-BL31)))</f>
        <v>181.20732085910257</v>
      </c>
      <c r="BE32" s="13">
        <f>BD32*VLOOKUP('Données projet'!$B$11,Paramètres!$A$1:$I$89,3,0)*VLOOKUP('Données projet'!$B$11,Paramètres!$A$1:$I$89,5,0)</f>
        <v>84.805026162060003</v>
      </c>
      <c r="BF32" s="13">
        <f t="shared" si="37"/>
        <v>23.308020101846395</v>
      </c>
      <c r="BG32" s="20">
        <f t="shared" si="7"/>
        <v>188.29688890963698</v>
      </c>
      <c r="BH32" s="59">
        <f t="shared" si="8"/>
        <v>481.63022224297026</v>
      </c>
      <c r="BI32" s="59">
        <f ca="1">AVERAGE(OFFSET($BH$3,0,0,'Données projet'!$E$11+1,1))-AVERAGE(OFFSET($H$3,0,0,'Données projet'!$E$11+1,1))</f>
        <v>158.58786357608489</v>
      </c>
      <c r="BJ32" s="59">
        <f t="shared" si="38"/>
        <v>163.20074068819849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16.5</v>
      </c>
      <c r="BY32" s="12">
        <f>IF('Données projet'!$A$114&gt;35,BY31+BX32-CG31,IF(A32&lt;'Données projet'!$A$114,$BV$205^A32,IF(A32='Données projet'!$A$114,'Données projet'!$B$114,BY31+BX32-CG31)))</f>
        <v>246.5</v>
      </c>
      <c r="BZ32" s="13">
        <f>BY32*VLOOKUP('Données projet'!$B$12,Paramètres!$A$1:$I$89,3,0)*VLOOKUP('Données projet'!$B$12,Paramètres!$A$1:$I$89,5,0)</f>
        <v>153.816</v>
      </c>
      <c r="CA32" s="13">
        <f t="shared" si="39"/>
        <v>39.444513325737063</v>
      </c>
      <c r="CB32" s="20">
        <f t="shared" si="10"/>
        <v>336.59539404232538</v>
      </c>
      <c r="CC32" s="59">
        <f t="shared" si="11"/>
        <v>629.9287273756587</v>
      </c>
      <c r="CD32" s="59">
        <f ca="1">AVERAGE(OFFSET($CC$3,0,0,'Données projet'!$E$12+1,1))-AVERAGE(OFFSET($H$3,0,0,'Données projet'!$E$12+1,1))</f>
        <v>255.41017495879987</v>
      </c>
      <c r="CE32" s="59">
        <f t="shared" si="40"/>
        <v>297.50513563712764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11.563819247160552</v>
      </c>
      <c r="CM32" s="21">
        <f>EXP(-LN(2)/2)*CM31+(1-EXP(-LN(2)/2))/(LN(2)/2)*CG32*CJ32*VLOOKUP('Données projet'!$B$12,Paramètres!$A$1:$I$89,3,0)*0.475*44/12</f>
        <v>0.93671268848748535</v>
      </c>
      <c r="CN32" s="22">
        <f t="shared" si="12"/>
        <v>12.500531935648038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>
        <f>VLOOKUP(A32,'Données projet'!$A$139:$I$159,2,0)</f>
        <v>149.85384615384615</v>
      </c>
      <c r="CR32" s="12">
        <f>VLOOKUP(A32,'Données projet'!$A$139:$I$159,9,0)</f>
        <v>10.190109890109893</v>
      </c>
      <c r="CS32" s="12">
        <f t="array" ref="CS32">INDEX(CR:CR,MIN(IF(ISNUMBER(CR32:CR228),ROW(CR32:CR228),"")))</f>
        <v>10.190109890109893</v>
      </c>
      <c r="CT32" s="12">
        <f>IF('Données projet'!$A$140&gt;35,CT31+CS32-DB31,IF(A32&lt;'Données projet'!$A$140,$CQ$205^A32,IF(A32='Données projet'!$A$140,'Données projet'!$B$140,CT31+CS32-DB31)))</f>
        <v>149.85384615384612</v>
      </c>
      <c r="CU32" s="17">
        <f>CT32*VLOOKUP('Données projet'!$B$13,Paramètres!$A$1:$I$89,3,0)*VLOOKUP('Données projet'!$B$13,Paramètres!$A$1:$I$89,5,0)</f>
        <v>85.716399999999979</v>
      </c>
      <c r="CV32" s="13">
        <f t="shared" si="41"/>
        <v>23.529210066507005</v>
      </c>
      <c r="CW32" s="20">
        <f t="shared" si="13"/>
        <v>190.26943753249964</v>
      </c>
      <c r="CX32" s="59">
        <f t="shared" si="14"/>
        <v>483.60277086583295</v>
      </c>
      <c r="CY32" s="59">
        <f ca="1">AVERAGE(OFFSET($CX$3,0,0,'Données projet'!$E$13+1,1))-AVERAGE(OFFSET($H$3,0,0,'Données projet'!$E$13+1,1))</f>
        <v>134.70214882504786</v>
      </c>
      <c r="CZ32" s="59">
        <f t="shared" si="42"/>
        <v>102.18553029667771</v>
      </c>
      <c r="DA32" s="15">
        <f>IF(ISNA(VLOOKUP(A32,'Données projet'!$A$139:$I$159,3,0)),0,VLOOKUP(A32,'Données projet'!$A$139:$I$159,3,0))</f>
        <v>2</v>
      </c>
      <c r="DB32" s="15">
        <f>IF(ISNA(VLOOKUP(A32,'Données projet'!$A$139:$I$159,4,0)),0,VLOOKUP(A32,'Données projet'!$A$139:$I$159,4,0))</f>
        <v>31.753846153846155</v>
      </c>
      <c r="DC32" s="16">
        <f>IF(ISNA(VLOOKUP(A32,'Données projet'!$A$139:$I$159,5,0)),0%,VLOOKUP(A32,'Données projet'!$A$139:$I$159,5,0)*VLOOKUP('Données projet'!$B$13,Paramètres!$A$1:$I$89,7,0))</f>
        <v>4.5000000000000005E-2</v>
      </c>
      <c r="DD32" s="16">
        <f>IF(ISNA(VLOOKUP(A32,'Données projet'!$A$139:$I$159,6,0)),0%,VLOOKUP(A32,'Données projet'!$A$139:$I$159,6,0)*VLOOKUP('Données projet'!$B$13,Paramètres!$A$1:$I$89,7,0))</f>
        <v>0.20250000000000001</v>
      </c>
      <c r="DE32" s="16">
        <f>IF(ISNA(VLOOKUP(A32,'Données projet'!$A$139:$I$159,7,0)),0%,VLOOKUP(A32,'Données projet'!$A$139:$I$159,7,0))</f>
        <v>0.45</v>
      </c>
      <c r="DF32" s="21">
        <f>EXP(-LN(2)/35)*DF31+(1-EXP(-LN(2)/35))/(LN(2)/35)*DB32*DC32*VLOOKUP('Données projet'!$B$13,Paramètres!$A$1:$I$89,3,0)*0.475*44/12</f>
        <v>1.0842594982667757</v>
      </c>
      <c r="DG32" s="21">
        <f>EXP(-LN(2)/25)*DG31+(1-EXP(-LN(2)/25))/(LN(2)/25)*Calculateur!DB32*Calculateur!DD32*VLOOKUP('Données projet'!$B$13,Paramètres!$A$1:$I$89,3,0)*0.475*44/12</f>
        <v>12.902466536604916</v>
      </c>
      <c r="DH32" s="21">
        <f>EXP(-LN(2)/2)*DH31+(1-EXP(-LN(2)/2))/(LN(2)/2)*DB32*DE32*VLOOKUP('Données projet'!$B$13,Paramètres!$A$1:$I$89,3,0)*0.475*44/12</f>
        <v>10.89778322885091</v>
      </c>
      <c r="DI32" s="22">
        <f t="shared" si="15"/>
        <v>24.884509263722599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12.97179487179487</v>
      </c>
      <c r="DO32" s="12">
        <f>IF('Données projet'!$A$166&gt;35,DO31+DN32-DW31,IF(A32&lt;'Données projet'!$A$166,$DL$205^A32,IF(A32='Données projet'!$A$166,'Données projet'!$B$166,DO31+DN32-DW31)))</f>
        <v>132.0128205128205</v>
      </c>
      <c r="DP32" s="17">
        <f>DO32*VLOOKUP('Données projet'!$B$14,Paramètres!$A$1:$I$89,3,0)*VLOOKUP('Données projet'!$B$14,Paramètres!$A$1:$I$89,5,0)</f>
        <v>78.943666666666658</v>
      </c>
      <c r="DQ32" s="13">
        <f t="shared" si="43"/>
        <v>21.878705672057272</v>
      </c>
      <c r="DR32" s="20">
        <f t="shared" si="16"/>
        <v>175.59896515661083</v>
      </c>
      <c r="DS32" s="59">
        <f t="shared" si="17"/>
        <v>468.93229848994417</v>
      </c>
      <c r="DT32" s="59">
        <f ca="1">AVERAGE(OFFSET($DS$3,0,0,'Données projet'!$E$14+1,1))-AVERAGE(OFFSET($H$3,0,0,'Données projet'!$E$14+1,1))</f>
        <v>179.32848817523677</v>
      </c>
      <c r="DU32" s="59">
        <f t="shared" si="44"/>
        <v>131.3292389103035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13.55062093003553</v>
      </c>
      <c r="EC32" s="21">
        <f>EXP(-LN(2)/2)*EC31+(1-EXP(-LN(2)/2))/(LN(2)/2)*DW32*DZ32*VLOOKUP('Données projet'!$B$14,Paramètres!$A$1:$I$89,3,0)*0.475*44/12</f>
        <v>7.4428212502985298</v>
      </c>
      <c r="ED32" s="22">
        <f t="shared" si="18"/>
        <v>20.993442180334061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22.828205128205127</v>
      </c>
      <c r="EJ32" s="12">
        <f>IF('Données projet'!$A$192&gt;35,EJ31+EI32-ER31,IF(A32&lt;'Données projet'!$A$192,$EG$205^A32,IF(A32='Données projet'!$A$192,'Données projet'!$B$192,EJ31+EI32-ER31)))</f>
        <v>309.0410256410255</v>
      </c>
      <c r="EK32" s="17">
        <f>EJ32*VLOOKUP('Données projet'!$B$15,Paramètres!$A$1:$I$89,3,0)*VLOOKUP('Données projet'!$B$15,Paramètres!$A$1:$I$89,5,0)</f>
        <v>136.59613333333328</v>
      </c>
      <c r="EL32" s="13">
        <f t="shared" si="45"/>
        <v>35.516113912442115</v>
      </c>
      <c r="EM32" s="20">
        <f t="shared" si="19"/>
        <v>299.7621639530588</v>
      </c>
      <c r="EN32" s="59">
        <f t="shared" si="20"/>
        <v>593.09549728639217</v>
      </c>
      <c r="EO32" s="59">
        <f ca="1">AVERAGE(OFFSET($EN$3,0,0,'Données projet'!$E$15+1,1))-AVERAGE(OFFSET($H$3,0,0,'Données projet'!$E$15+1,1))</f>
        <v>191.932060106699</v>
      </c>
      <c r="EP32" s="59">
        <f t="shared" si="46"/>
        <v>260.28593152736903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2.492157805733338</v>
      </c>
      <c r="EW32" s="21">
        <f>EXP(-LN(2)/25)*EW31+(1-EXP(-LN(2)/25))/(LN(2)/25)*Calculateur!ER32*Calculateur!ET32*VLOOKUP('Données projet'!$B$15,Paramètres!$A$1:$I$89,3,0)*0.475*44/12</f>
        <v>12.974528953968303</v>
      </c>
      <c r="EX32" s="21">
        <f>EXP(-LN(2)/2)*EX31+(1-EXP(-LN(2)/2))/(LN(2)/2)*ER32*EU32*VLOOKUP('Données projet'!$B$15,Paramètres!$A$1:$I$89,3,0)*0.475*44/12</f>
        <v>1.8927495796014122</v>
      </c>
      <c r="EY32" s="22">
        <f t="shared" si="21"/>
        <v>17.359436339303052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3.3</v>
      </c>
      <c r="FE32" s="12">
        <f>IF('Données projet'!$A$218&gt;35,FE31+FD32-FM31,IF(A32&lt;'Données projet'!$A$218,$FB$205^A32,IF(A32='Données projet'!$A$218,'Données projet'!$B$218,FE31+FD32-FM31)))</f>
        <v>50.699999999999989</v>
      </c>
      <c r="FF32" s="17">
        <f>FE32*VLOOKUP('Données projet'!$B$16,Paramètres!$A$1:$I$89,3,0)*VLOOKUP('Données projet'!$B$16,Paramètres!$A$1:$I$89,5,0)</f>
        <v>49.03703999999999</v>
      </c>
      <c r="FG32" s="13">
        <f t="shared" si="47"/>
        <v>14.364790274337482</v>
      </c>
      <c r="FH32" s="20">
        <f t="shared" si="22"/>
        <v>110.42485439447108</v>
      </c>
      <c r="FI32" s="59">
        <f t="shared" si="23"/>
        <v>403.7581877278044</v>
      </c>
      <c r="FJ32" s="59">
        <f ca="1">AVERAGE(OFFSET($FI$3,0,0,'Données projet'!$E$16+1,1))-AVERAGE(OFFSET($H$3,0,0,'Données projet'!$E$16+1,1))</f>
        <v>102.86738524979938</v>
      </c>
      <c r="FK32" s="59">
        <f t="shared" si="48"/>
        <v>56.347130462109817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7.9</v>
      </c>
      <c r="FZ32" s="12">
        <f>IF('Données projet'!$A$244&gt;35,FZ31+FY32-GH31,IF(A32&lt;'Données projet'!$A$244,$FW$205^A32,IF(A32='Données projet'!$A$244,'Données projet'!$B$244,FZ31+FY32-GH31)))</f>
        <v>124.10000000000005</v>
      </c>
      <c r="GA32" s="17">
        <f>FZ32*VLOOKUP('Données projet'!$B$17,Paramètres!$A$1:$I$89,3,0)*VLOOKUP('Données projet'!$B$17,Paramètres!$A$1:$I$89,5,0)</f>
        <v>83.246280000000041</v>
      </c>
      <c r="GB32" s="13">
        <f t="shared" si="49"/>
        <v>22.929069646089474</v>
      </c>
      <c r="GC32" s="20">
        <f t="shared" si="25"/>
        <v>184.92206730027257</v>
      </c>
      <c r="GD32" s="59">
        <f t="shared" si="26"/>
        <v>478.25540063360586</v>
      </c>
      <c r="GE32" s="59">
        <f ca="1">AVERAGE(OFFSET($GD$3,0,0,'Données projet'!$E$17+1,1))-AVERAGE(OFFSET($H$3,0,0,'Données projet'!$E$17+1,1))</f>
        <v>168.00454652899231</v>
      </c>
      <c r="GF32" s="59">
        <f t="shared" si="50"/>
        <v>135.31958994080446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0</v>
      </c>
      <c r="GN32" s="21">
        <f>EXP(-LN(2)/2)*GN31+(1-EXP(-LN(2)/2))/(LN(2)/2)*GH32*GK32*VLOOKUP('Données projet'!$B$17,Paramètres!$A$1:$I$89,3,0)*0.475*44/12</f>
        <v>0</v>
      </c>
      <c r="GO32" s="21">
        <f t="shared" si="27"/>
        <v>0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121.88461538461537</v>
      </c>
      <c r="L33" s="12">
        <f>VLOOKUP(A33,'Données projet'!$A$35:$I$55,9,0)</f>
        <v>4.0628205128205126</v>
      </c>
      <c r="M33" s="12">
        <f t="array" ref="M33">INDEX(L:L,MIN(IF(ISNUMBER(L33:L229),ROW(L33:L229),"")))</f>
        <v>4.0628205128205126</v>
      </c>
      <c r="N33" s="13">
        <f>IF('Données projet'!$A$36&gt;35,N32+M33-V32,IF(A33&lt;'Données projet'!$A$36,$K$205^A33,IF(A33='Données projet'!$A$36,'Données projet'!$B$36,N32+M33-V32)))</f>
        <v>121.88461538461537</v>
      </c>
      <c r="O33" s="13">
        <f>N33*VLOOKUP('Données projet'!$B$9,Paramètres!$A$1:$I$89,3,0)*VLOOKUP('Données projet'!$B$9,Paramètres!$A$1:$I$89,5,0)</f>
        <v>110.2812</v>
      </c>
      <c r="P33" s="13">
        <f t="shared" si="33"/>
        <v>29.397227638069996</v>
      </c>
      <c r="Q33" s="20">
        <f t="shared" si="2"/>
        <v>243.27326146963856</v>
      </c>
      <c r="R33" s="59">
        <f t="shared" si="0"/>
        <v>536.60659480297181</v>
      </c>
      <c r="S33" s="59">
        <f ca="1">AVERAGE(OFFSET($R$3,0,0,'Données projet'!$E$9+1,1))-AVERAGE(OFFSET($H$3,0,0,'Données projet'!$E$9+1,1))</f>
        <v>221.7429870520005</v>
      </c>
      <c r="T33" s="59">
        <f t="shared" si="34"/>
        <v>182.2029938397186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87.705128205128204</v>
      </c>
      <c r="AG33" s="12">
        <f>VLOOKUP(A33,'Données projet'!$A$61:$I$81,9,0)</f>
        <v>2.9235042735042733</v>
      </c>
      <c r="AH33" s="12">
        <f t="array" ref="AH33">INDEX(AG:AG,MIN(IF(ISNUMBER(AG33:AG229),ROW(AG33:AG229),"")))</f>
        <v>2.9235042735042733</v>
      </c>
      <c r="AI33" s="13">
        <f>IF('Données projet'!$A$62&gt;35,AI32+AH33-AQ32,IF(A33&lt;'Données projet'!$A$62,$AF$205^A33,IF(A33='Données projet'!$A$62,'Données projet'!$B$62,AI32+AH33-AQ32)))</f>
        <v>87.705128205128204</v>
      </c>
      <c r="AJ33" s="13">
        <f>AI33*VLOOKUP('Données projet'!$B$10,Paramètres!$A$1:$I$89,3,0)*VLOOKUP('Données projet'!$B$10,Paramètres!$A$1:$I$89,5,0)</f>
        <v>79.355599999999995</v>
      </c>
      <c r="AK33" s="13">
        <f t="shared" si="35"/>
        <v>21.979550892373382</v>
      </c>
      <c r="AL33" s="20">
        <f t="shared" si="4"/>
        <v>176.49205447088363</v>
      </c>
      <c r="AM33" s="59">
        <f t="shared" si="5"/>
        <v>469.82538780421692</v>
      </c>
      <c r="AN33" s="59">
        <f ca="1">AVERAGE(OFFSET($AM$3,0,0,'Données projet'!$E$10+1,1))-AVERAGE(OFFSET($H$3,0,0,'Données projet'!$E$10+1,1))</f>
        <v>153.45079678708987</v>
      </c>
      <c r="AO33" s="59">
        <f t="shared" si="36"/>
        <v>115.4217868409637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216.79230769230767</v>
      </c>
      <c r="BB33" s="12">
        <f>VLOOKUP(A33,'Données projet'!$A$87:$I$107,9,0)</f>
        <v>7.2264102564102561</v>
      </c>
      <c r="BC33" s="12">
        <f t="array" ref="BC33">INDEX(BB:BB,MIN(IF(ISNUMBER(BB33:BB229),ROW(BB33:BB229),"")))</f>
        <v>7.2264102564102561</v>
      </c>
      <c r="BD33" s="12">
        <f>IF('Données projet'!$A$88&gt;35,BD32+BC33-BL32,IF(A33&lt;'Données projet'!$A$88,$BA$205^A33,IF(A33='Données projet'!$A$88,'Données projet'!$B$88,BD32+BC33-BL32)))</f>
        <v>216.79230769230767</v>
      </c>
      <c r="BE33" s="13">
        <f>BD33*VLOOKUP('Données projet'!$B$11,Paramètres!$A$1:$I$89,3,0)*VLOOKUP('Données projet'!$B$11,Paramètres!$A$1:$I$89,5,0)</f>
        <v>101.45879999999998</v>
      </c>
      <c r="BF33" s="13">
        <f t="shared" si="37"/>
        <v>27.309243053465156</v>
      </c>
      <c r="BG33" s="20">
        <f t="shared" si="7"/>
        <v>224.27100831811845</v>
      </c>
      <c r="BH33" s="59">
        <f t="shared" si="8"/>
        <v>517.6043416514517</v>
      </c>
      <c r="BI33" s="59">
        <f ca="1">AVERAGE(OFFSET($BH$3,0,0,'Données projet'!$E$11+1,1))-AVERAGE(OFFSET($H$3,0,0,'Données projet'!$E$11+1,1))</f>
        <v>158.58786357608489</v>
      </c>
      <c r="BJ33" s="59">
        <f t="shared" si="38"/>
        <v>163.20074068819849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263</v>
      </c>
      <c r="BW33" s="12">
        <f>VLOOKUP(A33,'Données projet'!$A$113:$I$133,9,0)</f>
        <v>16.5</v>
      </c>
      <c r="BX33" s="12">
        <f t="array" ref="BX33">INDEX(BW:BW,MIN(IF(ISNUMBER(BW33:BW229),ROW(BW33:BW229),"")))</f>
        <v>16.5</v>
      </c>
      <c r="BY33" s="12">
        <f>IF('Données projet'!$A$114&gt;35,BY32+BX33-CG32,IF(A33&lt;'Données projet'!$A$114,$BV$205^A33,IF(A33='Données projet'!$A$114,'Données projet'!$B$114,BY32+BX33-CG32)))</f>
        <v>263</v>
      </c>
      <c r="BZ33" s="13">
        <f>BY33*VLOOKUP('Données projet'!$B$12,Paramètres!$A$1:$I$89,3,0)*VLOOKUP('Données projet'!$B$12,Paramètres!$A$1:$I$89,5,0)</f>
        <v>164.11199999999999</v>
      </c>
      <c r="CA33" s="13">
        <f t="shared" si="39"/>
        <v>41.768614316008147</v>
      </c>
      <c r="CB33" s="20">
        <f t="shared" si="10"/>
        <v>358.57540326704753</v>
      </c>
      <c r="CC33" s="59">
        <f t="shared" si="11"/>
        <v>651.90873660038085</v>
      </c>
      <c r="CD33" s="59">
        <f ca="1">AVERAGE(OFFSET($CC$3,0,0,'Données projet'!$E$12+1,1))-AVERAGE(OFFSET($H$3,0,0,'Données projet'!$E$12+1,1))</f>
        <v>255.41017495879987</v>
      </c>
      <c r="CE33" s="59">
        <f t="shared" si="40"/>
        <v>297.50513563712764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84</v>
      </c>
      <c r="CH33" s="16">
        <f>IF(ISNA(VLOOKUP(A33,'Données projet'!$A$113:$I$133,5,0)),0%,VLOOKUP(A33,'Données projet'!$A$113:$I$133,5,0)*VLOOKUP('Données projet'!$B$12,Paramètres!$A$1:$I$89,7,0))</f>
        <v>0.12</v>
      </c>
      <c r="CI33" s="16">
        <f>IF(ISNA(VLOOKUP(A33,'Données projet'!$A$113:$I$133,6,0)),0%,VLOOKUP(A33,'Données projet'!$A$113:$I$133,6,0)*VLOOKUP('Données projet'!$B$12,Paramètres!$A$1:$I$89,7,0))</f>
        <v>0.24</v>
      </c>
      <c r="CJ33" s="16">
        <f>IF(ISNA(VLOOKUP(A33,'Données projet'!$A$113:$I$133,7,0)),0%,VLOOKUP(A33,'Données projet'!$A$113:$I$133,7,0))</f>
        <v>0.4</v>
      </c>
      <c r="CK33" s="21">
        <f>EXP(-LN(2)/35)*CK32+(1-EXP(-LN(2)/35))/(LN(2)/35)*CG33*CH33*VLOOKUP('Données projet'!$B$12,Paramètres!$A$1:$I$89,3,0)*0.475*44/12</f>
        <v>8.3439842995582705</v>
      </c>
      <c r="CL33" s="21">
        <f>EXP(-LN(2)/25)*CL32+(1-EXP(-LN(2)/25))/(LN(2)/25)*Calculateur!CG33*Calculateur!CI33*VLOOKUP('Données projet'!$B$12,Paramètres!$A$1:$I$89,3,0)*0.475*44/12</f>
        <v>27.869867709859399</v>
      </c>
      <c r="CM33" s="21">
        <f>EXP(-LN(2)/2)*CM32+(1-EXP(-LN(2)/2))/(LN(2)/2)*CG33*CJ33*VLOOKUP('Données projet'!$B$12,Paramètres!$A$1:$I$89,3,0)*0.475*44/12</f>
        <v>24.401191136911876</v>
      </c>
      <c r="CN33" s="22">
        <f t="shared" si="12"/>
        <v>60.615043146329548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9.9692307692307711</v>
      </c>
      <c r="CT33" s="12">
        <f>IF('Données projet'!$A$140&gt;35,CT32+CS33-DB32,IF(A33&lt;'Données projet'!$A$140,$CQ$205^A33,IF(A33='Données projet'!$A$140,'Données projet'!$B$140,CT32+CS33-DB32)))</f>
        <v>128.06923076923073</v>
      </c>
      <c r="CU33" s="17">
        <f>CT33*VLOOKUP('Données projet'!$B$13,Paramètres!$A$1:$I$89,3,0)*VLOOKUP('Données projet'!$B$13,Paramètres!$A$1:$I$89,5,0)</f>
        <v>73.255599999999987</v>
      </c>
      <c r="CV33" s="13">
        <f t="shared" si="41"/>
        <v>20.47978636933837</v>
      </c>
      <c r="CW33" s="20">
        <f t="shared" si="13"/>
        <v>163.25579792659764</v>
      </c>
      <c r="CX33" s="59">
        <f t="shared" si="14"/>
        <v>456.58913125993092</v>
      </c>
      <c r="CY33" s="59">
        <f ca="1">AVERAGE(OFFSET($CX$3,0,0,'Données projet'!$E$13+1,1))-AVERAGE(OFFSET($H$3,0,0,'Données projet'!$E$13+1,1))</f>
        <v>134.70214882504786</v>
      </c>
      <c r="CZ33" s="59">
        <f t="shared" si="42"/>
        <v>102.18553029667771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1.0629978308387569</v>
      </c>
      <c r="DG33" s="21">
        <f>EXP(-LN(2)/25)*DG32+(1-EXP(-LN(2)/25))/(LN(2)/25)*Calculateur!DB33*Calculateur!DD33*VLOOKUP('Données projet'!$B$13,Paramètres!$A$1:$I$89,3,0)*0.475*44/12</f>
        <v>12.549647910650227</v>
      </c>
      <c r="DH33" s="21">
        <f>EXP(-LN(2)/2)*DH32+(1-EXP(-LN(2)/2))/(LN(2)/2)*DB33*DE33*VLOOKUP('Données projet'!$B$13,Paramètres!$A$1:$I$89,3,0)*0.475*44/12</f>
        <v>7.7058964210215084</v>
      </c>
      <c r="DI33" s="22">
        <f t="shared" si="15"/>
        <v>21.318542162510493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12.97179487179487</v>
      </c>
      <c r="DO33" s="12">
        <f>IF('Données projet'!$A$166&gt;35,DO32+DN33-DW32,IF(A33&lt;'Données projet'!$A$166,$DL$205^A33,IF(A33='Données projet'!$A$166,'Données projet'!$B$166,DO32+DN33-DW32)))</f>
        <v>144.98461538461538</v>
      </c>
      <c r="DP33" s="17">
        <f>DO33*VLOOKUP('Données projet'!$B$14,Paramètres!$A$1:$I$89,3,0)*VLOOKUP('Données projet'!$B$14,Paramètres!$A$1:$I$89,5,0)</f>
        <v>86.700800000000001</v>
      </c>
      <c r="DQ33" s="13">
        <f t="shared" si="43"/>
        <v>23.767816195343574</v>
      </c>
      <c r="DR33" s="20">
        <f t="shared" si="16"/>
        <v>192.39950654022337</v>
      </c>
      <c r="DS33" s="59">
        <f t="shared" si="17"/>
        <v>485.73283987355671</v>
      </c>
      <c r="DT33" s="59">
        <f ca="1">AVERAGE(OFFSET($DS$3,0,0,'Données projet'!$E$14+1,1))-AVERAGE(OFFSET($H$3,0,0,'Données projet'!$E$14+1,1))</f>
        <v>179.32848817523677</v>
      </c>
      <c r="DU33" s="59">
        <f t="shared" si="44"/>
        <v>131.3292389103035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13.180078488107524</v>
      </c>
      <c r="EC33" s="21">
        <f>EXP(-LN(2)/2)*EC32+(1-EXP(-LN(2)/2))/(LN(2)/2)*DW33*DZ33*VLOOKUP('Données projet'!$B$14,Paramètres!$A$1:$I$89,3,0)*0.475*44/12</f>
        <v>5.2628693772454289</v>
      </c>
      <c r="ED33" s="22">
        <f t="shared" si="18"/>
        <v>18.442947865352952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331.86923076923074</v>
      </c>
      <c r="EH33" s="12">
        <f>VLOOKUP(A33,'Données projet'!$A$191:$I$211,9,0)</f>
        <v>22.828205128205127</v>
      </c>
      <c r="EI33" s="12">
        <f t="array" ref="EI33">INDEX(EH:EH,MIN(IF(ISNUMBER(EH33:EH229),ROW(EH33:EH229),"")))</f>
        <v>22.828205128205127</v>
      </c>
      <c r="EJ33" s="12">
        <f>IF('Données projet'!$A$192&gt;35,EJ32+EI33-ER32,IF(A33&lt;'Données projet'!$A$192,$EG$205^A33,IF(A33='Données projet'!$A$192,'Données projet'!$B$192,EJ32+EI33-ER32)))</f>
        <v>331.86923076923063</v>
      </c>
      <c r="EK33" s="17">
        <f>EJ33*VLOOKUP('Données projet'!$B$15,Paramètres!$A$1:$I$89,3,0)*VLOOKUP('Données projet'!$B$15,Paramètres!$A$1:$I$89,5,0)</f>
        <v>146.68619999999996</v>
      </c>
      <c r="EL33" s="13">
        <f t="shared" si="45"/>
        <v>37.824536358252047</v>
      </c>
      <c r="EM33" s="20">
        <f t="shared" si="19"/>
        <v>321.35619915728893</v>
      </c>
      <c r="EN33" s="59">
        <f t="shared" si="20"/>
        <v>614.68953249062224</v>
      </c>
      <c r="EO33" s="59">
        <f ca="1">AVERAGE(OFFSET($EN$3,0,0,'Données projet'!$E$15+1,1))-AVERAGE(OFFSET($H$3,0,0,'Données projet'!$E$15+1,1))</f>
        <v>191.932060106699</v>
      </c>
      <c r="EP33" s="59">
        <f t="shared" si="46"/>
        <v>260.28593152736903</v>
      </c>
      <c r="EQ33" s="15">
        <f>IF(ISNA(VLOOKUP(A33,'Données projet'!$A$191:$I$211,3,0)),0,VLOOKUP(A33,'Données projet'!$A$191:$I$211,3,0))</f>
        <v>3</v>
      </c>
      <c r="ER33" s="15">
        <f>IF(ISNA(VLOOKUP(A33,'Données projet'!$A$191:$I$211,4,0)),0,VLOOKUP(A33,'Données projet'!$A$191:$I$211,4,0))</f>
        <v>65.669230769230765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2.4432881112290747</v>
      </c>
      <c r="EW33" s="21">
        <f>EXP(-LN(2)/25)*EW32+(1-EXP(-LN(2)/25))/(LN(2)/25)*Calculateur!ER33*Calculateur!ET33*VLOOKUP('Données projet'!$B$15,Paramètres!$A$1:$I$89,3,0)*0.475*44/12</f>
        <v>12.619739777421216</v>
      </c>
      <c r="EX33" s="21">
        <f>EXP(-LN(2)/2)*EX32+(1-EXP(-LN(2)/2))/(LN(2)/2)*ER33*EU33*VLOOKUP('Données projet'!$B$15,Paramètres!$A$1:$I$89,3,0)*0.475*44/12</f>
        <v>1.3383760628241457</v>
      </c>
      <c r="EY33" s="22">
        <f t="shared" si="21"/>
        <v>16.401403951474435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54</v>
      </c>
      <c r="FC33" s="12">
        <f>VLOOKUP(A33,'Données projet'!$A$217:$I$237,9,0)</f>
        <v>3.3</v>
      </c>
      <c r="FD33" s="12">
        <f t="array" ref="FD33">INDEX(FC:FC,MIN(IF(ISNUMBER(FC33:FC229),ROW(FC33:FC229),"")))</f>
        <v>3.3</v>
      </c>
      <c r="FE33" s="12">
        <f>IF('Données projet'!$A$218&gt;35,FE32+FD33-FM32,IF(A33&lt;'Données projet'!$A$218,$FB$205^A33,IF(A33='Données projet'!$A$218,'Données projet'!$B$218,FE32+FD33-FM32)))</f>
        <v>53.999999999999986</v>
      </c>
      <c r="FF33" s="17">
        <f>FE33*VLOOKUP('Données projet'!$B$16,Paramètres!$A$1:$I$89,3,0)*VLOOKUP('Données projet'!$B$16,Paramètres!$A$1:$I$89,5,0)</f>
        <v>52.228799999999985</v>
      </c>
      <c r="FG33" s="13">
        <f t="shared" si="47"/>
        <v>15.187887899730002</v>
      </c>
      <c r="FH33" s="20">
        <f t="shared" si="22"/>
        <v>117.41739809202973</v>
      </c>
      <c r="FI33" s="59">
        <f t="shared" si="23"/>
        <v>410.75073142536303</v>
      </c>
      <c r="FJ33" s="59">
        <f ca="1">AVERAGE(OFFSET($FI$3,0,0,'Données projet'!$E$16+1,1))-AVERAGE(OFFSET($H$3,0,0,'Données projet'!$E$16+1,1))</f>
        <v>102.86738524979938</v>
      </c>
      <c r="FK33" s="59">
        <f t="shared" si="48"/>
        <v>56.347130462109817</v>
      </c>
      <c r="FL33" s="15">
        <f>IF(ISNA(VLOOKUP(A33,'Données projet'!$A$217:$I$237,3,0)),0,VLOOKUP(A33,'Données projet'!$A$217:$I$237,3,0))</f>
        <v>1</v>
      </c>
      <c r="FM33" s="15">
        <f>IF(ISNA(VLOOKUP(A33,'Données projet'!$A$217:$I$237,4,0)),0,VLOOKUP(A33,'Données projet'!$A$217:$I$237,4,0))</f>
        <v>9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132</v>
      </c>
      <c r="FX33" s="12">
        <f>VLOOKUP(A33,'Données projet'!$A$243:$I$263,9,0)</f>
        <v>7.9</v>
      </c>
      <c r="FY33" s="12">
        <f t="array" ref="FY33">INDEX(FX:FX,MIN(IF(ISNUMBER(FX33:FX229),ROW(FX33:FX229),"")))</f>
        <v>7.9</v>
      </c>
      <c r="FZ33" s="12">
        <f>IF('Données projet'!$A$244&gt;35,FZ32+FY33-GH32,IF(A33&lt;'Données projet'!$A$244,$FW$205^A33,IF(A33='Données projet'!$A$244,'Données projet'!$B$244,FZ32+FY33-GH32)))</f>
        <v>132.00000000000006</v>
      </c>
      <c r="GA33" s="17">
        <f>FZ33*VLOOKUP('Données projet'!$B$17,Paramètres!$A$1:$I$89,3,0)*VLOOKUP('Données projet'!$B$17,Paramètres!$A$1:$I$89,5,0)</f>
        <v>88.54560000000005</v>
      </c>
      <c r="GB33" s="13">
        <f t="shared" si="49"/>
        <v>24.214126834865617</v>
      </c>
      <c r="GC33" s="20">
        <f t="shared" si="25"/>
        <v>196.38985757072433</v>
      </c>
      <c r="GD33" s="59">
        <f t="shared" si="26"/>
        <v>489.72319090405767</v>
      </c>
      <c r="GE33" s="59">
        <f ca="1">AVERAGE(OFFSET($GD$3,0,0,'Données projet'!$E$17+1,1))-AVERAGE(OFFSET($H$3,0,0,'Données projet'!$E$17+1,1))</f>
        <v>168.00454652899231</v>
      </c>
      <c r="GF33" s="59">
        <f t="shared" si="50"/>
        <v>135.31958994080446</v>
      </c>
      <c r="GG33" s="15">
        <f>IF(ISNA(VLOOKUP(A33,'Données projet'!$A$243:$I$263,3,0)),0,VLOOKUP(A33,'Données projet'!$A$243:$I$263,3,0))</f>
        <v>2</v>
      </c>
      <c r="GH33" s="15">
        <f>IF(ISNA(VLOOKUP(A33,'Données projet'!$A$243:$I$263,4,0)),0,VLOOKUP(A33,'Données projet'!$A$243:$I$263,4,0))</f>
        <v>39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0</v>
      </c>
      <c r="GN33" s="21">
        <f>EXP(-LN(2)/2)*GN32+(1-EXP(-LN(2)/2))/(LN(2)/2)*GH33*GK33*VLOOKUP('Données projet'!$B$17,Paramètres!$A$1:$I$89,3,0)*0.475*44/12</f>
        <v>0</v>
      </c>
      <c r="GO33" s="21">
        <f t="shared" si="27"/>
        <v>0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8.0564102564102562</v>
      </c>
      <c r="N34" s="13">
        <f>IF('Données projet'!$A$36&gt;35,N33+M34-V33,IF(A34&lt;'Données projet'!$A$36,$K$205^A34,IF(A34='Données projet'!$A$36,'Données projet'!$B$36,N33+M34-V33)))</f>
        <v>129.94102564102562</v>
      </c>
      <c r="O34" s="13">
        <f>N34*VLOOKUP('Données projet'!$B$9,Paramètres!$A$1:$I$89,3,0)*VLOOKUP('Données projet'!$B$9,Paramètres!$A$1:$I$89,5,0)</f>
        <v>117.57063999999997</v>
      </c>
      <c r="P34" s="13">
        <f t="shared" si="33"/>
        <v>31.107718284302781</v>
      </c>
      <c r="Q34" s="20">
        <f t="shared" si="2"/>
        <v>258.94814067849393</v>
      </c>
      <c r="R34" s="59">
        <f t="shared" si="0"/>
        <v>552.28147401182719</v>
      </c>
      <c r="S34" s="59">
        <f ca="1">AVERAGE(OFFSET($R$3,0,0,'Données projet'!$E$9+1,1))-AVERAGE(OFFSET($H$3,0,0,'Données projet'!$E$9+1,1))</f>
        <v>221.7429870520005</v>
      </c>
      <c r="T34" s="59">
        <f t="shared" si="34"/>
        <v>182.2029938397186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5.3369963369963358</v>
      </c>
      <c r="AI34" s="13">
        <f>IF('Données projet'!$A$62&gt;35,AI33+AH34-AQ33,IF(A34&lt;'Données projet'!$A$62,$AF$205^A34,IF(A34='Données projet'!$A$62,'Données projet'!$B$62,AI33+AH34-AQ33)))</f>
        <v>93.04212454212454</v>
      </c>
      <c r="AJ34" s="13">
        <f>AI34*VLOOKUP('Données projet'!$B$10,Paramètres!$A$1:$I$89,3,0)*VLOOKUP('Données projet'!$B$10,Paramètres!$A$1:$I$89,5,0)</f>
        <v>84.184514285714286</v>
      </c>
      <c r="AK34" s="13">
        <f t="shared" si="35"/>
        <v>23.157263963315572</v>
      </c>
      <c r="AL34" s="20">
        <f t="shared" si="4"/>
        <v>186.95359711706033</v>
      </c>
      <c r="AM34" s="59">
        <f t="shared" si="5"/>
        <v>480.28693045039364</v>
      </c>
      <c r="AN34" s="59">
        <f ca="1">AVERAGE(OFFSET($AM$3,0,0,'Données projet'!$E$10+1,1))-AVERAGE(OFFSET($H$3,0,0,'Données projet'!$E$10+1,1))</f>
        <v>153.45079678708987</v>
      </c>
      <c r="AO34" s="59">
        <f t="shared" si="36"/>
        <v>115.4217868409637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16.131410256410259</v>
      </c>
      <c r="BD34" s="12">
        <f>IF('Données projet'!$A$88&gt;35,BD33+BC34-BL33,IF(A34&lt;'Données projet'!$A$88,$BA$205^A34,IF(A34='Données projet'!$A$88,'Données projet'!$B$88,BD33+BC34-BL33)))</f>
        <v>232.92371794871792</v>
      </c>
      <c r="BE34" s="13">
        <f>BD34*VLOOKUP('Données projet'!$B$11,Paramètres!$A$1:$I$89,3,0)*VLOOKUP('Données projet'!$B$11,Paramètres!$A$1:$I$89,5,0)</f>
        <v>109.00829999999998</v>
      </c>
      <c r="BF34" s="13">
        <f t="shared" si="37"/>
        <v>29.097209307093255</v>
      </c>
      <c r="BG34" s="20">
        <f t="shared" si="7"/>
        <v>240.53376204318738</v>
      </c>
      <c r="BH34" s="59">
        <f t="shared" si="8"/>
        <v>533.86709537652064</v>
      </c>
      <c r="BI34" s="59">
        <f ca="1">AVERAGE(OFFSET($BH$3,0,0,'Données projet'!$E$11+1,1))-AVERAGE(OFFSET($H$3,0,0,'Données projet'!$E$11+1,1))</f>
        <v>158.58786357608489</v>
      </c>
      <c r="BJ34" s="59">
        <f t="shared" si="38"/>
        <v>163.20074068819849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15.1</v>
      </c>
      <c r="BY34" s="12">
        <f>IF('Données projet'!$A$114&gt;35,BY33+BX34-CG33,IF(A34&lt;'Données projet'!$A$114,$BV$205^A34,IF(A34='Données projet'!$A$114,'Données projet'!$B$114,BY33+BX34-CG33)))</f>
        <v>194.10000000000002</v>
      </c>
      <c r="BZ34" s="13">
        <f>BY34*VLOOKUP('Données projet'!$B$12,Paramètres!$A$1:$I$89,3,0)*VLOOKUP('Données projet'!$B$12,Paramètres!$A$1:$I$89,5,0)</f>
        <v>121.11840000000001</v>
      </c>
      <c r="CA34" s="13">
        <f t="shared" si="39"/>
        <v>31.935706725782151</v>
      </c>
      <c r="CB34" s="20">
        <f t="shared" si="10"/>
        <v>266.56923588073727</v>
      </c>
      <c r="CC34" s="59">
        <f t="shared" si="11"/>
        <v>559.90256921407058</v>
      </c>
      <c r="CD34" s="59">
        <f ca="1">AVERAGE(OFFSET($CC$3,0,0,'Données projet'!$E$12+1,1))-AVERAGE(OFFSET($H$3,0,0,'Données projet'!$E$12+1,1))</f>
        <v>255.41017495879987</v>
      </c>
      <c r="CE34" s="59">
        <f t="shared" si="40"/>
        <v>297.50513563712764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8.1803638567718266</v>
      </c>
      <c r="CL34" s="21">
        <f>EXP(-LN(2)/25)*CL33+(1-EXP(-LN(2)/25))/(LN(2)/25)*Calculateur!CG34*Calculateur!CI34*VLOOKUP('Données projet'!$B$12,Paramètres!$A$1:$I$89,3,0)*0.475*44/12</f>
        <v>27.107764711720648</v>
      </c>
      <c r="CM34" s="21">
        <f>EXP(-LN(2)/2)*CM33+(1-EXP(-LN(2)/2))/(LN(2)/2)*CG34*CJ34*VLOOKUP('Données projet'!$B$12,Paramètres!$A$1:$I$89,3,0)*0.475*44/12</f>
        <v>17.254247721939471</v>
      </c>
      <c r="CN34" s="22">
        <f t="shared" si="12"/>
        <v>52.542376290431946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9.9692307692307711</v>
      </c>
      <c r="CT34" s="12">
        <f>IF('Données projet'!$A$140&gt;35,CT33+CS34-DB33,IF(A34&lt;'Données projet'!$A$140,$CQ$205^A34,IF(A34='Données projet'!$A$140,'Données projet'!$B$140,CT33+CS34-DB33)))</f>
        <v>138.03846153846149</v>
      </c>
      <c r="CU34" s="17">
        <f>CT34*VLOOKUP('Données projet'!$B$13,Paramètres!$A$1:$I$89,3,0)*VLOOKUP('Données projet'!$B$13,Paramètres!$A$1:$I$89,5,0)</f>
        <v>78.95799999999997</v>
      </c>
      <c r="CV34" s="13">
        <f t="shared" si="41"/>
        <v>21.882215635967121</v>
      </c>
      <c r="CW34" s="20">
        <f t="shared" si="13"/>
        <v>175.63004223264269</v>
      </c>
      <c r="CX34" s="59">
        <f t="shared" si="14"/>
        <v>468.96337556597598</v>
      </c>
      <c r="CY34" s="59">
        <f ca="1">AVERAGE(OFFSET($CX$3,0,0,'Données projet'!$E$13+1,1))-AVERAGE(OFFSET($H$3,0,0,'Données projet'!$E$13+1,1))</f>
        <v>134.70214882504786</v>
      </c>
      <c r="CZ34" s="59">
        <f t="shared" si="42"/>
        <v>102.18553029667771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1.0421530917406649</v>
      </c>
      <c r="DG34" s="21">
        <f>EXP(-LN(2)/25)*DG33+(1-EXP(-LN(2)/25))/(LN(2)/25)*Calculateur!DB34*Calculateur!DD34*VLOOKUP('Données projet'!$B$13,Paramètres!$A$1:$I$89,3,0)*0.475*44/12</f>
        <v>12.206477128576196</v>
      </c>
      <c r="DH34" s="21">
        <f>EXP(-LN(2)/2)*DH33+(1-EXP(-LN(2)/2))/(LN(2)/2)*DB34*DE34*VLOOKUP('Données projet'!$B$13,Paramètres!$A$1:$I$89,3,0)*0.475*44/12</f>
        <v>5.448891614425456</v>
      </c>
      <c r="DI34" s="22">
        <f t="shared" si="15"/>
        <v>18.697521834742318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12.97179487179487</v>
      </c>
      <c r="DO34" s="12">
        <f>IF('Données projet'!$A$166&gt;35,DO33+DN34-DW33,IF(A34&lt;'Données projet'!$A$166,$DL$205^A34,IF(A34='Données projet'!$A$166,'Données projet'!$B$166,DO33+DN34-DW33)))</f>
        <v>157.95641025641027</v>
      </c>
      <c r="DP34" s="17">
        <f>DO34*VLOOKUP('Données projet'!$B$14,Paramètres!$A$1:$I$89,3,0)*VLOOKUP('Données projet'!$B$14,Paramètres!$A$1:$I$89,5,0)</f>
        <v>94.457933333333344</v>
      </c>
      <c r="DQ34" s="13">
        <f t="shared" si="43"/>
        <v>25.637327417415943</v>
      </c>
      <c r="DR34" s="20">
        <f t="shared" si="16"/>
        <v>209.16591247422164</v>
      </c>
      <c r="DS34" s="59">
        <f t="shared" si="17"/>
        <v>502.49924580755498</v>
      </c>
      <c r="DT34" s="59">
        <f ca="1">AVERAGE(OFFSET($DS$3,0,0,'Données projet'!$E$14+1,1))-AVERAGE(OFFSET($H$3,0,0,'Données projet'!$E$14+1,1))</f>
        <v>179.32848817523677</v>
      </c>
      <c r="DU34" s="59">
        <f t="shared" si="44"/>
        <v>131.3292389103035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12.819668548740019</v>
      </c>
      <c r="EC34" s="21">
        <f>EXP(-LN(2)/2)*EC33+(1-EXP(-LN(2)/2))/(LN(2)/2)*DW34*DZ34*VLOOKUP('Données projet'!$B$14,Paramètres!$A$1:$I$89,3,0)*0.475*44/12</f>
        <v>3.7214106251492653</v>
      </c>
      <c r="ED34" s="22">
        <f t="shared" si="18"/>
        <v>16.541079173889283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22.884615384615376</v>
      </c>
      <c r="EJ34" s="12">
        <f>IF('Données projet'!$A$192&gt;35,EJ33+EI34-ER33,IF(A34&lt;'Données projet'!$A$192,$EG$205^A34,IF(A34='Données projet'!$A$192,'Données projet'!$B$192,EJ33+EI34-ER33)))</f>
        <v>289.08461538461523</v>
      </c>
      <c r="EK34" s="17">
        <f>EJ34*VLOOKUP('Données projet'!$B$15,Paramètres!$A$1:$I$89,3,0)*VLOOKUP('Données projet'!$B$15,Paramètres!$A$1:$I$89,5,0)</f>
        <v>127.77539999999995</v>
      </c>
      <c r="EL34" s="13">
        <f t="shared" si="45"/>
        <v>33.481804347398452</v>
      </c>
      <c r="EM34" s="20">
        <f t="shared" si="19"/>
        <v>280.85629757171887</v>
      </c>
      <c r="EN34" s="59">
        <f t="shared" si="20"/>
        <v>574.18963090505213</v>
      </c>
      <c r="EO34" s="59">
        <f ca="1">AVERAGE(OFFSET($EN$3,0,0,'Données projet'!$E$15+1,1))-AVERAGE(OFFSET($H$3,0,0,'Données projet'!$E$15+1,1))</f>
        <v>191.932060106699</v>
      </c>
      <c r="EP34" s="59">
        <f t="shared" si="46"/>
        <v>260.28593152736903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2.3953767216264694</v>
      </c>
      <c r="EW34" s="21">
        <f>EXP(-LN(2)/25)*EW33+(1-EXP(-LN(2)/25))/(LN(2)/25)*Calculateur!ER34*Calculateur!ET34*VLOOKUP('Données projet'!$B$15,Paramètres!$A$1:$I$89,3,0)*0.475*44/12</f>
        <v>12.274652329564361</v>
      </c>
      <c r="EX34" s="21">
        <f>EXP(-LN(2)/2)*EX33+(1-EXP(-LN(2)/2))/(LN(2)/2)*ER34*EU34*VLOOKUP('Données projet'!$B$15,Paramètres!$A$1:$I$89,3,0)*0.475*44/12</f>
        <v>0.94637478980070622</v>
      </c>
      <c r="EY34" s="22">
        <f t="shared" si="21"/>
        <v>15.616403840991538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3.8</v>
      </c>
      <c r="FE34" s="12">
        <f>IF('Données projet'!$A$218&gt;35,FE33+FD34-FM33,IF(A34&lt;'Données projet'!$A$218,$FB$205^A34,IF(A34='Données projet'!$A$218,'Données projet'!$B$218,FE33+FD34-FM33)))</f>
        <v>48.799999999999983</v>
      </c>
      <c r="FF34" s="17">
        <f>FE34*VLOOKUP('Données projet'!$B$16,Paramètres!$A$1:$I$89,3,0)*VLOOKUP('Données projet'!$B$16,Paramètres!$A$1:$I$89,5,0)</f>
        <v>47.199359999999984</v>
      </c>
      <c r="FG34" s="13">
        <f t="shared" si="47"/>
        <v>13.888073668781496</v>
      </c>
      <c r="FH34" s="20">
        <f t="shared" si="22"/>
        <v>106.39394697312774</v>
      </c>
      <c r="FI34" s="59">
        <f t="shared" si="23"/>
        <v>399.72728030646107</v>
      </c>
      <c r="FJ34" s="59">
        <f ca="1">AVERAGE(OFFSET($FI$3,0,0,'Données projet'!$E$16+1,1))-AVERAGE(OFFSET($H$3,0,0,'Données projet'!$E$16+1,1))</f>
        <v>102.86738524979938</v>
      </c>
      <c r="FK34" s="59">
        <f t="shared" si="48"/>
        <v>56.347130462109817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8.6999999999999993</v>
      </c>
      <c r="FZ34" s="12">
        <f>IF('Données projet'!$A$244&gt;35,FZ33+FY34-GH33,IF(A34&lt;'Données projet'!$A$244,$FW$205^A34,IF(A34='Données projet'!$A$244,'Données projet'!$B$244,FZ33+FY34-GH33)))</f>
        <v>101.70000000000005</v>
      </c>
      <c r="GA34" s="17">
        <f>FZ34*VLOOKUP('Données projet'!$B$17,Paramètres!$A$1:$I$89,3,0)*VLOOKUP('Données projet'!$B$17,Paramètres!$A$1:$I$89,5,0)</f>
        <v>68.220360000000028</v>
      </c>
      <c r="GB34" s="13">
        <f t="shared" si="49"/>
        <v>19.230850041181842</v>
      </c>
      <c r="GC34" s="20">
        <f t="shared" si="25"/>
        <v>152.31085748839175</v>
      </c>
      <c r="GD34" s="59">
        <f t="shared" si="26"/>
        <v>445.64419082172503</v>
      </c>
      <c r="GE34" s="59">
        <f ca="1">AVERAGE(OFFSET($GD$3,0,0,'Données projet'!$E$17+1,1))-AVERAGE(OFFSET($H$3,0,0,'Données projet'!$E$17+1,1))</f>
        <v>168.00454652899231</v>
      </c>
      <c r="GF34" s="59">
        <f t="shared" si="50"/>
        <v>135.31958994080446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0</v>
      </c>
      <c r="GM34" s="21">
        <f>EXP(-LN(2)/25)*GM33+(1-EXP(-LN(2)/25))/(LN(2)/25)*Calculateur!GH34*Calculateur!GJ34*VLOOKUP('Données projet'!$B$17,Paramètres!$A$1:$I$89,3,0)*0.475*44/12</f>
        <v>0</v>
      </c>
      <c r="GN34" s="21">
        <f>EXP(-LN(2)/2)*GN33+(1-EXP(-LN(2)/2))/(LN(2)/2)*GH34*GK34*VLOOKUP('Données projet'!$B$17,Paramètres!$A$1:$I$89,3,0)*0.475*44/12</f>
        <v>0</v>
      </c>
      <c r="GO34" s="21">
        <f t="shared" si="27"/>
        <v>0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8.0564102564102562</v>
      </c>
      <c r="N35" s="13">
        <f>IF('Données projet'!$A$36&gt;35,N34+M35-V34,IF(A35&lt;'Données projet'!$A$36,$K$205^A35,IF(A35='Données projet'!$A$36,'Données projet'!$B$36,N34+M35-V34)))</f>
        <v>137.99743589743588</v>
      </c>
      <c r="O35" s="13">
        <f>N35*VLOOKUP('Données projet'!$B$9,Paramètres!$A$1:$I$89,3,0)*VLOOKUP('Données projet'!$B$9,Paramètres!$A$1:$I$89,5,0)</f>
        <v>124.86007999999998</v>
      </c>
      <c r="P35" s="13">
        <f t="shared" si="33"/>
        <v>32.805900674075268</v>
      </c>
      <c r="Q35" s="20">
        <f t="shared" ref="Q35:Q66" si="53">(O35+P35)*0.475*44/12</f>
        <v>274.60158300734776</v>
      </c>
      <c r="R35" s="59">
        <f t="shared" si="0"/>
        <v>567.93491634068107</v>
      </c>
      <c r="S35" s="59">
        <f ca="1">AVERAGE(OFFSET($R$3,0,0,'Données projet'!$E$9+1,1))-AVERAGE(OFFSET($H$3,0,0,'Données projet'!$E$9+1,1))</f>
        <v>221.7429870520005</v>
      </c>
      <c r="T35" s="59">
        <f t="shared" si="34"/>
        <v>182.2029938397186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5.3369963369963358</v>
      </c>
      <c r="AI35" s="13">
        <f>IF('Données projet'!$A$62&gt;35,AI34+AH35-AQ34,IF(A35&lt;'Données projet'!$A$62,$AF$205^A35,IF(A35='Données projet'!$A$62,'Données projet'!$B$62,AI34+AH35-AQ34)))</f>
        <v>98.379120879120876</v>
      </c>
      <c r="AJ35" s="13">
        <f>AI35*VLOOKUP('Données projet'!$B$10,Paramètres!$A$1:$I$89,3,0)*VLOOKUP('Données projet'!$B$10,Paramètres!$A$1:$I$89,5,0)</f>
        <v>89.013428571428562</v>
      </c>
      <c r="AK35" s="13">
        <f t="shared" si="35"/>
        <v>24.327135299174682</v>
      </c>
      <c r="AL35" s="20">
        <f t="shared" si="4"/>
        <v>197.40148207463395</v>
      </c>
      <c r="AM35" s="59">
        <f t="shared" si="5"/>
        <v>490.73481540796729</v>
      </c>
      <c r="AN35" s="59">
        <f ca="1">AVERAGE(OFFSET($AM$3,0,0,'Données projet'!$E$10+1,1))-AVERAGE(OFFSET($H$3,0,0,'Données projet'!$E$10+1,1))</f>
        <v>153.45079678708987</v>
      </c>
      <c r="AO35" s="59">
        <f t="shared" si="36"/>
        <v>115.4217868409637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16.131410256410259</v>
      </c>
      <c r="BD35" s="12">
        <f>IF('Données projet'!$A$88&gt;35,BD34+BC35-BL34,IF(A35&lt;'Données projet'!$A$88,$BA$205^A35,IF(A35='Données projet'!$A$88,'Données projet'!$B$88,BD34+BC35-BL34)))</f>
        <v>249.05512820512817</v>
      </c>
      <c r="BE35" s="13">
        <f>BD35*VLOOKUP('Données projet'!$B$11,Paramètres!$A$1:$I$89,3,0)*VLOOKUP('Données projet'!$B$11,Paramètres!$A$1:$I$89,5,0)</f>
        <v>116.55779999999997</v>
      </c>
      <c r="BF35" s="13">
        <f t="shared" si="37"/>
        <v>30.870807833785406</v>
      </c>
      <c r="BG35" s="20">
        <f t="shared" si="7"/>
        <v>256.7714919771762</v>
      </c>
      <c r="BH35" s="59">
        <f t="shared" si="8"/>
        <v>550.10482531050957</v>
      </c>
      <c r="BI35" s="59">
        <f ca="1">AVERAGE(OFFSET($BH$3,0,0,'Données projet'!$E$11+1,1))-AVERAGE(OFFSET($H$3,0,0,'Données projet'!$E$11+1,1))</f>
        <v>158.58786357608489</v>
      </c>
      <c r="BJ35" s="59">
        <f t="shared" si="38"/>
        <v>163.20074068819849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15.1</v>
      </c>
      <c r="BY35" s="12">
        <f>IF('Données projet'!$A$114&gt;35,BY34+BX35-CG34,IF(A35&lt;'Données projet'!$A$114,$BV$205^A35,IF(A35='Données projet'!$A$114,'Données projet'!$B$114,BY34+BX35-CG34)))</f>
        <v>209.20000000000002</v>
      </c>
      <c r="BZ35" s="13">
        <f>BY35*VLOOKUP('Données projet'!$B$12,Paramètres!$A$1:$I$89,3,0)*VLOOKUP('Données projet'!$B$12,Paramètres!$A$1:$I$89,5,0)</f>
        <v>130.54080000000002</v>
      </c>
      <c r="CA35" s="13">
        <f t="shared" si="39"/>
        <v>34.121292125762963</v>
      </c>
      <c r="CB35" s="20">
        <f t="shared" si="10"/>
        <v>286.78647711903716</v>
      </c>
      <c r="CC35" s="59">
        <f t="shared" si="11"/>
        <v>580.11981045237053</v>
      </c>
      <c r="CD35" s="59">
        <f ca="1">AVERAGE(OFFSET($CC$3,0,0,'Données projet'!$E$12+1,1))-AVERAGE(OFFSET($H$3,0,0,'Données projet'!$E$12+1,1))</f>
        <v>255.41017495879987</v>
      </c>
      <c r="CE35" s="59">
        <f t="shared" si="40"/>
        <v>297.50513563712764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8.0199519110698088</v>
      </c>
      <c r="CL35" s="21">
        <f>EXP(-LN(2)/25)*CL34+(1-EXP(-LN(2)/25))/(LN(2)/25)*Calculateur!CG35*Calculateur!CI35*VLOOKUP('Données projet'!$B$12,Paramètres!$A$1:$I$89,3,0)*0.475*44/12</f>
        <v>26.366501460143258</v>
      </c>
      <c r="CM35" s="21">
        <f>EXP(-LN(2)/2)*CM34+(1-EXP(-LN(2)/2))/(LN(2)/2)*CG35*CJ35*VLOOKUP('Données projet'!$B$12,Paramètres!$A$1:$I$89,3,0)*0.475*44/12</f>
        <v>12.20059556845594</v>
      </c>
      <c r="CN35" s="22">
        <f t="shared" si="12"/>
        <v>46.587048939669003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9.9692307692307711</v>
      </c>
      <c r="CT35" s="12">
        <f>IF('Données projet'!$A$140&gt;35,CT34+CS35-DB34,IF(A35&lt;'Données projet'!$A$140,$CQ$205^A35,IF(A35='Données projet'!$A$140,'Données projet'!$B$140,CT34+CS35-DB34)))</f>
        <v>148.00769230769225</v>
      </c>
      <c r="CU35" s="17">
        <f>CT35*VLOOKUP('Données projet'!$B$13,Paramètres!$A$1:$I$89,3,0)*VLOOKUP('Données projet'!$B$13,Paramètres!$A$1:$I$89,5,0)</f>
        <v>84.660399999999981</v>
      </c>
      <c r="CV35" s="13">
        <f t="shared" si="41"/>
        <v>23.272894037632273</v>
      </c>
      <c r="CW35" s="20">
        <f t="shared" si="13"/>
        <v>187.98382044887614</v>
      </c>
      <c r="CX35" s="59">
        <f t="shared" si="14"/>
        <v>481.31715378220946</v>
      </c>
      <c r="CY35" s="59">
        <f ca="1">AVERAGE(OFFSET($CX$3,0,0,'Données projet'!$E$13+1,1))-AVERAGE(OFFSET($H$3,0,0,'Données projet'!$E$13+1,1))</f>
        <v>134.70214882504786</v>
      </c>
      <c r="CZ35" s="59">
        <f t="shared" si="42"/>
        <v>102.18553029667771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1.0217171052622511</v>
      </c>
      <c r="DG35" s="21">
        <f>EXP(-LN(2)/25)*DG34+(1-EXP(-LN(2)/25))/(LN(2)/25)*Calculateur!DB35*Calculateur!DD35*VLOOKUP('Données projet'!$B$13,Paramètres!$A$1:$I$89,3,0)*0.475*44/12</f>
        <v>11.872690369584546</v>
      </c>
      <c r="DH35" s="21">
        <f>EXP(-LN(2)/2)*DH34+(1-EXP(-LN(2)/2))/(LN(2)/2)*DB35*DE35*VLOOKUP('Données projet'!$B$13,Paramètres!$A$1:$I$89,3,0)*0.475*44/12</f>
        <v>3.8529482105107546</v>
      </c>
      <c r="DI35" s="22">
        <f t="shared" si="15"/>
        <v>16.747355685357551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12.97179487179487</v>
      </c>
      <c r="DO35" s="12">
        <f>IF('Données projet'!$A$166&gt;35,DO34+DN35-DW34,IF(A35&lt;'Données projet'!$A$166,$DL$205^A35,IF(A35='Données projet'!$A$166,'Données projet'!$B$166,DO34+DN35-DW34)))</f>
        <v>170.92820512820515</v>
      </c>
      <c r="DP35" s="17">
        <f>DO35*VLOOKUP('Données projet'!$B$14,Paramètres!$A$1:$I$89,3,0)*VLOOKUP('Données projet'!$B$14,Paramètres!$A$1:$I$89,5,0)</f>
        <v>102.21506666666667</v>
      </c>
      <c r="DQ35" s="13">
        <f t="shared" si="43"/>
        <v>27.489031873505194</v>
      </c>
      <c r="DR35" s="20">
        <f t="shared" si="16"/>
        <v>225.90130495746598</v>
      </c>
      <c r="DS35" s="59">
        <f t="shared" si="17"/>
        <v>519.23463829079924</v>
      </c>
      <c r="DT35" s="59">
        <f ca="1">AVERAGE(OFFSET($DS$3,0,0,'Données projet'!$E$14+1,1))-AVERAGE(OFFSET($H$3,0,0,'Données projet'!$E$14+1,1))</f>
        <v>179.32848817523677</v>
      </c>
      <c r="DU35" s="59">
        <f t="shared" si="44"/>
        <v>131.3292389103035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12.469114038117654</v>
      </c>
      <c r="EC35" s="21">
        <f>EXP(-LN(2)/2)*EC34+(1-EXP(-LN(2)/2))/(LN(2)/2)*DW35*DZ35*VLOOKUP('Données projet'!$B$14,Paramètres!$A$1:$I$89,3,0)*0.475*44/12</f>
        <v>2.6314346886227149</v>
      </c>
      <c r="ED35" s="22">
        <f t="shared" si="18"/>
        <v>15.100548726740369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22.884615384615376</v>
      </c>
      <c r="EJ35" s="12">
        <f>IF('Données projet'!$A$192&gt;35,EJ34+EI35-ER34,IF(A35&lt;'Données projet'!$A$192,$EG$205^A35,IF(A35='Données projet'!$A$192,'Données projet'!$B$192,EJ34+EI35-ER34)))</f>
        <v>311.96923076923059</v>
      </c>
      <c r="EK35" s="17">
        <f>EJ35*VLOOKUP('Données projet'!$B$15,Paramètres!$A$1:$I$89,3,0)*VLOOKUP('Données projet'!$B$15,Paramètres!$A$1:$I$89,5,0)</f>
        <v>137.89039999999994</v>
      </c>
      <c r="EL35" s="13">
        <f t="shared" si="45"/>
        <v>35.813299531301617</v>
      </c>
      <c r="EM35" s="20">
        <f t="shared" si="19"/>
        <v>302.53394335035017</v>
      </c>
      <c r="EN35" s="59">
        <f t="shared" si="20"/>
        <v>595.86727668368349</v>
      </c>
      <c r="EO35" s="59">
        <f ca="1">AVERAGE(OFFSET($EN$3,0,0,'Données projet'!$E$15+1,1))-AVERAGE(OFFSET($H$3,0,0,'Données projet'!$E$15+1,1))</f>
        <v>191.932060106699</v>
      </c>
      <c r="EP35" s="59">
        <f t="shared" si="46"/>
        <v>260.28593152736903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2.3484048451509092</v>
      </c>
      <c r="EW35" s="21">
        <f>EXP(-LN(2)/25)*EW34+(1-EXP(-LN(2)/25))/(LN(2)/25)*Calculateur!ER35*Calculateur!ET35*VLOOKUP('Données projet'!$B$15,Paramètres!$A$1:$I$89,3,0)*0.475*44/12</f>
        <v>11.939001316116512</v>
      </c>
      <c r="EX35" s="21">
        <f>EXP(-LN(2)/2)*EX34+(1-EXP(-LN(2)/2))/(LN(2)/2)*ER35*EU35*VLOOKUP('Données projet'!$B$15,Paramètres!$A$1:$I$89,3,0)*0.475*44/12</f>
        <v>0.66918803141207295</v>
      </c>
      <c r="EY35" s="22">
        <f t="shared" si="21"/>
        <v>14.956594192679495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3.8</v>
      </c>
      <c r="FE35" s="12">
        <f>IF('Données projet'!$A$218&gt;35,FE34+FD35-FM34,IF(A35&lt;'Données projet'!$A$218,$FB$205^A35,IF(A35='Données projet'!$A$218,'Données projet'!$B$218,FE34+FD35-FM34)))</f>
        <v>52.59999999999998</v>
      </c>
      <c r="FF35" s="17">
        <f>FE35*VLOOKUP('Données projet'!$B$16,Paramètres!$A$1:$I$89,3,0)*VLOOKUP('Données projet'!$B$16,Paramètres!$A$1:$I$89,5,0)</f>
        <v>50.874719999999982</v>
      </c>
      <c r="FG35" s="13">
        <f t="shared" si="47"/>
        <v>14.839431395809038</v>
      </c>
      <c r="FH35" s="20">
        <f t="shared" si="22"/>
        <v>114.45214701436738</v>
      </c>
      <c r="FI35" s="59">
        <f t="shared" si="23"/>
        <v>407.78548034770068</v>
      </c>
      <c r="FJ35" s="59">
        <f ca="1">AVERAGE(OFFSET($FI$3,0,0,'Données projet'!$E$16+1,1))-AVERAGE(OFFSET($H$3,0,0,'Données projet'!$E$16+1,1))</f>
        <v>102.86738524979938</v>
      </c>
      <c r="FK35" s="59">
        <f t="shared" si="48"/>
        <v>56.347130462109817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8.6999999999999993</v>
      </c>
      <c r="FZ35" s="12">
        <f>IF('Données projet'!$A$244&gt;35,FZ34+FY35-GH34,IF(A35&lt;'Données projet'!$A$244,$FW$205^A35,IF(A35='Données projet'!$A$244,'Données projet'!$B$244,FZ34+FY35-GH34)))</f>
        <v>110.40000000000005</v>
      </c>
      <c r="GA35" s="17">
        <f>FZ35*VLOOKUP('Données projet'!$B$17,Paramètres!$A$1:$I$89,3,0)*VLOOKUP('Données projet'!$B$17,Paramètres!$A$1:$I$89,5,0)</f>
        <v>74.056320000000042</v>
      </c>
      <c r="GB35" s="13">
        <f t="shared" si="49"/>
        <v>20.677458629204789</v>
      </c>
      <c r="GC35" s="20">
        <f t="shared" si="25"/>
        <v>164.99466444586508</v>
      </c>
      <c r="GD35" s="59">
        <f t="shared" si="26"/>
        <v>458.32799777919843</v>
      </c>
      <c r="GE35" s="59">
        <f ca="1">AVERAGE(OFFSET($GD$3,0,0,'Données projet'!$E$17+1,1))-AVERAGE(OFFSET($H$3,0,0,'Données projet'!$E$17+1,1))</f>
        <v>168.00454652899231</v>
      </c>
      <c r="GF35" s="59">
        <f t="shared" si="50"/>
        <v>135.31958994080446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0</v>
      </c>
      <c r="GM35" s="21">
        <f>EXP(-LN(2)/25)*GM34+(1-EXP(-LN(2)/25))/(LN(2)/25)*Calculateur!GH35*Calculateur!GJ35*VLOOKUP('Données projet'!$B$17,Paramètres!$A$1:$I$89,3,0)*0.475*44/12</f>
        <v>0</v>
      </c>
      <c r="GN35" s="21">
        <f>EXP(-LN(2)/2)*GN34+(1-EXP(-LN(2)/2))/(LN(2)/2)*GH35*GK35*VLOOKUP('Données projet'!$B$17,Paramètres!$A$1:$I$89,3,0)*0.475*44/12</f>
        <v>0</v>
      </c>
      <c r="GO35" s="21">
        <f t="shared" si="27"/>
        <v>0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8.0564102564102562</v>
      </c>
      <c r="N36" s="13">
        <f>IF('Données projet'!$A$36&gt;35,N35+M36-V35,IF(A36&lt;'Données projet'!$A$36,$K$205^A36,IF(A36='Données projet'!$A$36,'Données projet'!$B$36,N35+M36-V35)))</f>
        <v>146.05384615384614</v>
      </c>
      <c r="O36" s="13">
        <f>N36*VLOOKUP('Données projet'!$B$9,Paramètres!$A$1:$I$89,3,0)*VLOOKUP('Données projet'!$B$9,Paramètres!$A$1:$I$89,5,0)</f>
        <v>132.14951999999997</v>
      </c>
      <c r="P36" s="13">
        <f t="shared" si="33"/>
        <v>34.49257523106499</v>
      </c>
      <c r="Q36" s="20">
        <f t="shared" si="53"/>
        <v>290.23498252743809</v>
      </c>
      <c r="R36" s="59">
        <f t="shared" si="0"/>
        <v>583.56831586077146</v>
      </c>
      <c r="S36" s="59">
        <f ca="1">AVERAGE(OFFSET($R$3,0,0,'Données projet'!$E$9+1,1))-AVERAGE(OFFSET($H$3,0,0,'Données projet'!$E$9+1,1))</f>
        <v>221.7429870520005</v>
      </c>
      <c r="T36" s="59">
        <f t="shared" si="34"/>
        <v>182.2029938397186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5.3369963369963358</v>
      </c>
      <c r="AI36" s="13">
        <f>IF('Données projet'!$A$62&gt;35,AI35+AH36-AQ35,IF(A36&lt;'Données projet'!$A$62,$AF$205^A36,IF(A36='Données projet'!$A$62,'Données projet'!$B$62,AI35+AH36-AQ35)))</f>
        <v>103.71611721611721</v>
      </c>
      <c r="AJ36" s="13">
        <f>AI36*VLOOKUP('Données projet'!$B$10,Paramètres!$A$1:$I$89,3,0)*VLOOKUP('Données projet'!$B$10,Paramètres!$A$1:$I$89,5,0)</f>
        <v>93.842342857142853</v>
      </c>
      <c r="AK36" s="13">
        <f t="shared" si="35"/>
        <v>25.489638806781517</v>
      </c>
      <c r="AL36" s="20">
        <f t="shared" si="4"/>
        <v>207.83653473133492</v>
      </c>
      <c r="AM36" s="59">
        <f t="shared" si="5"/>
        <v>501.16986806466821</v>
      </c>
      <c r="AN36" s="59">
        <f ca="1">AVERAGE(OFFSET($AM$3,0,0,'Données projet'!$E$10+1,1))-AVERAGE(OFFSET($H$3,0,0,'Données projet'!$E$10+1,1))</f>
        <v>153.45079678708987</v>
      </c>
      <c r="AO36" s="59">
        <f t="shared" si="36"/>
        <v>115.4217868409637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16.131410256410259</v>
      </c>
      <c r="BD36" s="12">
        <f>IF('Données projet'!$A$88&gt;35,BD35+BC36-BL35,IF(A36&lt;'Données projet'!$A$88,$BA$205^A36,IF(A36='Données projet'!$A$88,'Données projet'!$B$88,BD35+BC36-BL35)))</f>
        <v>265.18653846153842</v>
      </c>
      <c r="BE36" s="13">
        <f>BD36*VLOOKUP('Données projet'!$B$11,Paramètres!$A$1:$I$89,3,0)*VLOOKUP('Données projet'!$B$11,Paramètres!$A$1:$I$89,5,0)</f>
        <v>124.10729999999997</v>
      </c>
      <c r="BF36" s="13">
        <f t="shared" si="37"/>
        <v>32.631075149258578</v>
      </c>
      <c r="BG36" s="20">
        <f t="shared" si="7"/>
        <v>272.98600338495862</v>
      </c>
      <c r="BH36" s="59">
        <f t="shared" si="8"/>
        <v>566.31933671829188</v>
      </c>
      <c r="BI36" s="59">
        <f ca="1">AVERAGE(OFFSET($BH$3,0,0,'Données projet'!$E$11+1,1))-AVERAGE(OFFSET($H$3,0,0,'Données projet'!$E$11+1,1))</f>
        <v>158.58786357608489</v>
      </c>
      <c r="BJ36" s="59">
        <f t="shared" si="38"/>
        <v>163.20074068819849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15.1</v>
      </c>
      <c r="BY36" s="12">
        <f>IF('Données projet'!$A$114&gt;35,BY35+BX36-CG35,IF(A36&lt;'Données projet'!$A$114,$BV$205^A36,IF(A36='Données projet'!$A$114,'Données projet'!$B$114,BY35+BX36-CG35)))</f>
        <v>224.3</v>
      </c>
      <c r="BZ36" s="13">
        <f>BY36*VLOOKUP('Données projet'!$B$12,Paramètres!$A$1:$I$89,3,0)*VLOOKUP('Données projet'!$B$12,Paramètres!$A$1:$I$89,5,0)</f>
        <v>139.9632</v>
      </c>
      <c r="CA36" s="13">
        <f t="shared" si="39"/>
        <v>36.288575002787859</v>
      </c>
      <c r="CB36" s="20">
        <f t="shared" si="10"/>
        <v>306.97184146318881</v>
      </c>
      <c r="CC36" s="59">
        <f t="shared" si="11"/>
        <v>600.30517479652212</v>
      </c>
      <c r="CD36" s="59">
        <f ca="1">AVERAGE(OFFSET($CC$3,0,0,'Données projet'!$E$12+1,1))-AVERAGE(OFFSET($H$3,0,0,'Données projet'!$E$12+1,1))</f>
        <v>255.41017495879987</v>
      </c>
      <c r="CE36" s="59">
        <f t="shared" si="40"/>
        <v>297.50513563712764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7.8626855457813818</v>
      </c>
      <c r="CL36" s="21">
        <f>EXP(-LN(2)/25)*CL35+(1-EXP(-LN(2)/25))/(LN(2)/25)*Calculateur!CG36*Calculateur!CI36*VLOOKUP('Données projet'!$B$12,Paramètres!$A$1:$I$89,3,0)*0.475*44/12</f>
        <v>25.645508091161592</v>
      </c>
      <c r="CM36" s="21">
        <f>EXP(-LN(2)/2)*CM35+(1-EXP(-LN(2)/2))/(LN(2)/2)*CG36*CJ36*VLOOKUP('Données projet'!$B$12,Paramètres!$A$1:$I$89,3,0)*0.475*44/12</f>
        <v>8.6271238609697356</v>
      </c>
      <c r="CN36" s="22">
        <f t="shared" si="12"/>
        <v>42.135317497912709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9.9692307692307711</v>
      </c>
      <c r="CT36" s="12">
        <f>IF('Données projet'!$A$140&gt;35,CT35+CS36-DB35,IF(A36&lt;'Données projet'!$A$140,$CQ$205^A36,IF(A36='Données projet'!$A$140,'Données projet'!$B$140,CT35+CS36-DB35)))</f>
        <v>157.97692307692301</v>
      </c>
      <c r="CU36" s="17">
        <f>CT36*VLOOKUP('Données projet'!$B$13,Paramètres!$A$1:$I$89,3,0)*VLOOKUP('Données projet'!$B$13,Paramètres!$A$1:$I$89,5,0)</f>
        <v>90.362799999999964</v>
      </c>
      <c r="CV36" s="13">
        <f t="shared" si="41"/>
        <v>24.652703120322506</v>
      </c>
      <c r="CW36" s="20">
        <f t="shared" si="13"/>
        <v>200.31866793456163</v>
      </c>
      <c r="CX36" s="59">
        <f t="shared" si="14"/>
        <v>493.65200126789495</v>
      </c>
      <c r="CY36" s="59">
        <f ca="1">AVERAGE(OFFSET($CX$3,0,0,'Données projet'!$E$13+1,1))-AVERAGE(OFFSET($H$3,0,0,'Données projet'!$E$13+1,1))</f>
        <v>134.70214882504786</v>
      </c>
      <c r="CZ36" s="59">
        <f t="shared" si="42"/>
        <v>102.18553029667771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1.001681856013958</v>
      </c>
      <c r="DG36" s="21">
        <f>EXP(-LN(2)/25)*DG35+(1-EXP(-LN(2)/25))/(LN(2)/25)*Calculateur!DB36*Calculateur!DD36*VLOOKUP('Données projet'!$B$13,Paramètres!$A$1:$I$89,3,0)*0.475*44/12</f>
        <v>11.548031027070605</v>
      </c>
      <c r="DH36" s="21">
        <f>EXP(-LN(2)/2)*DH35+(1-EXP(-LN(2)/2))/(LN(2)/2)*DB36*DE36*VLOOKUP('Données projet'!$B$13,Paramètres!$A$1:$I$89,3,0)*0.475*44/12</f>
        <v>2.724445807212728</v>
      </c>
      <c r="DI36" s="22">
        <f t="shared" si="15"/>
        <v>15.274158690297291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>
        <f>VLOOKUP(A36,'Données projet'!$A$165:$I$185,2,0)</f>
        <v>183.89999999999998</v>
      </c>
      <c r="DM36" s="12">
        <f>VLOOKUP(A36,'Données projet'!$A$165:$I$185,9,0)</f>
        <v>12.97179487179487</v>
      </c>
      <c r="DN36" s="12">
        <f t="array" ref="DN36">INDEX(DM:DM,MIN(IF(ISNUMBER(DM36:DM232),ROW(DM36:DM232),"")))</f>
        <v>12.97179487179487</v>
      </c>
      <c r="DO36" s="12">
        <f>IF('Données projet'!$A$166&gt;35,DO35+DN36-DW35,IF(A36&lt;'Données projet'!$A$166,$DL$205^A36,IF(A36='Données projet'!$A$166,'Données projet'!$B$166,DO35+DN36-DW35)))</f>
        <v>183.90000000000003</v>
      </c>
      <c r="DP36" s="17">
        <f>DO36*VLOOKUP('Données projet'!$B$14,Paramètres!$A$1:$I$89,3,0)*VLOOKUP('Données projet'!$B$14,Paramètres!$A$1:$I$89,5,0)</f>
        <v>109.97220000000003</v>
      </c>
      <c r="DQ36" s="13">
        <f t="shared" si="43"/>
        <v>29.324434579377328</v>
      </c>
      <c r="DR36" s="20">
        <f t="shared" si="16"/>
        <v>242.60830522574886</v>
      </c>
      <c r="DS36" s="59">
        <f t="shared" si="17"/>
        <v>535.94163855908221</v>
      </c>
      <c r="DT36" s="59">
        <f ca="1">AVERAGE(OFFSET($DS$3,0,0,'Données projet'!$E$14+1,1))-AVERAGE(OFFSET($H$3,0,0,'Données projet'!$E$14+1,1))</f>
        <v>179.32848817523677</v>
      </c>
      <c r="DU36" s="59">
        <f t="shared" si="44"/>
        <v>131.3292389103035</v>
      </c>
      <c r="DV36" s="15">
        <f>IF(ISNA(VLOOKUP(A36,'Données projet'!$A$165:$I$185,3,0)),0,VLOOKUP(A36,'Données projet'!$A$165:$I$185,3,0))</f>
        <v>3</v>
      </c>
      <c r="DW36" s="15">
        <f>IF(ISNA(VLOOKUP(A36,'Données projet'!$A$165:$I$185,4,0)),0,VLOOKUP(A36,'Données projet'!$A$165:$I$185,4,0))</f>
        <v>43.007692307692302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12.128145459023118</v>
      </c>
      <c r="EC36" s="21">
        <f>EXP(-LN(2)/2)*EC35+(1-EXP(-LN(2)/2))/(LN(2)/2)*DW36*DZ36*VLOOKUP('Données projet'!$B$14,Paramètres!$A$1:$I$89,3,0)*0.475*44/12</f>
        <v>1.8607053125746331</v>
      </c>
      <c r="ED36" s="22">
        <f t="shared" si="18"/>
        <v>13.98885077159775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22.884615384615376</v>
      </c>
      <c r="EJ36" s="12">
        <f>IF('Données projet'!$A$192&gt;35,EJ35+EI36-ER35,IF(A36&lt;'Données projet'!$A$192,$EG$205^A36,IF(A36='Données projet'!$A$192,'Données projet'!$B$192,EJ35+EI36-ER35)))</f>
        <v>334.85384615384595</v>
      </c>
      <c r="EK36" s="17">
        <f>EJ36*VLOOKUP('Données projet'!$B$15,Paramètres!$A$1:$I$89,3,0)*VLOOKUP('Données projet'!$B$15,Paramètres!$A$1:$I$89,5,0)</f>
        <v>148.00539999999992</v>
      </c>
      <c r="EL36" s="13">
        <f t="shared" si="45"/>
        <v>38.12495306974435</v>
      </c>
      <c r="EM36" s="20">
        <f t="shared" si="19"/>
        <v>324.17703159647129</v>
      </c>
      <c r="EN36" s="59">
        <f t="shared" si="20"/>
        <v>617.51036492980461</v>
      </c>
      <c r="EO36" s="59">
        <f ca="1">AVERAGE(OFFSET($EN$3,0,0,'Données projet'!$E$15+1,1))-AVERAGE(OFFSET($H$3,0,0,'Données projet'!$E$15+1,1))</f>
        <v>191.932060106699</v>
      </c>
      <c r="EP36" s="59">
        <f t="shared" si="46"/>
        <v>260.28593152736903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2.3023540585230191</v>
      </c>
      <c r="EW36" s="21">
        <f>EXP(-LN(2)/25)*EW35+(1-EXP(-LN(2)/25))/(LN(2)/25)*Calculateur!ER36*Calculateur!ET36*VLOOKUP('Données projet'!$B$15,Paramètres!$A$1:$I$89,3,0)*0.475*44/12</f>
        <v>11.612528697282514</v>
      </c>
      <c r="EX36" s="21">
        <f>EXP(-LN(2)/2)*EX35+(1-EXP(-LN(2)/2))/(LN(2)/2)*ER36*EU36*VLOOKUP('Données projet'!$B$15,Paramètres!$A$1:$I$89,3,0)*0.475*44/12</f>
        <v>0.47318739490035316</v>
      </c>
      <c r="EY36" s="22">
        <f t="shared" si="21"/>
        <v>14.388070150705886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3.8</v>
      </c>
      <c r="FE36" s="12">
        <f>IF('Données projet'!$A$218&gt;35,FE35+FD36-FM35,IF(A36&lt;'Données projet'!$A$218,$FB$205^A36,IF(A36='Données projet'!$A$218,'Données projet'!$B$218,FE35+FD36-FM35)))</f>
        <v>56.399999999999977</v>
      </c>
      <c r="FF36" s="17">
        <f>FE36*VLOOKUP('Données projet'!$B$16,Paramètres!$A$1:$I$89,3,0)*VLOOKUP('Données projet'!$B$16,Paramètres!$A$1:$I$89,5,0)</f>
        <v>54.550079999999973</v>
      </c>
      <c r="FG36" s="13">
        <f t="shared" si="47"/>
        <v>15.78281526092011</v>
      </c>
      <c r="FH36" s="20">
        <f t="shared" si="22"/>
        <v>122.49645924610248</v>
      </c>
      <c r="FI36" s="59">
        <f t="shared" si="23"/>
        <v>415.82979257943578</v>
      </c>
      <c r="FJ36" s="59">
        <f ca="1">AVERAGE(OFFSET($FI$3,0,0,'Données projet'!$E$16+1,1))-AVERAGE(OFFSET($H$3,0,0,'Données projet'!$E$16+1,1))</f>
        <v>102.86738524979938</v>
      </c>
      <c r="FK36" s="59">
        <f t="shared" si="48"/>
        <v>56.347130462109817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8.6999999999999993</v>
      </c>
      <c r="FZ36" s="12">
        <f>IF('Données projet'!$A$244&gt;35,FZ35+FY36-GH35,IF(A36&lt;'Données projet'!$A$244,$FW$205^A36,IF(A36='Données projet'!$A$244,'Données projet'!$B$244,FZ35+FY36-GH35)))</f>
        <v>119.10000000000005</v>
      </c>
      <c r="GA36" s="17">
        <f>FZ36*VLOOKUP('Données projet'!$B$17,Paramètres!$A$1:$I$89,3,0)*VLOOKUP('Données projet'!$B$17,Paramètres!$A$1:$I$89,5,0)</f>
        <v>79.892280000000042</v>
      </c>
      <c r="GB36" s="13">
        <f t="shared" si="49"/>
        <v>22.110843963602871</v>
      </c>
      <c r="GC36" s="20">
        <f t="shared" si="25"/>
        <v>177.65544090327509</v>
      </c>
      <c r="GD36" s="59">
        <f t="shared" si="26"/>
        <v>470.98877423660838</v>
      </c>
      <c r="GE36" s="59">
        <f ca="1">AVERAGE(OFFSET($GD$3,0,0,'Données projet'!$E$17+1,1))-AVERAGE(OFFSET($H$3,0,0,'Données projet'!$E$17+1,1))</f>
        <v>168.00454652899231</v>
      </c>
      <c r="GF36" s="59">
        <f t="shared" si="50"/>
        <v>135.31958994080446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0</v>
      </c>
      <c r="GM36" s="21">
        <f>EXP(-LN(2)/25)*GM35+(1-EXP(-LN(2)/25))/(LN(2)/25)*Calculateur!GH36*Calculateur!GJ36*VLOOKUP('Données projet'!$B$17,Paramètres!$A$1:$I$89,3,0)*0.475*44/12</f>
        <v>0</v>
      </c>
      <c r="GN36" s="21">
        <f>EXP(-LN(2)/2)*GN35+(1-EXP(-LN(2)/2))/(LN(2)/2)*GH36*GK36*VLOOKUP('Données projet'!$B$17,Paramètres!$A$1:$I$89,3,0)*0.475*44/12</f>
        <v>0</v>
      </c>
      <c r="GO36" s="21">
        <f t="shared" si="27"/>
        <v>0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8.0564102564102562</v>
      </c>
      <c r="N37" s="13">
        <f>IF('Données projet'!$A$36&gt;35,N36+M37-V36,IF(A37&lt;'Données projet'!$A$36,$K$205^A37,IF(A37='Données projet'!$A$36,'Données projet'!$B$36,N36+M37-V36)))</f>
        <v>154.1102564102564</v>
      </c>
      <c r="O37" s="13">
        <f>N37*VLOOKUP('Données projet'!$B$9,Paramètres!$A$1:$I$89,3,0)*VLOOKUP('Données projet'!$B$9,Paramètres!$A$1:$I$89,5,0)</f>
        <v>139.43895999999998</v>
      </c>
      <c r="P37" s="13">
        <f t="shared" si="33"/>
        <v>36.168449088081644</v>
      </c>
      <c r="Q37" s="20">
        <f t="shared" si="53"/>
        <v>305.84957082840884</v>
      </c>
      <c r="R37" s="59">
        <f t="shared" si="0"/>
        <v>599.18290416174216</v>
      </c>
      <c r="S37" s="59">
        <f ca="1">AVERAGE(OFFSET($R$3,0,0,'Données projet'!$E$9+1,1))-AVERAGE(OFFSET($H$3,0,0,'Données projet'!$E$9+1,1))</f>
        <v>221.7429870520005</v>
      </c>
      <c r="T37" s="59">
        <f t="shared" si="34"/>
        <v>182.2029938397186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5.3369963369963358</v>
      </c>
      <c r="AI37" s="13">
        <f>IF('Données projet'!$A$62&gt;35,AI36+AH37-AQ36,IF(A37&lt;'Données projet'!$A$62,$AF$205^A37,IF(A37='Données projet'!$A$62,'Données projet'!$B$62,AI36+AH37-AQ36)))</f>
        <v>109.05311355311355</v>
      </c>
      <c r="AJ37" s="13">
        <f>AI37*VLOOKUP('Données projet'!$B$10,Paramètres!$A$1:$I$89,3,0)*VLOOKUP('Données projet'!$B$10,Paramètres!$A$1:$I$89,5,0)</f>
        <v>98.671257142857144</v>
      </c>
      <c r="AK37" s="13">
        <f t="shared" si="35"/>
        <v>26.645196865813876</v>
      </c>
      <c r="AL37" s="20">
        <f t="shared" si="4"/>
        <v>218.25949073176866</v>
      </c>
      <c r="AM37" s="59">
        <f t="shared" si="5"/>
        <v>511.59282406510198</v>
      </c>
      <c r="AN37" s="59">
        <f ca="1">AVERAGE(OFFSET($AM$3,0,0,'Données projet'!$E$10+1,1))-AVERAGE(OFFSET($H$3,0,0,'Données projet'!$E$10+1,1))</f>
        <v>153.45079678708987</v>
      </c>
      <c r="AO37" s="59">
        <f t="shared" si="36"/>
        <v>115.4217868409637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16.131410256410259</v>
      </c>
      <c r="BD37" s="12">
        <f>IF('Données projet'!$A$88&gt;35,BD36+BC37-BL36,IF(A37&lt;'Données projet'!$A$88,$BA$205^A37,IF(A37='Données projet'!$A$88,'Données projet'!$B$88,BD36+BC37-BL36)))</f>
        <v>281.3179487179487</v>
      </c>
      <c r="BE37" s="13">
        <f>BD37*VLOOKUP('Données projet'!$B$11,Paramètres!$A$1:$I$89,3,0)*VLOOKUP('Données projet'!$B$11,Paramètres!$A$1:$I$89,5,0)</f>
        <v>131.65679999999998</v>
      </c>
      <c r="BF37" s="13">
        <f t="shared" si="37"/>
        <v>34.378914540413547</v>
      </c>
      <c r="BG37" s="20">
        <f t="shared" si="7"/>
        <v>289.17886949122021</v>
      </c>
      <c r="BH37" s="59">
        <f t="shared" si="8"/>
        <v>582.51220282455347</v>
      </c>
      <c r="BI37" s="59">
        <f ca="1">AVERAGE(OFFSET($BH$3,0,0,'Données projet'!$E$11+1,1))-AVERAGE(OFFSET($H$3,0,0,'Données projet'!$E$11+1,1))</f>
        <v>158.58786357608489</v>
      </c>
      <c r="BJ37" s="59">
        <f t="shared" si="38"/>
        <v>163.20074068819849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15.1</v>
      </c>
      <c r="BY37" s="12">
        <f>IF('Données projet'!$A$114&gt;35,BY36+BX37-CG36,IF(A37&lt;'Données projet'!$A$114,$BV$205^A37,IF(A37='Données projet'!$A$114,'Données projet'!$B$114,BY36+BX37-CG36)))</f>
        <v>239.4</v>
      </c>
      <c r="BZ37" s="13">
        <f>BY37*VLOOKUP('Données projet'!$B$12,Paramètres!$A$1:$I$89,3,0)*VLOOKUP('Données projet'!$B$12,Paramètres!$A$1:$I$89,5,0)</f>
        <v>149.38559999999998</v>
      </c>
      <c r="CA37" s="13">
        <f t="shared" si="39"/>
        <v>38.438927680599591</v>
      </c>
      <c r="CB37" s="20">
        <f t="shared" si="10"/>
        <v>327.1277190437109</v>
      </c>
      <c r="CC37" s="59">
        <f t="shared" si="11"/>
        <v>620.46105237704421</v>
      </c>
      <c r="CD37" s="59">
        <f ca="1">AVERAGE(OFFSET($CC$3,0,0,'Données projet'!$E$12+1,1))-AVERAGE(OFFSET($H$3,0,0,'Données projet'!$E$12+1,1))</f>
        <v>255.41017495879987</v>
      </c>
      <c r="CE37" s="59">
        <f t="shared" si="40"/>
        <v>297.50513563712764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7.7085030779932495</v>
      </c>
      <c r="CL37" s="21">
        <f>EXP(-LN(2)/25)*CL36+(1-EXP(-LN(2)/25))/(LN(2)/25)*Calculateur!CG37*Calculateur!CI37*VLOOKUP('Données projet'!$B$12,Paramètres!$A$1:$I$89,3,0)*0.475*44/12</f>
        <v>24.944230323770121</v>
      </c>
      <c r="CM37" s="21">
        <f>EXP(-LN(2)/2)*CM36+(1-EXP(-LN(2)/2))/(LN(2)/2)*CG37*CJ37*VLOOKUP('Données projet'!$B$12,Paramètres!$A$1:$I$89,3,0)*0.475*44/12</f>
        <v>6.10029778422797</v>
      </c>
      <c r="CN37" s="22">
        <f t="shared" si="12"/>
        <v>38.75303118599134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9.9692307692307711</v>
      </c>
      <c r="CT37" s="12">
        <f>IF('Données projet'!$A$140&gt;35,CT36+CS37-DB36,IF(A37&lt;'Données projet'!$A$140,$CQ$205^A37,IF(A37='Données projet'!$A$140,'Données projet'!$B$140,CT36+CS37-DB36)))</f>
        <v>167.94615384615378</v>
      </c>
      <c r="CU37" s="17">
        <f>CT37*VLOOKUP('Données projet'!$B$13,Paramètres!$A$1:$I$89,3,0)*VLOOKUP('Données projet'!$B$13,Paramètres!$A$1:$I$89,5,0)</f>
        <v>96.065199999999962</v>
      </c>
      <c r="CV37" s="13">
        <f t="shared" si="41"/>
        <v>26.022406879807427</v>
      </c>
      <c r="CW37" s="20">
        <f t="shared" si="13"/>
        <v>212.63591531566453</v>
      </c>
      <c r="CX37" s="59">
        <f t="shared" si="14"/>
        <v>505.96924864899785</v>
      </c>
      <c r="CY37" s="59">
        <f ca="1">AVERAGE(OFFSET($CX$3,0,0,'Données projet'!$E$13+1,1))-AVERAGE(OFFSET($H$3,0,0,'Données projet'!$E$13+1,1))</f>
        <v>134.70214882504786</v>
      </c>
      <c r="CZ37" s="59">
        <f t="shared" si="42"/>
        <v>102.18553029667771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0.98203948578312861</v>
      </c>
      <c r="DG37" s="21">
        <f>EXP(-LN(2)/25)*DG36+(1-EXP(-LN(2)/25))/(LN(2)/25)*Calculateur!DB37*Calculateur!DD37*VLOOKUP('Données projet'!$B$13,Paramètres!$A$1:$I$89,3,0)*0.475*44/12</f>
        <v>11.232249511350801</v>
      </c>
      <c r="DH37" s="21">
        <f>EXP(-LN(2)/2)*DH36+(1-EXP(-LN(2)/2))/(LN(2)/2)*DB37*DE37*VLOOKUP('Données projet'!$B$13,Paramètres!$A$1:$I$89,3,0)*0.475*44/12</f>
        <v>1.9264741052553773</v>
      </c>
      <c r="DI37" s="22">
        <f t="shared" si="15"/>
        <v>14.140763102389306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12.74038461538462</v>
      </c>
      <c r="DO37" s="12">
        <f>IF('Données projet'!$A$166&gt;35,DO36+DN37-DW36,IF(A37&lt;'Données projet'!$A$166,$DL$205^A37,IF(A37='Données projet'!$A$166,'Données projet'!$B$166,DO36+DN37-DW36)))</f>
        <v>153.63269230769234</v>
      </c>
      <c r="DP37" s="17">
        <f>DO37*VLOOKUP('Données projet'!$B$14,Paramètres!$A$1:$I$89,3,0)*VLOOKUP('Données projet'!$B$14,Paramètres!$A$1:$I$89,5,0)</f>
        <v>91.872350000000012</v>
      </c>
      <c r="DQ37" s="13">
        <f t="shared" si="43"/>
        <v>25.016248165039102</v>
      </c>
      <c r="DR37" s="20">
        <f t="shared" si="16"/>
        <v>203.58097513744312</v>
      </c>
      <c r="DS37" s="59">
        <f t="shared" si="17"/>
        <v>496.9143084707764</v>
      </c>
      <c r="DT37" s="59">
        <f ca="1">AVERAGE(OFFSET($DS$3,0,0,'Données projet'!$E$14+1,1))-AVERAGE(OFFSET($H$3,0,0,'Données projet'!$E$14+1,1))</f>
        <v>179.32848817523677</v>
      </c>
      <c r="DU37" s="59">
        <f t="shared" si="44"/>
        <v>131.3292389103035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11.796500683654681</v>
      </c>
      <c r="EC37" s="21">
        <f>EXP(-LN(2)/2)*EC36+(1-EXP(-LN(2)/2))/(LN(2)/2)*DW37*DZ37*VLOOKUP('Données projet'!$B$14,Paramètres!$A$1:$I$89,3,0)*0.475*44/12</f>
        <v>1.3157173443113577</v>
      </c>
      <c r="ED37" s="22">
        <f t="shared" si="18"/>
        <v>13.112218027966039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22.884615384615376</v>
      </c>
      <c r="EJ37" s="12">
        <f>IF('Données projet'!$A$192&gt;35,EJ36+EI37-ER36,IF(A37&lt;'Données projet'!$A$192,$EG$205^A37,IF(A37='Données projet'!$A$192,'Données projet'!$B$192,EJ36+EI37-ER36)))</f>
        <v>357.73846153846131</v>
      </c>
      <c r="EK37" s="17">
        <f>EJ37*VLOOKUP('Données projet'!$B$15,Paramètres!$A$1:$I$89,3,0)*VLOOKUP('Données projet'!$B$15,Paramètres!$A$1:$I$89,5,0)</f>
        <v>158.1203999999999</v>
      </c>
      <c r="EL37" s="13">
        <f t="shared" si="45"/>
        <v>40.418275249169554</v>
      </c>
      <c r="EM37" s="20">
        <f t="shared" si="19"/>
        <v>345.78819272563675</v>
      </c>
      <c r="EN37" s="59">
        <f t="shared" si="20"/>
        <v>639.12152605897006</v>
      </c>
      <c r="EO37" s="59">
        <f ca="1">AVERAGE(OFFSET($EN$3,0,0,'Données projet'!$E$15+1,1))-AVERAGE(OFFSET($H$3,0,0,'Données projet'!$E$15+1,1))</f>
        <v>191.932060106699</v>
      </c>
      <c r="EP37" s="59">
        <f t="shared" si="46"/>
        <v>260.28593152736903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2.2572062997326956</v>
      </c>
      <c r="EW37" s="21">
        <f>EXP(-LN(2)/25)*EW36+(1-EXP(-LN(2)/25))/(LN(2)/25)*Calculateur!ER37*Calculateur!ET37*VLOOKUP('Données projet'!$B$15,Paramètres!$A$1:$I$89,3,0)*0.475*44/12</f>
        <v>11.29498348937898</v>
      </c>
      <c r="EX37" s="21">
        <f>EXP(-LN(2)/2)*EX36+(1-EXP(-LN(2)/2))/(LN(2)/2)*ER37*EU37*VLOOKUP('Données projet'!$B$15,Paramètres!$A$1:$I$89,3,0)*0.475*44/12</f>
        <v>0.33459401570603653</v>
      </c>
      <c r="EY37" s="22">
        <f t="shared" si="21"/>
        <v>13.886783804817712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3.8</v>
      </c>
      <c r="FE37" s="12">
        <f>IF('Données projet'!$A$218&gt;35,FE36+FD37-FM36,IF(A37&lt;'Données projet'!$A$218,$FB$205^A37,IF(A37='Données projet'!$A$218,'Données projet'!$B$218,FE36+FD37-FM36)))</f>
        <v>60.199999999999974</v>
      </c>
      <c r="FF37" s="17">
        <f>FE37*VLOOKUP('Données projet'!$B$16,Paramètres!$A$1:$I$89,3,0)*VLOOKUP('Données projet'!$B$16,Paramètres!$A$1:$I$89,5,0)</f>
        <v>58.225439999999978</v>
      </c>
      <c r="FG37" s="13">
        <f t="shared" si="47"/>
        <v>16.718823635596603</v>
      </c>
      <c r="FH37" s="20">
        <f t="shared" si="22"/>
        <v>130.52792583199741</v>
      </c>
      <c r="FI37" s="59">
        <f t="shared" si="23"/>
        <v>423.86125916533069</v>
      </c>
      <c r="FJ37" s="59">
        <f ca="1">AVERAGE(OFFSET($FI$3,0,0,'Données projet'!$E$16+1,1))-AVERAGE(OFFSET($H$3,0,0,'Données projet'!$E$16+1,1))</f>
        <v>102.86738524979938</v>
      </c>
      <c r="FK37" s="59">
        <f t="shared" si="48"/>
        <v>56.347130462109817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8.6999999999999993</v>
      </c>
      <c r="FZ37" s="12">
        <f>IF('Données projet'!$A$244&gt;35,FZ36+FY37-GH36,IF(A37&lt;'Données projet'!$A$244,$FW$205^A37,IF(A37='Données projet'!$A$244,'Données projet'!$B$244,FZ36+FY37-GH36)))</f>
        <v>127.80000000000005</v>
      </c>
      <c r="GA37" s="17">
        <f>FZ37*VLOOKUP('Données projet'!$B$17,Paramètres!$A$1:$I$89,3,0)*VLOOKUP('Données projet'!$B$17,Paramètres!$A$1:$I$89,5,0)</f>
        <v>85.728240000000042</v>
      </c>
      <c r="GB37" s="13">
        <f t="shared" si="49"/>
        <v>23.532081821221038</v>
      </c>
      <c r="GC37" s="20">
        <f t="shared" si="25"/>
        <v>190.29506050529335</v>
      </c>
      <c r="GD37" s="59">
        <f t="shared" si="26"/>
        <v>483.62839383862666</v>
      </c>
      <c r="GE37" s="59">
        <f ca="1">AVERAGE(OFFSET($GD$3,0,0,'Données projet'!$E$17+1,1))-AVERAGE(OFFSET($H$3,0,0,'Données projet'!$E$17+1,1))</f>
        <v>168.00454652899231</v>
      </c>
      <c r="GF37" s="59">
        <f t="shared" si="50"/>
        <v>135.31958994080446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0</v>
      </c>
      <c r="GM37" s="21">
        <f>EXP(-LN(2)/25)*GM36+(1-EXP(-LN(2)/25))/(LN(2)/25)*Calculateur!GH37*Calculateur!GJ37*VLOOKUP('Données projet'!$B$17,Paramètres!$A$1:$I$89,3,0)*0.475*44/12</f>
        <v>0</v>
      </c>
      <c r="GN37" s="21">
        <f>EXP(-LN(2)/2)*GN36+(1-EXP(-LN(2)/2))/(LN(2)/2)*GH37*GK37*VLOOKUP('Données projet'!$B$17,Paramètres!$A$1:$I$89,3,0)*0.475*44/12</f>
        <v>0</v>
      </c>
      <c r="GO37" s="21">
        <f t="shared" si="27"/>
        <v>0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162.16666666666666</v>
      </c>
      <c r="L38" s="12">
        <f>VLOOKUP(A38,'Données projet'!$A$35:$I$55,9,0)</f>
        <v>8.0564102564102562</v>
      </c>
      <c r="M38" s="12">
        <f t="array" ref="M38">INDEX(L:L,MIN(IF(ISNUMBER(L38:L234),ROW(L38:L234),"")))</f>
        <v>8.0564102564102562</v>
      </c>
      <c r="N38" s="13">
        <f>IF('Données projet'!$A$36&gt;35,N37+M38-V37,IF(A38&lt;'Données projet'!$A$36,$K$205^A38,IF(A38='Données projet'!$A$36,'Données projet'!$B$36,N37+M38-V37)))</f>
        <v>162.16666666666666</v>
      </c>
      <c r="O38" s="13">
        <f>N38*VLOOKUP('Données projet'!$B$9,Paramètres!$A$1:$I$89,3,0)*VLOOKUP('Données projet'!$B$9,Paramètres!$A$1:$I$89,5,0)</f>
        <v>146.72839999999999</v>
      </c>
      <c r="P38" s="13">
        <f t="shared" si="33"/>
        <v>37.834151268675086</v>
      </c>
      <c r="Q38" s="20">
        <f t="shared" si="53"/>
        <v>321.44644345960904</v>
      </c>
      <c r="R38" s="59">
        <f t="shared" si="0"/>
        <v>614.77977679294236</v>
      </c>
      <c r="S38" s="59">
        <f ca="1">AVERAGE(OFFSET($R$3,0,0,'Données projet'!$E$9+1,1))-AVERAGE(OFFSET($H$3,0,0,'Données projet'!$E$9+1,1))</f>
        <v>221.7429870520005</v>
      </c>
      <c r="T38" s="59">
        <f t="shared" si="34"/>
        <v>182.2029938397186</v>
      </c>
      <c r="U38" s="15">
        <f>IF(ISNA(VLOOKUP(A38,'Données projet'!$A$35:$I$55,3,0)),0,VLOOKUP(A38,'Données projet'!$A$35:$I$55,3,0))</f>
        <v>1</v>
      </c>
      <c r="V38" s="15">
        <f>IF(ISNA(VLOOKUP(A38,'Données projet'!$A$35:$I$55,4,0)),0,VLOOKUP(A38,'Données projet'!$A$35:$I$55,4,0))</f>
        <v>60.602564102564102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5.3369963369963358</v>
      </c>
      <c r="AI38" s="13">
        <f>IF('Données projet'!$A$62&gt;35,AI37+AH38-AQ37,IF(A38&lt;'Données projet'!$A$62,$AF$205^A38,IF(A38='Données projet'!$A$62,'Données projet'!$B$62,AI37+AH38-AQ37)))</f>
        <v>114.39010989010988</v>
      </c>
      <c r="AJ38" s="13">
        <f>AI38*VLOOKUP('Données projet'!$B$10,Paramètres!$A$1:$I$89,3,0)*VLOOKUP('Données projet'!$B$10,Paramètres!$A$1:$I$89,5,0)</f>
        <v>103.50017142857141</v>
      </c>
      <c r="AK38" s="13">
        <f t="shared" si="35"/>
        <v>27.794188178262466</v>
      </c>
      <c r="AL38" s="20">
        <f t="shared" si="4"/>
        <v>228.67100964856897</v>
      </c>
      <c r="AM38" s="59">
        <f t="shared" si="5"/>
        <v>522.00434298190225</v>
      </c>
      <c r="AN38" s="59">
        <f ca="1">AVERAGE(OFFSET($AM$3,0,0,'Données projet'!$E$10+1,1))-AVERAGE(OFFSET($H$3,0,0,'Données projet'!$E$10+1,1))</f>
        <v>153.45079678708987</v>
      </c>
      <c r="AO38" s="59">
        <f t="shared" si="36"/>
        <v>115.4217868409637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16.131410256410259</v>
      </c>
      <c r="BD38" s="12">
        <f>IF('Données projet'!$A$88&gt;35,BD37+BC38-BL37,IF(A38&lt;'Données projet'!$A$88,$BA$205^A38,IF(A38='Données projet'!$A$88,'Données projet'!$B$88,BD37+BC38-BL37)))</f>
        <v>297.44935897435897</v>
      </c>
      <c r="BE38" s="13">
        <f>BD38*VLOOKUP('Données projet'!$B$11,Paramètres!$A$1:$I$89,3,0)*VLOOKUP('Données projet'!$B$11,Paramètres!$A$1:$I$89,5,0)</f>
        <v>139.2063</v>
      </c>
      <c r="BF38" s="13">
        <f t="shared" si="37"/>
        <v>36.115119849784641</v>
      </c>
      <c r="BG38" s="20">
        <f t="shared" si="7"/>
        <v>305.35147290504159</v>
      </c>
      <c r="BH38" s="59">
        <f t="shared" si="8"/>
        <v>598.6848062383749</v>
      </c>
      <c r="BI38" s="59">
        <f ca="1">AVERAGE(OFFSET($BH$3,0,0,'Données projet'!$E$11+1,1))-AVERAGE(OFFSET($H$3,0,0,'Données projet'!$E$11+1,1))</f>
        <v>158.58786357608489</v>
      </c>
      <c r="BJ38" s="59">
        <f t="shared" si="38"/>
        <v>163.20074068819849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15.1</v>
      </c>
      <c r="BY38" s="12">
        <f>IF('Données projet'!$A$114&gt;35,BY37+BX38-CG37,IF(A38&lt;'Données projet'!$A$114,$BV$205^A38,IF(A38='Données projet'!$A$114,'Données projet'!$B$114,BY37+BX38-CG37)))</f>
        <v>254.5</v>
      </c>
      <c r="BZ38" s="13">
        <f>BY38*VLOOKUP('Données projet'!$B$12,Paramètres!$A$1:$I$89,3,0)*VLOOKUP('Données projet'!$B$12,Paramètres!$A$1:$I$89,5,0)</f>
        <v>158.80799999999999</v>
      </c>
      <c r="CA38" s="13">
        <f t="shared" si="39"/>
        <v>40.573539580413687</v>
      </c>
      <c r="CB38" s="20">
        <f t="shared" si="10"/>
        <v>347.25618143588719</v>
      </c>
      <c r="CC38" s="59">
        <f t="shared" si="11"/>
        <v>640.5895147692205</v>
      </c>
      <c r="CD38" s="59">
        <f ca="1">AVERAGE(OFFSET($CC$3,0,0,'Données projet'!$E$12+1,1))-AVERAGE(OFFSET($H$3,0,0,'Données projet'!$E$12+1,1))</f>
        <v>255.41017495879987</v>
      </c>
      <c r="CE38" s="59">
        <f t="shared" si="40"/>
        <v>297.50513563712764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7.5573440343564231</v>
      </c>
      <c r="CL38" s="21">
        <f>EXP(-LN(2)/25)*CL37+(1-EXP(-LN(2)/25))/(LN(2)/25)*Calculateur!CG38*Calculateur!CI38*VLOOKUP('Données projet'!$B$12,Paramètres!$A$1:$I$89,3,0)*0.475*44/12</f>
        <v>24.262129033806566</v>
      </c>
      <c r="CM38" s="21">
        <f>EXP(-LN(2)/2)*CM37+(1-EXP(-LN(2)/2))/(LN(2)/2)*CG38*CJ38*VLOOKUP('Données projet'!$B$12,Paramètres!$A$1:$I$89,3,0)*0.475*44/12</f>
        <v>4.3135619304848678</v>
      </c>
      <c r="CN38" s="22">
        <f t="shared" si="12"/>
        <v>36.133034998647858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9.9692307692307711</v>
      </c>
      <c r="CT38" s="12">
        <f>IF('Données projet'!$A$140&gt;35,CT37+CS38-DB37,IF(A38&lt;'Données projet'!$A$140,$CQ$205^A38,IF(A38='Données projet'!$A$140,'Données projet'!$B$140,CT37+CS38-DB37)))</f>
        <v>177.91538461538454</v>
      </c>
      <c r="CU38" s="17">
        <f>CT38*VLOOKUP('Données projet'!$B$13,Paramètres!$A$1:$I$89,3,0)*VLOOKUP('Données projet'!$B$13,Paramètres!$A$1:$I$89,5,0)</f>
        <v>101.76759999999997</v>
      </c>
      <c r="CV38" s="13">
        <f t="shared" si="41"/>
        <v>27.382673486697065</v>
      </c>
      <c r="CW38" s="20">
        <f t="shared" si="13"/>
        <v>224.93672632266399</v>
      </c>
      <c r="CX38" s="59">
        <f t="shared" si="14"/>
        <v>518.27005965599733</v>
      </c>
      <c r="CY38" s="59">
        <f ca="1">AVERAGE(OFFSET($CX$3,0,0,'Données projet'!$E$13+1,1))-AVERAGE(OFFSET($H$3,0,0,'Données projet'!$E$13+1,1))</f>
        <v>134.70214882504786</v>
      </c>
      <c r="CZ38" s="59">
        <f t="shared" si="42"/>
        <v>102.18553029667771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0.96278229045186292</v>
      </c>
      <c r="DG38" s="21">
        <f>EXP(-LN(2)/25)*DG37+(1-EXP(-LN(2)/25))/(LN(2)/25)*Calculateur!DB38*Calculateur!DD38*VLOOKUP('Données projet'!$B$13,Paramètres!$A$1:$I$89,3,0)*0.475*44/12</f>
        <v>10.925103057784584</v>
      </c>
      <c r="DH38" s="21">
        <f>EXP(-LN(2)/2)*DH37+(1-EXP(-LN(2)/2))/(LN(2)/2)*DB38*DE38*VLOOKUP('Données projet'!$B$13,Paramètres!$A$1:$I$89,3,0)*0.475*44/12</f>
        <v>1.362222903606364</v>
      </c>
      <c r="DI38" s="22">
        <f t="shared" si="15"/>
        <v>13.250108251842811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12.74038461538462</v>
      </c>
      <c r="DO38" s="12">
        <f>IF('Données projet'!$A$166&gt;35,DO37+DN38-DW37,IF(A38&lt;'Données projet'!$A$166,$DL$205^A38,IF(A38='Données projet'!$A$166,'Données projet'!$B$166,DO37+DN38-DW37)))</f>
        <v>166.37307692307695</v>
      </c>
      <c r="DP38" s="17">
        <f>DO38*VLOOKUP('Données projet'!$B$14,Paramètres!$A$1:$I$89,3,0)*VLOOKUP('Données projet'!$B$14,Paramètres!$A$1:$I$89,5,0)</f>
        <v>99.491100000000031</v>
      </c>
      <c r="DQ38" s="13">
        <f t="shared" si="43"/>
        <v>26.84072316435665</v>
      </c>
      <c r="DR38" s="20">
        <f t="shared" si="16"/>
        <v>220.02792534458789</v>
      </c>
      <c r="DS38" s="59">
        <f t="shared" si="17"/>
        <v>513.36125867792123</v>
      </c>
      <c r="DT38" s="59">
        <f ca="1">AVERAGE(OFFSET($DS$3,0,0,'Données projet'!$E$14+1,1))-AVERAGE(OFFSET($H$3,0,0,'Données projet'!$E$14+1,1))</f>
        <v>179.32848817523677</v>
      </c>
      <c r="DU38" s="59">
        <f t="shared" si="44"/>
        <v>131.3292389103035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11.473924752109134</v>
      </c>
      <c r="EC38" s="21">
        <f>EXP(-LN(2)/2)*EC37+(1-EXP(-LN(2)/2))/(LN(2)/2)*DW38*DZ38*VLOOKUP('Données projet'!$B$14,Paramètres!$A$1:$I$89,3,0)*0.475*44/12</f>
        <v>0.93035265628731667</v>
      </c>
      <c r="ED38" s="22">
        <f t="shared" si="18"/>
        <v>12.404277408396451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22.884615384615376</v>
      </c>
      <c r="EJ38" s="12">
        <f>IF('Données projet'!$A$192&gt;35,EJ37+EI38-ER37,IF(A38&lt;'Données projet'!$A$192,$EG$205^A38,IF(A38='Données projet'!$A$192,'Données projet'!$B$192,EJ37+EI38-ER37)))</f>
        <v>380.62307692307667</v>
      </c>
      <c r="EK38" s="17">
        <f>EJ38*VLOOKUP('Données projet'!$B$15,Paramètres!$A$1:$I$89,3,0)*VLOOKUP('Données projet'!$B$15,Paramètres!$A$1:$I$89,5,0)</f>
        <v>168.23539999999991</v>
      </c>
      <c r="EL38" s="13">
        <f t="shared" si="45"/>
        <v>42.694572204819622</v>
      </c>
      <c r="EM38" s="20">
        <f t="shared" si="19"/>
        <v>367.36970159006069</v>
      </c>
      <c r="EN38" s="59">
        <f t="shared" si="20"/>
        <v>660.70303492339394</v>
      </c>
      <c r="EO38" s="59">
        <f ca="1">AVERAGE(OFFSET($EN$3,0,0,'Données projet'!$E$15+1,1))-AVERAGE(OFFSET($H$3,0,0,'Données projet'!$E$15+1,1))</f>
        <v>191.932060106699</v>
      </c>
      <c r="EP38" s="59">
        <f t="shared" si="46"/>
        <v>260.28593152736903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2.2129438609548364</v>
      </c>
      <c r="EW38" s="21">
        <f>EXP(-LN(2)/25)*EW37+(1-EXP(-LN(2)/25))/(LN(2)/25)*Calculateur!ER38*Calculateur!ET38*VLOOKUP('Données projet'!$B$15,Paramètres!$A$1:$I$89,3,0)*0.475*44/12</f>
        <v>10.986121571884546</v>
      </c>
      <c r="EX38" s="21">
        <f>EXP(-LN(2)/2)*EX37+(1-EXP(-LN(2)/2))/(LN(2)/2)*ER38*EU38*VLOOKUP('Données projet'!$B$15,Paramètres!$A$1:$I$89,3,0)*0.475*44/12</f>
        <v>0.23659369745017664</v>
      </c>
      <c r="EY38" s="22">
        <f t="shared" si="21"/>
        <v>13.43565913028956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3.8</v>
      </c>
      <c r="FE38" s="12">
        <f>IF('Données projet'!$A$218&gt;35,FE37+FD38-FM37,IF(A38&lt;'Données projet'!$A$218,$FB$205^A38,IF(A38='Données projet'!$A$218,'Données projet'!$B$218,FE37+FD38-FM37)))</f>
        <v>63.999999999999972</v>
      </c>
      <c r="FF38" s="17">
        <f>FE38*VLOOKUP('Données projet'!$B$16,Paramètres!$A$1:$I$89,3,0)*VLOOKUP('Données projet'!$B$16,Paramètres!$A$1:$I$89,5,0)</f>
        <v>61.900799999999983</v>
      </c>
      <c r="FG38" s="13">
        <f t="shared" si="47"/>
        <v>17.647975079256284</v>
      </c>
      <c r="FH38" s="20">
        <f t="shared" si="22"/>
        <v>138.54744992970467</v>
      </c>
      <c r="FI38" s="59">
        <f t="shared" si="23"/>
        <v>431.88078326303798</v>
      </c>
      <c r="FJ38" s="59">
        <f ca="1">AVERAGE(OFFSET($FI$3,0,0,'Données projet'!$E$16+1,1))-AVERAGE(OFFSET($H$3,0,0,'Données projet'!$E$16+1,1))</f>
        <v>102.86738524979938</v>
      </c>
      <c r="FK38" s="59">
        <f t="shared" si="48"/>
        <v>56.347130462109817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0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0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8.6999999999999993</v>
      </c>
      <c r="FZ38" s="12">
        <f>IF('Données projet'!$A$244&gt;35,FZ37+FY38-GH37,IF(A38&lt;'Données projet'!$A$244,$FW$205^A38,IF(A38='Données projet'!$A$244,'Données projet'!$B$244,FZ37+FY38-GH37)))</f>
        <v>136.50000000000006</v>
      </c>
      <c r="GA38" s="17">
        <f>FZ38*VLOOKUP('Données projet'!$B$17,Paramètres!$A$1:$I$89,3,0)*VLOOKUP('Données projet'!$B$17,Paramètres!$A$1:$I$89,5,0)</f>
        <v>91.564200000000042</v>
      </c>
      <c r="GB38" s="13">
        <f t="shared" si="49"/>
        <v>24.942093221858865</v>
      </c>
      <c r="GC38" s="20">
        <f t="shared" si="25"/>
        <v>202.91512736140427</v>
      </c>
      <c r="GD38" s="59">
        <f t="shared" si="26"/>
        <v>496.24846069473756</v>
      </c>
      <c r="GE38" s="59">
        <f ca="1">AVERAGE(OFFSET($GD$3,0,0,'Données projet'!$E$17+1,1))-AVERAGE(OFFSET($H$3,0,0,'Données projet'!$E$17+1,1))</f>
        <v>168.00454652899231</v>
      </c>
      <c r="GF38" s="59">
        <f t="shared" si="50"/>
        <v>135.31958994080446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0</v>
      </c>
      <c r="GM38" s="21">
        <f>EXP(-LN(2)/25)*GM37+(1-EXP(-LN(2)/25))/(LN(2)/25)*Calculateur!GH38*Calculateur!GJ38*VLOOKUP('Données projet'!$B$17,Paramètres!$A$1:$I$89,3,0)*0.475*44/12</f>
        <v>0</v>
      </c>
      <c r="GN38" s="21">
        <f>EXP(-LN(2)/2)*GN37+(1-EXP(-LN(2)/2))/(LN(2)/2)*GH38*GK38*VLOOKUP('Données projet'!$B$17,Paramètres!$A$1:$I$89,3,0)*0.475*44/12</f>
        <v>0</v>
      </c>
      <c r="GO38" s="21">
        <f t="shared" si="27"/>
        <v>0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9.3141025641025674</v>
      </c>
      <c r="N39" s="13">
        <f>IF('Données projet'!$A$36&gt;35,N38+M39-V38,IF(A39&lt;'Données projet'!$A$36,$K$205^A39,IF(A39='Données projet'!$A$36,'Données projet'!$B$36,N38+M39-V38)))</f>
        <v>110.87820512820512</v>
      </c>
      <c r="O39" s="13">
        <f>N39*VLOOKUP('Données projet'!$B$9,Paramètres!$A$1:$I$89,3,0)*VLOOKUP('Données projet'!$B$9,Paramètres!$A$1:$I$89,5,0)</f>
        <v>100.32259999999999</v>
      </c>
      <c r="P39" s="13">
        <f t="shared" si="33"/>
        <v>27.038838137326771</v>
      </c>
      <c r="Q39" s="20">
        <f t="shared" si="53"/>
        <v>221.82117142251073</v>
      </c>
      <c r="R39" s="59">
        <f t="shared" si="0"/>
        <v>515.15450475584407</v>
      </c>
      <c r="S39" s="59">
        <f ca="1">AVERAGE(OFFSET($R$3,0,0,'Données projet'!$E$9+1,1))-AVERAGE(OFFSET($H$3,0,0,'Données projet'!$E$9+1,1))</f>
        <v>221.7429870520005</v>
      </c>
      <c r="T39" s="59">
        <f t="shared" si="34"/>
        <v>182.2029938397186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5.3369963369963358</v>
      </c>
      <c r="AI39" s="13">
        <f>IF('Données projet'!$A$62&gt;35,AI38+AH39-AQ38,IF(A39&lt;'Données projet'!$A$62,$AF$205^A39,IF(A39='Données projet'!$A$62,'Données projet'!$B$62,AI38+AH39-AQ38)))</f>
        <v>119.72710622710622</v>
      </c>
      <c r="AJ39" s="13">
        <f>AI39*VLOOKUP('Données projet'!$B$10,Paramètres!$A$1:$I$89,3,0)*VLOOKUP('Données projet'!$B$10,Paramètres!$A$1:$I$89,5,0)</f>
        <v>108.32908571428571</v>
      </c>
      <c r="AK39" s="13">
        <f t="shared" si="35"/>
        <v>28.936954111534238</v>
      </c>
      <c r="AL39" s="20">
        <f t="shared" si="4"/>
        <v>239.07168602996975</v>
      </c>
      <c r="AM39" s="59">
        <f t="shared" si="5"/>
        <v>532.40501936330304</v>
      </c>
      <c r="AN39" s="59">
        <f ca="1">AVERAGE(OFFSET($AM$3,0,0,'Données projet'!$E$10+1,1))-AVERAGE(OFFSET($H$3,0,0,'Données projet'!$E$10+1,1))</f>
        <v>153.45079678708987</v>
      </c>
      <c r="AO39" s="59">
        <f t="shared" si="36"/>
        <v>115.4217868409637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16.131410256410259</v>
      </c>
      <c r="BD39" s="12">
        <f>IF('Données projet'!$A$88&gt;35,BD38+BC39-BL38,IF(A39&lt;'Données projet'!$A$88,$BA$205^A39,IF(A39='Données projet'!$A$88,'Données projet'!$B$88,BD38+BC39-BL38)))</f>
        <v>313.58076923076925</v>
      </c>
      <c r="BE39" s="13">
        <f>BD39*VLOOKUP('Données projet'!$B$11,Paramètres!$A$1:$I$89,3,0)*VLOOKUP('Données projet'!$B$11,Paramètres!$A$1:$I$89,5,0)</f>
        <v>146.75580000000002</v>
      </c>
      <c r="BF39" s="13">
        <f t="shared" si="37"/>
        <v>37.840393952855997</v>
      </c>
      <c r="BG39" s="20">
        <f t="shared" si="7"/>
        <v>321.5050378012242</v>
      </c>
      <c r="BH39" s="59">
        <f t="shared" si="8"/>
        <v>614.83837113455752</v>
      </c>
      <c r="BI39" s="59">
        <f ca="1">AVERAGE(OFFSET($BH$3,0,0,'Données projet'!$E$11+1,1))-AVERAGE(OFFSET($H$3,0,0,'Données projet'!$E$11+1,1))</f>
        <v>158.58786357608489</v>
      </c>
      <c r="BJ39" s="59">
        <f t="shared" si="38"/>
        <v>163.20074068819849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15.1</v>
      </c>
      <c r="BY39" s="12">
        <f>IF('Données projet'!$A$114&gt;35,BY38+BX39-CG38,IF(A39&lt;'Données projet'!$A$114,$BV$205^A39,IF(A39='Données projet'!$A$114,'Données projet'!$B$114,BY38+BX39-CG38)))</f>
        <v>269.60000000000002</v>
      </c>
      <c r="BZ39" s="13">
        <f>BY39*VLOOKUP('Données projet'!$B$12,Paramètres!$A$1:$I$89,3,0)*VLOOKUP('Données projet'!$B$12,Paramètres!$A$1:$I$89,5,0)</f>
        <v>168.23040000000003</v>
      </c>
      <c r="CA39" s="13">
        <f t="shared" si="39"/>
        <v>42.693451008292193</v>
      </c>
      <c r="CB39" s="20">
        <f t="shared" si="10"/>
        <v>367.3590405061089</v>
      </c>
      <c r="CC39" s="59">
        <f t="shared" si="11"/>
        <v>660.69237383944221</v>
      </c>
      <c r="CD39" s="59">
        <f ca="1">AVERAGE(OFFSET($CC$3,0,0,'Données projet'!$E$12+1,1))-AVERAGE(OFFSET($H$3,0,0,'Données projet'!$E$12+1,1))</f>
        <v>255.41017495879987</v>
      </c>
      <c r="CE39" s="59">
        <f t="shared" si="40"/>
        <v>297.50513563712764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7.4091491273674022</v>
      </c>
      <c r="CL39" s="21">
        <f>EXP(-LN(2)/25)*CL38+(1-EXP(-LN(2)/25))/(LN(2)/25)*Calculateur!CG39*Calculateur!CI39*VLOOKUP('Données projet'!$B$12,Paramètres!$A$1:$I$89,3,0)*0.475*44/12</f>
        <v>23.598679839487211</v>
      </c>
      <c r="CM39" s="21">
        <f>EXP(-LN(2)/2)*CM38+(1-EXP(-LN(2)/2))/(LN(2)/2)*CG39*CJ39*VLOOKUP('Données projet'!$B$12,Paramètres!$A$1:$I$89,3,0)*0.475*44/12</f>
        <v>3.050148892113985</v>
      </c>
      <c r="CN39" s="22">
        <f t="shared" si="12"/>
        <v>34.057977858968599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>
        <f>VLOOKUP(A39,'Données projet'!$A$139:$I$159,2,0)</f>
        <v>187.88461538461539</v>
      </c>
      <c r="CR39" s="12">
        <f>VLOOKUP(A39,'Données projet'!$A$139:$I$159,9,0)</f>
        <v>9.9692307692307711</v>
      </c>
      <c r="CS39" s="12">
        <f t="array" ref="CS39">INDEX(CR:CR,MIN(IF(ISNUMBER(CR39:CR235),ROW(CR39:CR235),"")))</f>
        <v>9.9692307692307711</v>
      </c>
      <c r="CT39" s="12">
        <f>IF('Données projet'!$A$140&gt;35,CT38+CS39-DB38,IF(A39&lt;'Données projet'!$A$140,$CQ$205^A39,IF(A39='Données projet'!$A$140,'Données projet'!$B$140,CT38+CS39-DB38)))</f>
        <v>187.8846153846153</v>
      </c>
      <c r="CU39" s="17">
        <f>CT39*VLOOKUP('Données projet'!$B$13,Paramètres!$A$1:$I$89,3,0)*VLOOKUP('Données projet'!$B$13,Paramètres!$A$1:$I$89,5,0)</f>
        <v>107.46999999999996</v>
      </c>
      <c r="CV39" s="13">
        <f t="shared" si="41"/>
        <v>28.734092002451078</v>
      </c>
      <c r="CW39" s="20">
        <f t="shared" si="13"/>
        <v>237.22212690426889</v>
      </c>
      <c r="CX39" s="59">
        <f t="shared" si="14"/>
        <v>530.55546023760223</v>
      </c>
      <c r="CY39" s="59">
        <f ca="1">AVERAGE(OFFSET($CX$3,0,0,'Données projet'!$E$13+1,1))-AVERAGE(OFFSET($H$3,0,0,'Données projet'!$E$13+1,1))</f>
        <v>134.70214882504786</v>
      </c>
      <c r="CZ39" s="59">
        <f t="shared" si="42"/>
        <v>102.18553029667771</v>
      </c>
      <c r="DA39" s="15">
        <f>IF(ISNA(VLOOKUP(A39,'Données projet'!$A$139:$I$159,3,0)),0,VLOOKUP(A39,'Données projet'!$A$139:$I$159,3,0))</f>
        <v>3</v>
      </c>
      <c r="DB39" s="15">
        <f>IF(ISNA(VLOOKUP(A39,'Données projet'!$A$139:$I$159,4,0)),0,VLOOKUP(A39,'Données projet'!$A$139:$I$159,4,0))</f>
        <v>40.184615384615384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0.94390271697531403</v>
      </c>
      <c r="DG39" s="21">
        <f>EXP(-LN(2)/25)*DG38+(1-EXP(-LN(2)/25))/(LN(2)/25)*Calculateur!DB39*Calculateur!DD39*VLOOKUP('Données projet'!$B$13,Paramètres!$A$1:$I$89,3,0)*0.475*44/12</f>
        <v>10.626355540143265</v>
      </c>
      <c r="DH39" s="21">
        <f>EXP(-LN(2)/2)*DH38+(1-EXP(-LN(2)/2))/(LN(2)/2)*DB39*DE39*VLOOKUP('Données projet'!$B$13,Paramètres!$A$1:$I$89,3,0)*0.475*44/12</f>
        <v>0.96323705262768866</v>
      </c>
      <c r="DI39" s="22">
        <f t="shared" si="15"/>
        <v>12.533495309746268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12.74038461538462</v>
      </c>
      <c r="DO39" s="12">
        <f>IF('Données projet'!$A$166&gt;35,DO38+DN39-DW38,IF(A39&lt;'Données projet'!$A$166,$DL$205^A39,IF(A39='Données projet'!$A$166,'Données projet'!$B$166,DO38+DN39-DW38)))</f>
        <v>179.11346153846156</v>
      </c>
      <c r="DP39" s="17">
        <f>DO39*VLOOKUP('Données projet'!$B$14,Paramètres!$A$1:$I$89,3,0)*VLOOKUP('Données projet'!$B$14,Paramètres!$A$1:$I$89,5,0)</f>
        <v>107.10985000000002</v>
      </c>
      <c r="DQ39" s="13">
        <f t="shared" si="43"/>
        <v>28.64899110170736</v>
      </c>
      <c r="DR39" s="20">
        <f t="shared" si="16"/>
        <v>236.44664825214033</v>
      </c>
      <c r="DS39" s="59">
        <f t="shared" si="17"/>
        <v>529.77998158547371</v>
      </c>
      <c r="DT39" s="59">
        <f ca="1">AVERAGE(OFFSET($DS$3,0,0,'Données projet'!$E$14+1,1))-AVERAGE(OFFSET($H$3,0,0,'Données projet'!$E$14+1,1))</f>
        <v>179.32848817523677</v>
      </c>
      <c r="DU39" s="59">
        <f t="shared" si="44"/>
        <v>131.3292389103035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11.160169676375231</v>
      </c>
      <c r="EC39" s="21">
        <f>EXP(-LN(2)/2)*EC38+(1-EXP(-LN(2)/2))/(LN(2)/2)*DW39*DZ39*VLOOKUP('Données projet'!$B$14,Paramètres!$A$1:$I$89,3,0)*0.475*44/12</f>
        <v>0.65785867215567895</v>
      </c>
      <c r="ED39" s="22">
        <f t="shared" si="18"/>
        <v>11.818028348530911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>
        <f>VLOOKUP(A39,'Données projet'!$A$191:$I$211,2,0)</f>
        <v>403.50769230769225</v>
      </c>
      <c r="EH39" s="12">
        <f>VLOOKUP(A39,'Données projet'!$A$191:$I$211,9,0)</f>
        <v>22.884615384615376</v>
      </c>
      <c r="EI39" s="12">
        <f t="array" ref="EI39">INDEX(EH:EH,MIN(IF(ISNUMBER(EH39:EH235),ROW(EH39:EH235),"")))</f>
        <v>22.884615384615376</v>
      </c>
      <c r="EJ39" s="12">
        <f>IF('Données projet'!$A$192&gt;35,EJ38+EI39-ER38,IF(A39&lt;'Données projet'!$A$192,$EG$205^A39,IF(A39='Données projet'!$A$192,'Données projet'!$B$192,EJ38+EI39-ER38)))</f>
        <v>403.50769230769203</v>
      </c>
      <c r="EK39" s="17">
        <f>EJ39*VLOOKUP('Données projet'!$B$15,Paramètres!$A$1:$I$89,3,0)*VLOOKUP('Données projet'!$B$15,Paramètres!$A$1:$I$89,5,0)</f>
        <v>178.35039999999989</v>
      </c>
      <c r="EL39" s="13">
        <f t="shared" si="45"/>
        <v>44.954984137774261</v>
      </c>
      <c r="EM39" s="20">
        <f t="shared" si="19"/>
        <v>388.9235440399566</v>
      </c>
      <c r="EN39" s="59">
        <f t="shared" si="20"/>
        <v>682.25687737328985</v>
      </c>
      <c r="EO39" s="59">
        <f ca="1">AVERAGE(OFFSET($EN$3,0,0,'Données projet'!$E$15+1,1))-AVERAGE(OFFSET($H$3,0,0,'Données projet'!$E$15+1,1))</f>
        <v>191.932060106699</v>
      </c>
      <c r="EP39" s="59">
        <f t="shared" si="46"/>
        <v>260.28593152736903</v>
      </c>
      <c r="EQ39" s="15">
        <f>IF(ISNA(VLOOKUP(A39,'Données projet'!$A$191:$I$211,3,0)),0,VLOOKUP(A39,'Données projet'!$A$191:$I$211,3,0))</f>
        <v>4</v>
      </c>
      <c r="ER39" s="15">
        <f>IF(ISNA(VLOOKUP(A39,'Données projet'!$A$191:$I$211,4,0)),0,VLOOKUP(A39,'Données projet'!$A$191:$I$211,4,0))</f>
        <v>69.3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2.1695493816039892</v>
      </c>
      <c r="EW39" s="21">
        <f>EXP(-LN(2)/25)*EW38+(1-EXP(-LN(2)/25))/(LN(2)/25)*Calculateur!ER39*Calculateur!ET39*VLOOKUP('Données projet'!$B$15,Paramètres!$A$1:$I$89,3,0)*0.475*44/12</f>
        <v>10.685705499766339</v>
      </c>
      <c r="EX39" s="21">
        <f>EXP(-LN(2)/2)*EX38+(1-EXP(-LN(2)/2))/(LN(2)/2)*ER39*EU39*VLOOKUP('Données projet'!$B$15,Paramètres!$A$1:$I$89,3,0)*0.475*44/12</f>
        <v>0.16729700785301829</v>
      </c>
      <c r="EY39" s="22">
        <f t="shared" si="21"/>
        <v>13.022551889223347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3.8</v>
      </c>
      <c r="FE39" s="12">
        <f>IF('Données projet'!$A$218&gt;35,FE38+FD39-FM38,IF(A39&lt;'Données projet'!$A$218,$FB$205^A39,IF(A39='Données projet'!$A$218,'Données projet'!$B$218,FE38+FD39-FM38)))</f>
        <v>67.799999999999969</v>
      </c>
      <c r="FF39" s="17">
        <f>FE39*VLOOKUP('Données projet'!$B$16,Paramètres!$A$1:$I$89,3,0)*VLOOKUP('Données projet'!$B$16,Paramètres!$A$1:$I$89,5,0)</f>
        <v>65.576159999999973</v>
      </c>
      <c r="FG39" s="13">
        <f t="shared" si="47"/>
        <v>18.570723093543009</v>
      </c>
      <c r="FH39" s="20">
        <f t="shared" si="22"/>
        <v>146.55582138792067</v>
      </c>
      <c r="FI39" s="59">
        <f t="shared" si="23"/>
        <v>439.88915472125399</v>
      </c>
      <c r="FJ39" s="59">
        <f ca="1">AVERAGE(OFFSET($FI$3,0,0,'Données projet'!$E$16+1,1))-AVERAGE(OFFSET($H$3,0,0,'Données projet'!$E$16+1,1))</f>
        <v>102.86738524979938</v>
      </c>
      <c r="FK39" s="59">
        <f t="shared" si="48"/>
        <v>56.347130462109817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0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0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8.6999999999999993</v>
      </c>
      <c r="FZ39" s="12">
        <f>IF('Données projet'!$A$244&gt;35,FZ38+FY39-GH38,IF(A39&lt;'Données projet'!$A$244,$FW$205^A39,IF(A39='Données projet'!$A$244,'Données projet'!$B$244,FZ38+FY39-GH38)))</f>
        <v>145.20000000000005</v>
      </c>
      <c r="GA39" s="17">
        <f>FZ39*VLOOKUP('Données projet'!$B$17,Paramètres!$A$1:$I$89,3,0)*VLOOKUP('Données projet'!$B$17,Paramètres!$A$1:$I$89,5,0)</f>
        <v>97.400160000000042</v>
      </c>
      <c r="GB39" s="13">
        <f t="shared" si="49"/>
        <v>26.34167514323763</v>
      </c>
      <c r="GC39" s="20">
        <f t="shared" si="25"/>
        <v>215.5170295411389</v>
      </c>
      <c r="GD39" s="59">
        <f t="shared" si="26"/>
        <v>508.85036287447224</v>
      </c>
      <c r="GE39" s="59">
        <f ca="1">AVERAGE(OFFSET($GD$3,0,0,'Données projet'!$E$17+1,1))-AVERAGE(OFFSET($H$3,0,0,'Données projet'!$E$17+1,1))</f>
        <v>168.00454652899231</v>
      </c>
      <c r="GF39" s="59">
        <f t="shared" si="50"/>
        <v>135.31958994080446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0</v>
      </c>
      <c r="GM39" s="21">
        <f>EXP(-LN(2)/25)*GM38+(1-EXP(-LN(2)/25))/(LN(2)/25)*Calculateur!GH39*Calculateur!GJ39*VLOOKUP('Données projet'!$B$17,Paramètres!$A$1:$I$89,3,0)*0.475*44/12</f>
        <v>0</v>
      </c>
      <c r="GN39" s="21">
        <f>EXP(-LN(2)/2)*GN38+(1-EXP(-LN(2)/2))/(LN(2)/2)*GH39*GK39*VLOOKUP('Données projet'!$B$17,Paramètres!$A$1:$I$89,3,0)*0.475*44/12</f>
        <v>0</v>
      </c>
      <c r="GO39" s="21">
        <f t="shared" si="27"/>
        <v>0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9.3141025641025674</v>
      </c>
      <c r="N40" s="13">
        <f>IF('Données projet'!$A$36&gt;35,N39+M40-V39,IF(A40&lt;'Données projet'!$A$36,$K$205^A40,IF(A40='Données projet'!$A$36,'Données projet'!$B$36,N39+M40-V39)))</f>
        <v>120.19230769230769</v>
      </c>
      <c r="O40" s="13">
        <f>N40*VLOOKUP('Données projet'!$B$9,Paramètres!$A$1:$I$89,3,0)*VLOOKUP('Données projet'!$B$9,Paramètres!$A$1:$I$89,5,0)</f>
        <v>108.74999999999999</v>
      </c>
      <c r="P40" s="13">
        <f t="shared" si="33"/>
        <v>29.036279216217448</v>
      </c>
      <c r="Q40" s="20">
        <f t="shared" si="53"/>
        <v>239.97776963491199</v>
      </c>
      <c r="R40" s="59">
        <f t="shared" si="0"/>
        <v>533.31110296824534</v>
      </c>
      <c r="S40" s="59">
        <f ca="1">AVERAGE(OFFSET($R$3,0,0,'Données projet'!$E$9+1,1))-AVERAGE(OFFSET($H$3,0,0,'Données projet'!$E$9+1,1))</f>
        <v>221.7429870520005</v>
      </c>
      <c r="T40" s="59">
        <f t="shared" si="34"/>
        <v>182.2029938397186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5.3369963369963358</v>
      </c>
      <c r="AI40" s="13">
        <f>IF('Données projet'!$A$62&gt;35,AI39+AH40-AQ39,IF(A40&lt;'Données projet'!$A$62,$AF$205^A40,IF(A40='Données projet'!$A$62,'Données projet'!$B$62,AI39+AH40-AQ39)))</f>
        <v>125.06410256410255</v>
      </c>
      <c r="AJ40" s="13">
        <f>AI40*VLOOKUP('Données projet'!$B$10,Paramètres!$A$1:$I$89,3,0)*VLOOKUP('Données projet'!$B$10,Paramètres!$A$1:$I$89,5,0)</f>
        <v>113.15799999999999</v>
      </c>
      <c r="AK40" s="13">
        <f t="shared" si="35"/>
        <v>30.073803878601733</v>
      </c>
      <c r="AL40" s="20">
        <f t="shared" si="4"/>
        <v>249.46205842189795</v>
      </c>
      <c r="AM40" s="59">
        <f t="shared" si="5"/>
        <v>542.79539175523132</v>
      </c>
      <c r="AN40" s="59">
        <f ca="1">AVERAGE(OFFSET($AM$3,0,0,'Données projet'!$E$10+1,1))-AVERAGE(OFFSET($H$3,0,0,'Données projet'!$E$10+1,1))</f>
        <v>153.45079678708987</v>
      </c>
      <c r="AO40" s="59">
        <f t="shared" si="36"/>
        <v>115.4217868409637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16.131410256410259</v>
      </c>
      <c r="BD40" s="12">
        <f>IF('Données projet'!$A$88&gt;35,BD39+BC40-BL39,IF(A40&lt;'Données projet'!$A$88,$BA$205^A40,IF(A40='Données projet'!$A$88,'Données projet'!$B$88,BD39+BC40-BL39)))</f>
        <v>329.71217948717953</v>
      </c>
      <c r="BE40" s="13">
        <f>BD40*VLOOKUP('Données projet'!$B$11,Paramètres!$A$1:$I$89,3,0)*VLOOKUP('Données projet'!$B$11,Paramètres!$A$1:$I$89,5,0)</f>
        <v>154.30530000000002</v>
      </c>
      <c r="BF40" s="13">
        <f t="shared" si="37"/>
        <v>39.555363325024224</v>
      </c>
      <c r="BG40" s="20">
        <f t="shared" si="7"/>
        <v>337.64065529108387</v>
      </c>
      <c r="BH40" s="59">
        <f t="shared" si="8"/>
        <v>630.97398862441719</v>
      </c>
      <c r="BI40" s="59">
        <f ca="1">AVERAGE(OFFSET($BH$3,0,0,'Données projet'!$E$11+1,1))-AVERAGE(OFFSET($H$3,0,0,'Données projet'!$E$11+1,1))</f>
        <v>158.58786357608489</v>
      </c>
      <c r="BJ40" s="59">
        <f t="shared" si="38"/>
        <v>163.20074068819849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15.1</v>
      </c>
      <c r="BY40" s="12">
        <f>IF('Données projet'!$A$114&gt;35,BY39+BX40-CG39,IF(A40&lt;'Données projet'!$A$114,$BV$205^A40,IF(A40='Données projet'!$A$114,'Données projet'!$B$114,BY39+BX40-CG39)))</f>
        <v>284.70000000000005</v>
      </c>
      <c r="BZ40" s="13">
        <f>BY40*VLOOKUP('Données projet'!$B$12,Paramètres!$A$1:$I$89,3,0)*VLOOKUP('Données projet'!$B$12,Paramètres!$A$1:$I$89,5,0)</f>
        <v>177.65280000000001</v>
      </c>
      <c r="CA40" s="13">
        <f t="shared" si="39"/>
        <v>44.799579155749747</v>
      </c>
      <c r="CB40" s="20">
        <f t="shared" si="10"/>
        <v>387.43789369626415</v>
      </c>
      <c r="CC40" s="59">
        <f t="shared" si="11"/>
        <v>680.77122702959741</v>
      </c>
      <c r="CD40" s="59">
        <f ca="1">AVERAGE(OFFSET($CC$3,0,0,'Données projet'!$E$12+1,1))-AVERAGE(OFFSET($H$3,0,0,'Données projet'!$E$12+1,1))</f>
        <v>255.41017495879987</v>
      </c>
      <c r="CE40" s="59">
        <f t="shared" si="40"/>
        <v>297.50513563712764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7.2638602321144674</v>
      </c>
      <c r="CL40" s="21">
        <f>EXP(-LN(2)/25)*CL39+(1-EXP(-LN(2)/25))/(LN(2)/25)*Calculateur!CG40*Calculateur!CI40*VLOOKUP('Données projet'!$B$12,Paramètres!$A$1:$I$89,3,0)*0.475*44/12</f>
        <v>22.953372698275796</v>
      </c>
      <c r="CM40" s="21">
        <f>EXP(-LN(2)/2)*CM39+(1-EXP(-LN(2)/2))/(LN(2)/2)*CG40*CJ40*VLOOKUP('Données projet'!$B$12,Paramètres!$A$1:$I$89,3,0)*0.475*44/12</f>
        <v>2.1567809652424339</v>
      </c>
      <c r="CN40" s="22">
        <f t="shared" si="12"/>
        <v>32.3740138956327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9.25</v>
      </c>
      <c r="CT40" s="12">
        <f>IF('Données projet'!$A$140&gt;35,CT39+CS40-DB39,IF(A40&lt;'Données projet'!$A$140,$CQ$205^A40,IF(A40='Données projet'!$A$140,'Données projet'!$B$140,CT39+CS40-DB39)))</f>
        <v>156.94999999999993</v>
      </c>
      <c r="CU40" s="17">
        <f>CT40*VLOOKUP('Données projet'!$B$13,Paramètres!$A$1:$I$89,3,0)*VLOOKUP('Données projet'!$B$13,Paramètres!$A$1:$I$89,5,0)</f>
        <v>89.775399999999962</v>
      </c>
      <c r="CV40" s="13">
        <f t="shared" si="41"/>
        <v>24.511049007501153</v>
      </c>
      <c r="CW40" s="20">
        <f t="shared" si="13"/>
        <v>199.04889868806444</v>
      </c>
      <c r="CX40" s="59">
        <f t="shared" si="14"/>
        <v>492.38223202139773</v>
      </c>
      <c r="CY40" s="59">
        <f ca="1">AVERAGE(OFFSET($CX$3,0,0,'Données projet'!$E$13+1,1))-AVERAGE(OFFSET($H$3,0,0,'Données projet'!$E$13+1,1))</f>
        <v>134.70214882504786</v>
      </c>
      <c r="CZ40" s="59">
        <f t="shared" si="42"/>
        <v>102.18553029667771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0.92539336041923748</v>
      </c>
      <c r="DG40" s="21">
        <f>EXP(-LN(2)/25)*DG39+(1-EXP(-LN(2)/25))/(LN(2)/25)*Calculateur!DB40*Calculateur!DD40*VLOOKUP('Données projet'!$B$13,Paramètres!$A$1:$I$89,3,0)*0.475*44/12</f>
        <v>10.335777289082296</v>
      </c>
      <c r="DH40" s="21">
        <f>EXP(-LN(2)/2)*DH39+(1-EXP(-LN(2)/2))/(LN(2)/2)*DB40*DE40*VLOOKUP('Données projet'!$B$13,Paramètres!$A$1:$I$89,3,0)*0.475*44/12</f>
        <v>0.681111451803182</v>
      </c>
      <c r="DI40" s="22">
        <f t="shared" si="15"/>
        <v>11.942282101304716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12.74038461538462</v>
      </c>
      <c r="DO40" s="12">
        <f>IF('Données projet'!$A$166&gt;35,DO39+DN40-DW39,IF(A40&lt;'Données projet'!$A$166,$DL$205^A40,IF(A40='Données projet'!$A$166,'Données projet'!$B$166,DO39+DN40-DW39)))</f>
        <v>191.85384615384618</v>
      </c>
      <c r="DP40" s="17">
        <f>DO40*VLOOKUP('Données projet'!$B$14,Paramètres!$A$1:$I$89,3,0)*VLOOKUP('Données projet'!$B$14,Paramètres!$A$1:$I$89,5,0)</f>
        <v>114.72860000000003</v>
      </c>
      <c r="DQ40" s="13">
        <f t="shared" si="43"/>
        <v>30.442335906087649</v>
      </c>
      <c r="DR40" s="20">
        <f t="shared" si="16"/>
        <v>252.83938003643598</v>
      </c>
      <c r="DS40" s="59">
        <f t="shared" si="17"/>
        <v>546.17271336976933</v>
      </c>
      <c r="DT40" s="59">
        <f ca="1">AVERAGE(OFFSET($DS$3,0,0,'Données projet'!$E$14+1,1))-AVERAGE(OFFSET($H$3,0,0,'Données projet'!$E$14+1,1))</f>
        <v>179.32848817523677</v>
      </c>
      <c r="DU40" s="59">
        <f t="shared" si="44"/>
        <v>131.3292389103035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10.854994249686934</v>
      </c>
      <c r="EC40" s="21">
        <f>EXP(-LN(2)/2)*EC39+(1-EXP(-LN(2)/2))/(LN(2)/2)*DW40*DZ40*VLOOKUP('Données projet'!$B$14,Paramètres!$A$1:$I$89,3,0)*0.475*44/12</f>
        <v>0.46517632814365839</v>
      </c>
      <c r="ED40" s="22">
        <f t="shared" si="18"/>
        <v>11.320170577830591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22.419230769230779</v>
      </c>
      <c r="EJ40" s="12">
        <f>IF('Données projet'!$A$192&gt;35,EJ39+EI40-ER39,IF(A40&lt;'Données projet'!$A$192,$EG$205^A40,IF(A40='Données projet'!$A$192,'Données projet'!$B$192,EJ39+EI40-ER39)))</f>
        <v>356.62692307692276</v>
      </c>
      <c r="EK40" s="17">
        <f>EJ40*VLOOKUP('Données projet'!$B$15,Paramètres!$A$1:$I$89,3,0)*VLOOKUP('Données projet'!$B$15,Paramètres!$A$1:$I$89,5,0)</f>
        <v>157.62909999999988</v>
      </c>
      <c r="EL40" s="13">
        <f t="shared" si="45"/>
        <v>40.307288542799547</v>
      </c>
      <c r="EM40" s="20">
        <f t="shared" si="19"/>
        <v>344.73921004537561</v>
      </c>
      <c r="EN40" s="59">
        <f t="shared" si="20"/>
        <v>638.07254337870893</v>
      </c>
      <c r="EO40" s="59">
        <f ca="1">AVERAGE(OFFSET($EN$3,0,0,'Données projet'!$E$15+1,1))-AVERAGE(OFFSET($H$3,0,0,'Données projet'!$E$15+1,1))</f>
        <v>191.932060106699</v>
      </c>
      <c r="EP40" s="59">
        <f t="shared" si="46"/>
        <v>260.28593152736903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2.1270058415251931</v>
      </c>
      <c r="EW40" s="21">
        <f>EXP(-LN(2)/25)*EW39+(1-EXP(-LN(2)/25))/(LN(2)/25)*Calculateur!ER40*Calculateur!ET40*VLOOKUP('Données projet'!$B$15,Paramètres!$A$1:$I$89,3,0)*0.475*44/12</f>
        <v>10.393504320938399</v>
      </c>
      <c r="EX40" s="21">
        <f>EXP(-LN(2)/2)*EX39+(1-EXP(-LN(2)/2))/(LN(2)/2)*ER40*EU40*VLOOKUP('Données projet'!$B$15,Paramètres!$A$1:$I$89,3,0)*0.475*44/12</f>
        <v>0.11829684872508833</v>
      </c>
      <c r="EY40" s="22">
        <f t="shared" si="21"/>
        <v>12.63880701118868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3.8</v>
      </c>
      <c r="FE40" s="12">
        <f>IF('Données projet'!$A$218&gt;35,FE39+FD40-FM39,IF(A40&lt;'Données projet'!$A$218,$FB$205^A40,IF(A40='Données projet'!$A$218,'Données projet'!$B$218,FE39+FD40-FM39)))</f>
        <v>71.599999999999966</v>
      </c>
      <c r="FF40" s="17">
        <f>FE40*VLOOKUP('Données projet'!$B$16,Paramètres!$A$1:$I$89,3,0)*VLOOKUP('Données projet'!$B$16,Paramètres!$A$1:$I$89,5,0)</f>
        <v>69.251519999999971</v>
      </c>
      <c r="FG40" s="13">
        <f t="shared" si="47"/>
        <v>19.487467473954798</v>
      </c>
      <c r="FH40" s="20">
        <f t="shared" si="22"/>
        <v>154.55373651713788</v>
      </c>
      <c r="FI40" s="59">
        <f t="shared" si="23"/>
        <v>447.88706985047122</v>
      </c>
      <c r="FJ40" s="59">
        <f ca="1">AVERAGE(OFFSET($FI$3,0,0,'Données projet'!$E$16+1,1))-AVERAGE(OFFSET($H$3,0,0,'Données projet'!$E$16+1,1))</f>
        <v>102.86738524979938</v>
      </c>
      <c r="FK40" s="59">
        <f t="shared" si="48"/>
        <v>56.347130462109817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0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0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8.6999999999999993</v>
      </c>
      <c r="FZ40" s="12">
        <f>IF('Données projet'!$A$244&gt;35,FZ39+FY40-GH39,IF(A40&lt;'Données projet'!$A$244,$FW$205^A40,IF(A40='Données projet'!$A$244,'Données projet'!$B$244,FZ39+FY40-GH39)))</f>
        <v>153.90000000000003</v>
      </c>
      <c r="GA40" s="17">
        <f>FZ40*VLOOKUP('Données projet'!$B$17,Paramètres!$A$1:$I$89,3,0)*VLOOKUP('Données projet'!$B$17,Paramètres!$A$1:$I$89,5,0)</f>
        <v>103.23612000000001</v>
      </c>
      <c r="GB40" s="13">
        <f t="shared" si="49"/>
        <v>27.73152366163858</v>
      </c>
      <c r="GC40" s="20">
        <f t="shared" si="25"/>
        <v>228.10197937735384</v>
      </c>
      <c r="GD40" s="59">
        <f t="shared" si="26"/>
        <v>521.43531271068719</v>
      </c>
      <c r="GE40" s="59">
        <f ca="1">AVERAGE(OFFSET($GD$3,0,0,'Données projet'!$E$17+1,1))-AVERAGE(OFFSET($H$3,0,0,'Données projet'!$E$17+1,1))</f>
        <v>168.00454652899231</v>
      </c>
      <c r="GF40" s="59">
        <f t="shared" si="50"/>
        <v>135.31958994080446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0</v>
      </c>
      <c r="GM40" s="21">
        <f>EXP(-LN(2)/25)*GM39+(1-EXP(-LN(2)/25))/(LN(2)/25)*Calculateur!GH40*Calculateur!GJ40*VLOOKUP('Données projet'!$B$17,Paramètres!$A$1:$I$89,3,0)*0.475*44/12</f>
        <v>0</v>
      </c>
      <c r="GN40" s="21">
        <f>EXP(-LN(2)/2)*GN39+(1-EXP(-LN(2)/2))/(LN(2)/2)*GH40*GK40*VLOOKUP('Données projet'!$B$17,Paramètres!$A$1:$I$89,3,0)*0.475*44/12</f>
        <v>0</v>
      </c>
      <c r="GO40" s="21">
        <f t="shared" si="27"/>
        <v>0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9.3141025641025674</v>
      </c>
      <c r="N41" s="13">
        <f>IF('Données projet'!$A$36&gt;35,N40+M41-V40,IF(A41&lt;'Données projet'!$A$36,$K$205^A41,IF(A41='Données projet'!$A$36,'Données projet'!$B$36,N40+M41-V40)))</f>
        <v>129.50641025641025</v>
      </c>
      <c r="O41" s="13">
        <f>N41*VLOOKUP('Données projet'!$B$9,Paramètres!$A$1:$I$89,3,0)*VLOOKUP('Données projet'!$B$9,Paramètres!$A$1:$I$89,5,0)</f>
        <v>117.17739999999998</v>
      </c>
      <c r="P41" s="13">
        <f t="shared" si="33"/>
        <v>31.015764986886897</v>
      </c>
      <c r="Q41" s="20">
        <f t="shared" si="53"/>
        <v>258.10309568549462</v>
      </c>
      <c r="R41" s="59">
        <f t="shared" si="0"/>
        <v>551.43642901882799</v>
      </c>
      <c r="S41" s="59">
        <f ca="1">AVERAGE(OFFSET($R$3,0,0,'Données projet'!$E$9+1,1))-AVERAGE(OFFSET($H$3,0,0,'Données projet'!$E$9+1,1))</f>
        <v>221.7429870520005</v>
      </c>
      <c r="T41" s="59">
        <f t="shared" si="34"/>
        <v>182.2029938397186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5.3369963369963358</v>
      </c>
      <c r="AI41" s="13">
        <f>IF('Données projet'!$A$62&gt;35,AI40+AH41-AQ40,IF(A41&lt;'Données projet'!$A$62,$AF$205^A41,IF(A41='Données projet'!$A$62,'Données projet'!$B$62,AI40+AH41-AQ40)))</f>
        <v>130.40109890109889</v>
      </c>
      <c r="AJ41" s="13">
        <f>AI41*VLOOKUP('Données projet'!$B$10,Paramètres!$A$1:$I$89,3,0)*VLOOKUP('Données projet'!$B$10,Paramètres!$A$1:$I$89,5,0)</f>
        <v>117.98691428571428</v>
      </c>
      <c r="AK41" s="13">
        <f t="shared" si="35"/>
        <v>31.205018808985951</v>
      </c>
      <c r="AL41" s="20">
        <f t="shared" si="4"/>
        <v>259.8426168066029</v>
      </c>
      <c r="AM41" s="59">
        <f t="shared" si="5"/>
        <v>553.17595013993628</v>
      </c>
      <c r="AN41" s="59">
        <f ca="1">AVERAGE(OFFSET($AM$3,0,0,'Données projet'!$E$10+1,1))-AVERAGE(OFFSET($H$3,0,0,'Données projet'!$E$10+1,1))</f>
        <v>153.45079678708987</v>
      </c>
      <c r="AO41" s="59">
        <f t="shared" si="36"/>
        <v>115.4217868409637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16.131410256410259</v>
      </c>
      <c r="BD41" s="12">
        <f>IF('Données projet'!$A$88&gt;35,BD40+BC41-BL40,IF(A41&lt;'Données projet'!$A$88,$BA$205^A41,IF(A41='Données projet'!$A$88,'Données projet'!$B$88,BD40+BC41-BL40)))</f>
        <v>345.8435897435898</v>
      </c>
      <c r="BE41" s="13">
        <f>BD41*VLOOKUP('Données projet'!$B$11,Paramètres!$A$1:$I$89,3,0)*VLOOKUP('Données projet'!$B$11,Paramètres!$A$1:$I$89,5,0)</f>
        <v>161.85480000000001</v>
      </c>
      <c r="BF41" s="13">
        <f t="shared" si="37"/>
        <v>41.260589676862445</v>
      </c>
      <c r="BG41" s="20">
        <f t="shared" si="7"/>
        <v>353.75930368720213</v>
      </c>
      <c r="BH41" s="59">
        <f t="shared" si="8"/>
        <v>647.09263702053545</v>
      </c>
      <c r="BI41" s="59">
        <f ca="1">AVERAGE(OFFSET($BH$3,0,0,'Données projet'!$E$11+1,1))-AVERAGE(OFFSET($H$3,0,0,'Données projet'!$E$11+1,1))</f>
        <v>158.58786357608489</v>
      </c>
      <c r="BJ41" s="59">
        <f t="shared" si="38"/>
        <v>163.20074068819849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15.1</v>
      </c>
      <c r="BY41" s="12">
        <f>IF('Données projet'!$A$114&gt;35,BY40+BX41-CG40,IF(A41&lt;'Données projet'!$A$114,$BV$205^A41,IF(A41='Données projet'!$A$114,'Données projet'!$B$114,BY40+BX41-CG40)))</f>
        <v>299.80000000000007</v>
      </c>
      <c r="BZ41" s="13">
        <f>BY41*VLOOKUP('Données projet'!$B$12,Paramètres!$A$1:$I$89,3,0)*VLOOKUP('Données projet'!$B$12,Paramètres!$A$1:$I$89,5,0)</f>
        <v>187.07520000000005</v>
      </c>
      <c r="CA41" s="13">
        <f t="shared" si="39"/>
        <v>46.892738426785456</v>
      </c>
      <c r="CB41" s="20">
        <f t="shared" si="10"/>
        <v>407.49415942665138</v>
      </c>
      <c r="CC41" s="59">
        <f t="shared" si="11"/>
        <v>700.82749275998469</v>
      </c>
      <c r="CD41" s="59">
        <f ca="1">AVERAGE(OFFSET($CC$3,0,0,'Données projet'!$E$12+1,1))-AVERAGE(OFFSET($H$3,0,0,'Données projet'!$E$12+1,1))</f>
        <v>255.41017495879987</v>
      </c>
      <c r="CE41" s="59">
        <f t="shared" si="40"/>
        <v>297.50513563712764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7.1214203634799667</v>
      </c>
      <c r="CL41" s="21">
        <f>EXP(-LN(2)/25)*CL40+(1-EXP(-LN(2)/25))/(LN(2)/25)*Calculateur!CG41*Calculateur!CI41*VLOOKUP('Données projet'!$B$12,Paramètres!$A$1:$I$89,3,0)*0.475*44/12</f>
        <v>22.325711514776035</v>
      </c>
      <c r="CM41" s="21">
        <f>EXP(-LN(2)/2)*CM40+(1-EXP(-LN(2)/2))/(LN(2)/2)*CG41*CJ41*VLOOKUP('Données projet'!$B$12,Paramètres!$A$1:$I$89,3,0)*0.475*44/12</f>
        <v>1.5250744460569925</v>
      </c>
      <c r="CN41" s="22">
        <f t="shared" si="12"/>
        <v>30.972206324312996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9.25</v>
      </c>
      <c r="CT41" s="12">
        <f>IF('Données projet'!$A$140&gt;35,CT40+CS41-DB40,IF(A41&lt;'Données projet'!$A$140,$CQ$205^A41,IF(A41='Données projet'!$A$140,'Données projet'!$B$140,CT40+CS41-DB40)))</f>
        <v>166.19999999999993</v>
      </c>
      <c r="CU41" s="17">
        <f>CT41*VLOOKUP('Données projet'!$B$13,Paramètres!$A$1:$I$89,3,0)*VLOOKUP('Données projet'!$B$13,Paramètres!$A$1:$I$89,5,0)</f>
        <v>95.066399999999973</v>
      </c>
      <c r="CV41" s="13">
        <f t="shared" si="41"/>
        <v>25.783196868469933</v>
      </c>
      <c r="CW41" s="20">
        <f t="shared" si="13"/>
        <v>210.47971454591837</v>
      </c>
      <c r="CX41" s="59">
        <f t="shared" si="14"/>
        <v>503.81304787925171</v>
      </c>
      <c r="CY41" s="59">
        <f ca="1">AVERAGE(OFFSET($CX$3,0,0,'Données projet'!$E$13+1,1))-AVERAGE(OFFSET($H$3,0,0,'Données projet'!$E$13+1,1))</f>
        <v>134.70214882504786</v>
      </c>
      <c r="CZ41" s="59">
        <f t="shared" si="42"/>
        <v>102.18553029667771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0.90724696105563285</v>
      </c>
      <c r="DG41" s="21">
        <f>EXP(-LN(2)/25)*DG40+(1-EXP(-LN(2)/25))/(LN(2)/25)*Calculateur!DB41*Calculateur!DD41*VLOOKUP('Données projet'!$B$13,Paramètres!$A$1:$I$89,3,0)*0.475*44/12</f>
        <v>10.053144915577436</v>
      </c>
      <c r="DH41" s="21">
        <f>EXP(-LN(2)/2)*DH40+(1-EXP(-LN(2)/2))/(LN(2)/2)*DB41*DE41*VLOOKUP('Données projet'!$B$13,Paramètres!$A$1:$I$89,3,0)*0.475*44/12</f>
        <v>0.48161852631384433</v>
      </c>
      <c r="DI41" s="22">
        <f t="shared" si="15"/>
        <v>11.442010402946913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12.74038461538462</v>
      </c>
      <c r="DO41" s="12">
        <f>IF('Données projet'!$A$166&gt;35,DO40+DN41-DW40,IF(A41&lt;'Données projet'!$A$166,$DL$205^A41,IF(A41='Données projet'!$A$166,'Données projet'!$B$166,DO40+DN41-DW40)))</f>
        <v>204.59423076923079</v>
      </c>
      <c r="DP41" s="17">
        <f>DO41*VLOOKUP('Données projet'!$B$14,Paramètres!$A$1:$I$89,3,0)*VLOOKUP('Données projet'!$B$14,Paramètres!$A$1:$I$89,5,0)</f>
        <v>122.34735000000002</v>
      </c>
      <c r="DQ41" s="13">
        <f t="shared" si="43"/>
        <v>32.221861336884544</v>
      </c>
      <c r="DR41" s="20">
        <f t="shared" si="16"/>
        <v>269.20804307840729</v>
      </c>
      <c r="DS41" s="59">
        <f t="shared" si="17"/>
        <v>562.54137641174066</v>
      </c>
      <c r="DT41" s="59">
        <f ca="1">AVERAGE(OFFSET($DS$3,0,0,'Données projet'!$E$14+1,1))-AVERAGE(OFFSET($H$3,0,0,'Données projet'!$E$14+1,1))</f>
        <v>179.32848817523677</v>
      </c>
      <c r="DU41" s="59">
        <f t="shared" si="44"/>
        <v>131.3292389103035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10.558163861089907</v>
      </c>
      <c r="EC41" s="21">
        <f>EXP(-LN(2)/2)*EC40+(1-EXP(-LN(2)/2))/(LN(2)/2)*DW41*DZ41*VLOOKUP('Données projet'!$B$14,Paramètres!$A$1:$I$89,3,0)*0.475*44/12</f>
        <v>0.32892933607783953</v>
      </c>
      <c r="ED41" s="22">
        <f t="shared" si="18"/>
        <v>10.887093197167747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22.419230769230779</v>
      </c>
      <c r="EJ41" s="12">
        <f>IF('Données projet'!$A$192&gt;35,EJ40+EI41-ER40,IF(A41&lt;'Données projet'!$A$192,$EG$205^A41,IF(A41='Données projet'!$A$192,'Données projet'!$B$192,EJ40+EI41-ER40)))</f>
        <v>379.04615384615352</v>
      </c>
      <c r="EK41" s="17">
        <f>EJ41*VLOOKUP('Données projet'!$B$15,Paramètres!$A$1:$I$89,3,0)*VLOOKUP('Données projet'!$B$15,Paramètres!$A$1:$I$89,5,0)</f>
        <v>167.53839999999985</v>
      </c>
      <c r="EL41" s="13">
        <f t="shared" si="45"/>
        <v>42.538239934830749</v>
      </c>
      <c r="EM41" s="20">
        <f t="shared" si="19"/>
        <v>365.88348121982995</v>
      </c>
      <c r="EN41" s="59">
        <f t="shared" si="20"/>
        <v>659.2168145531632</v>
      </c>
      <c r="EO41" s="59">
        <f ca="1">AVERAGE(OFFSET($EN$3,0,0,'Données projet'!$E$15+1,1))-AVERAGE(OFFSET($H$3,0,0,'Données projet'!$E$15+1,1))</f>
        <v>191.932060106699</v>
      </c>
      <c r="EP41" s="59">
        <f t="shared" si="46"/>
        <v>260.28593152736903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2.085296554318345</v>
      </c>
      <c r="EW41" s="21">
        <f>EXP(-LN(2)/25)*EW40+(1-EXP(-LN(2)/25))/(LN(2)/25)*Calculateur!ER41*Calculateur!ET41*VLOOKUP('Données projet'!$B$15,Paramètres!$A$1:$I$89,3,0)*0.475*44/12</f>
        <v>10.109293398711701</v>
      </c>
      <c r="EX41" s="21">
        <f>EXP(-LN(2)/2)*EX40+(1-EXP(-LN(2)/2))/(LN(2)/2)*ER41*EU41*VLOOKUP('Données projet'!$B$15,Paramètres!$A$1:$I$89,3,0)*0.475*44/12</f>
        <v>8.364850392650916E-2</v>
      </c>
      <c r="EY41" s="22">
        <f t="shared" si="21"/>
        <v>12.278238456956556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3.8</v>
      </c>
      <c r="FE41" s="12">
        <f>IF('Données projet'!$A$218&gt;35,FE40+FD41-FM40,IF(A41&lt;'Données projet'!$A$218,$FB$205^A41,IF(A41='Données projet'!$A$218,'Données projet'!$B$218,FE40+FD41-FM40)))</f>
        <v>75.399999999999963</v>
      </c>
      <c r="FF41" s="17">
        <f>FE41*VLOOKUP('Données projet'!$B$16,Paramètres!$A$1:$I$89,3,0)*VLOOKUP('Données projet'!$B$16,Paramètres!$A$1:$I$89,5,0)</f>
        <v>72.926879999999969</v>
      </c>
      <c r="FG41" s="13">
        <f t="shared" si="47"/>
        <v>20.398563182833655</v>
      </c>
      <c r="FH41" s="20">
        <f t="shared" si="22"/>
        <v>162.54181354343521</v>
      </c>
      <c r="FI41" s="59">
        <f t="shared" si="23"/>
        <v>455.87514687676855</v>
      </c>
      <c r="FJ41" s="59">
        <f ca="1">AVERAGE(OFFSET($FI$3,0,0,'Données projet'!$E$16+1,1))-AVERAGE(OFFSET($H$3,0,0,'Données projet'!$E$16+1,1))</f>
        <v>102.86738524979938</v>
      </c>
      <c r="FK41" s="59">
        <f t="shared" si="48"/>
        <v>56.347130462109817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0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0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8.6999999999999993</v>
      </c>
      <c r="FZ41" s="12">
        <f>IF('Données projet'!$A$244&gt;35,FZ40+FY41-GH40,IF(A41&lt;'Données projet'!$A$244,$FW$205^A41,IF(A41='Données projet'!$A$244,'Données projet'!$B$244,FZ40+FY41-GH40)))</f>
        <v>162.60000000000002</v>
      </c>
      <c r="GA41" s="17">
        <f>FZ41*VLOOKUP('Données projet'!$B$17,Paramètres!$A$1:$I$89,3,0)*VLOOKUP('Données projet'!$B$17,Paramètres!$A$1:$I$89,5,0)</f>
        <v>109.07208000000001</v>
      </c>
      <c r="GB41" s="13">
        <f t="shared" si="49"/>
        <v>29.112251709675458</v>
      </c>
      <c r="GC41" s="20">
        <f t="shared" si="25"/>
        <v>240.67104439435138</v>
      </c>
      <c r="GD41" s="59">
        <f t="shared" si="26"/>
        <v>534.00437772768464</v>
      </c>
      <c r="GE41" s="59">
        <f ca="1">AVERAGE(OFFSET($GD$3,0,0,'Données projet'!$E$17+1,1))-AVERAGE(OFFSET($H$3,0,0,'Données projet'!$E$17+1,1))</f>
        <v>168.00454652899231</v>
      </c>
      <c r="GF41" s="59">
        <f t="shared" si="50"/>
        <v>135.31958994080446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0</v>
      </c>
      <c r="GM41" s="21">
        <f>EXP(-LN(2)/25)*GM40+(1-EXP(-LN(2)/25))/(LN(2)/25)*Calculateur!GH41*Calculateur!GJ41*VLOOKUP('Données projet'!$B$17,Paramètres!$A$1:$I$89,3,0)*0.475*44/12</f>
        <v>0</v>
      </c>
      <c r="GN41" s="21">
        <f>EXP(-LN(2)/2)*GN40+(1-EXP(-LN(2)/2))/(LN(2)/2)*GH41*GK41*VLOOKUP('Données projet'!$B$17,Paramètres!$A$1:$I$89,3,0)*0.475*44/12</f>
        <v>0</v>
      </c>
      <c r="GO41" s="21">
        <f t="shared" si="27"/>
        <v>0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9.3141025641025674</v>
      </c>
      <c r="N42" s="13">
        <f>IF('Données projet'!$A$36&gt;35,N41+M42-V41,IF(A42&lt;'Données projet'!$A$36,$K$205^A42,IF(A42='Données projet'!$A$36,'Données projet'!$B$36,N41+M42-V41)))</f>
        <v>138.82051282051282</v>
      </c>
      <c r="O42" s="13">
        <f>N42*VLOOKUP('Données projet'!$B$9,Paramètres!$A$1:$I$89,3,0)*VLOOKUP('Données projet'!$B$9,Paramètres!$A$1:$I$89,5,0)</f>
        <v>125.6048</v>
      </c>
      <c r="P42" s="13">
        <f t="shared" si="33"/>
        <v>32.978733659615138</v>
      </c>
      <c r="Q42" s="20">
        <f t="shared" si="53"/>
        <v>276.19965445716304</v>
      </c>
      <c r="R42" s="59">
        <f t="shared" si="0"/>
        <v>569.53298779049635</v>
      </c>
      <c r="S42" s="59">
        <f ca="1">AVERAGE(OFFSET($R$3,0,0,'Données projet'!$E$9+1,1))-AVERAGE(OFFSET($H$3,0,0,'Données projet'!$E$9+1,1))</f>
        <v>221.7429870520005</v>
      </c>
      <c r="T42" s="59">
        <f t="shared" si="34"/>
        <v>182.2029938397186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5.3369963369963358</v>
      </c>
      <c r="AI42" s="13">
        <f>IF('Données projet'!$A$62&gt;35,AI41+AH42-AQ41,IF(A42&lt;'Données projet'!$A$62,$AF$205^A42,IF(A42='Données projet'!$A$62,'Données projet'!$B$62,AI41+AH42-AQ41)))</f>
        <v>135.73809523809524</v>
      </c>
      <c r="AJ42" s="13">
        <f>AI42*VLOOKUP('Données projet'!$B$10,Paramètres!$A$1:$I$89,3,0)*VLOOKUP('Données projet'!$B$10,Paramètres!$A$1:$I$89,5,0)</f>
        <v>122.81582857142857</v>
      </c>
      <c r="AK42" s="13">
        <f t="shared" si="35"/>
        <v>32.330855900842984</v>
      </c>
      <c r="AL42" s="20">
        <f t="shared" si="4"/>
        <v>270.21380878920627</v>
      </c>
      <c r="AM42" s="59">
        <f t="shared" si="5"/>
        <v>563.54714212253953</v>
      </c>
      <c r="AN42" s="59">
        <f ca="1">AVERAGE(OFFSET($AM$3,0,0,'Données projet'!$E$10+1,1))-AVERAGE(OFFSET($H$3,0,0,'Données projet'!$E$10+1,1))</f>
        <v>153.45079678708987</v>
      </c>
      <c r="AO42" s="59">
        <f t="shared" si="36"/>
        <v>115.4217868409637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16.131410256410259</v>
      </c>
      <c r="BD42" s="12">
        <f>IF('Données projet'!$A$88&gt;35,BD41+BC42-BL41,IF(A42&lt;'Données projet'!$A$88,$BA$205^A42,IF(A42='Données projet'!$A$88,'Données projet'!$B$88,BD41+BC42-BL41)))</f>
        <v>361.97500000000008</v>
      </c>
      <c r="BE42" s="13">
        <f>BD42*VLOOKUP('Données projet'!$B$11,Paramètres!$A$1:$I$89,3,0)*VLOOKUP('Données projet'!$B$11,Paramètres!$A$1:$I$89,5,0)</f>
        <v>169.40430000000006</v>
      </c>
      <c r="BF42" s="13">
        <f t="shared" si="37"/>
        <v>42.956579357099159</v>
      </c>
      <c r="BG42" s="20">
        <f t="shared" si="7"/>
        <v>369.86186488028119</v>
      </c>
      <c r="BH42" s="59">
        <f t="shared" si="8"/>
        <v>663.1951982136145</v>
      </c>
      <c r="BI42" s="59">
        <f ca="1">AVERAGE(OFFSET($BH$3,0,0,'Données projet'!$E$11+1,1))-AVERAGE(OFFSET($H$3,0,0,'Données projet'!$E$11+1,1))</f>
        <v>158.58786357608489</v>
      </c>
      <c r="BJ42" s="59">
        <f t="shared" si="38"/>
        <v>163.20074068819849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15.1</v>
      </c>
      <c r="BY42" s="12">
        <f>IF('Données projet'!$A$114&gt;35,BY41+BX42-CG41,IF(A42&lt;'Données projet'!$A$114,$BV$205^A42,IF(A42='Données projet'!$A$114,'Données projet'!$B$114,BY41+BX42-CG41)))</f>
        <v>314.90000000000009</v>
      </c>
      <c r="BZ42" s="13">
        <f>BY42*VLOOKUP('Données projet'!$B$12,Paramètres!$A$1:$I$89,3,0)*VLOOKUP('Données projet'!$B$12,Paramètres!$A$1:$I$89,5,0)</f>
        <v>196.49760000000006</v>
      </c>
      <c r="CA42" s="13">
        <f t="shared" si="39"/>
        <v>48.973656553237205</v>
      </c>
      <c r="CB42" s="20">
        <f t="shared" si="10"/>
        <v>427.5291051635549</v>
      </c>
      <c r="CC42" s="59">
        <f t="shared" si="11"/>
        <v>720.86243849688822</v>
      </c>
      <c r="CD42" s="59">
        <f ca="1">AVERAGE(OFFSET($CC$3,0,0,'Données projet'!$E$12+1,1))-AVERAGE(OFFSET($H$3,0,0,'Données projet'!$E$12+1,1))</f>
        <v>255.41017495879987</v>
      </c>
      <c r="CE42" s="59">
        <f t="shared" si="40"/>
        <v>297.50513563712764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6.9817736537896478</v>
      </c>
      <c r="CL42" s="21">
        <f>EXP(-LN(2)/25)*CL41+(1-EXP(-LN(2)/25))/(LN(2)/25)*Calculateur!CG42*Calculateur!CI42*VLOOKUP('Données projet'!$B$12,Paramètres!$A$1:$I$89,3,0)*0.475*44/12</f>
        <v>21.715213759346341</v>
      </c>
      <c r="CM42" s="21">
        <f>EXP(-LN(2)/2)*CM41+(1-EXP(-LN(2)/2))/(LN(2)/2)*CG42*CJ42*VLOOKUP('Données projet'!$B$12,Paramètres!$A$1:$I$89,3,0)*0.475*44/12</f>
        <v>1.078390482621217</v>
      </c>
      <c r="CN42" s="22">
        <f t="shared" si="12"/>
        <v>29.775377895757206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9.25</v>
      </c>
      <c r="CT42" s="12">
        <f>IF('Données projet'!$A$140&gt;35,CT41+CS42-DB41,IF(A42&lt;'Données projet'!$A$140,$CQ$205^A42,IF(A42='Données projet'!$A$140,'Données projet'!$B$140,CT41+CS42-DB41)))</f>
        <v>175.44999999999993</v>
      </c>
      <c r="CU42" s="17">
        <f>CT42*VLOOKUP('Données projet'!$B$13,Paramètres!$A$1:$I$89,3,0)*VLOOKUP('Données projet'!$B$13,Paramètres!$A$1:$I$89,5,0)</f>
        <v>100.35739999999996</v>
      </c>
      <c r="CV42" s="13">
        <f t="shared" si="41"/>
        <v>27.047125482568308</v>
      </c>
      <c r="CW42" s="20">
        <f t="shared" si="13"/>
        <v>221.89621521547306</v>
      </c>
      <c r="CX42" s="59">
        <f t="shared" si="14"/>
        <v>515.22954854880641</v>
      </c>
      <c r="CY42" s="59">
        <f ca="1">AVERAGE(OFFSET($CX$3,0,0,'Données projet'!$E$13+1,1))-AVERAGE(OFFSET($H$3,0,0,'Données projet'!$E$13+1,1))</f>
        <v>134.70214882504786</v>
      </c>
      <c r="CZ42" s="59">
        <f t="shared" si="42"/>
        <v>102.18553029667771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0.88945640151533778</v>
      </c>
      <c r="DG42" s="21">
        <f>EXP(-LN(2)/25)*DG41+(1-EXP(-LN(2)/25))/(LN(2)/25)*Calculateur!DB42*Calculateur!DD42*VLOOKUP('Données projet'!$B$13,Paramètres!$A$1:$I$89,3,0)*0.475*44/12</f>
        <v>9.7782411391890562</v>
      </c>
      <c r="DH42" s="21">
        <f>EXP(-LN(2)/2)*DH41+(1-EXP(-LN(2)/2))/(LN(2)/2)*DB42*DE42*VLOOKUP('Données projet'!$B$13,Paramètres!$A$1:$I$89,3,0)*0.475*44/12</f>
        <v>0.340555725901591</v>
      </c>
      <c r="DI42" s="22">
        <f t="shared" si="15"/>
        <v>11.008253266605985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12.74038461538462</v>
      </c>
      <c r="DO42" s="12">
        <f>IF('Données projet'!$A$166&gt;35,DO41+DN42-DW41,IF(A42&lt;'Données projet'!$A$166,$DL$205^A42,IF(A42='Données projet'!$A$166,'Données projet'!$B$166,DO41+DN42-DW41)))</f>
        <v>217.3346153846154</v>
      </c>
      <c r="DP42" s="17">
        <f>DO42*VLOOKUP('Données projet'!$B$14,Paramètres!$A$1:$I$89,3,0)*VLOOKUP('Données projet'!$B$14,Paramètres!$A$1:$I$89,5,0)</f>
        <v>129.96610000000001</v>
      </c>
      <c r="DQ42" s="13">
        <f t="shared" si="43"/>
        <v>33.988525918782614</v>
      </c>
      <c r="DR42" s="20">
        <f t="shared" si="16"/>
        <v>285.55430680854636</v>
      </c>
      <c r="DS42" s="59">
        <f t="shared" si="17"/>
        <v>578.88764014187973</v>
      </c>
      <c r="DT42" s="59">
        <f ca="1">AVERAGE(OFFSET($DS$3,0,0,'Données projet'!$E$14+1,1))-AVERAGE(OFFSET($H$3,0,0,'Données projet'!$E$14+1,1))</f>
        <v>179.32848817523677</v>
      </c>
      <c r="DU42" s="59">
        <f t="shared" si="44"/>
        <v>131.3292389103035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10.269450315078698</v>
      </c>
      <c r="EC42" s="21">
        <f>EXP(-LN(2)/2)*EC41+(1-EXP(-LN(2)/2))/(LN(2)/2)*DW42*DZ42*VLOOKUP('Données projet'!$B$14,Paramètres!$A$1:$I$89,3,0)*0.475*44/12</f>
        <v>0.23258816407182925</v>
      </c>
      <c r="ED42" s="22">
        <f t="shared" si="18"/>
        <v>10.502038479150528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22.419230769230779</v>
      </c>
      <c r="EJ42" s="12">
        <f>IF('Données projet'!$A$192&gt;35,EJ41+EI42-ER41,IF(A42&lt;'Données projet'!$A$192,$EG$205^A42,IF(A42='Données projet'!$A$192,'Données projet'!$B$192,EJ41+EI42-ER41)))</f>
        <v>401.46538461538432</v>
      </c>
      <c r="EK42" s="17">
        <f>EJ42*VLOOKUP('Données projet'!$B$15,Paramètres!$A$1:$I$89,3,0)*VLOOKUP('Données projet'!$B$15,Paramètres!$A$1:$I$89,5,0)</f>
        <v>177.44769999999988</v>
      </c>
      <c r="EL42" s="13">
        <f t="shared" si="45"/>
        <v>44.753875342379139</v>
      </c>
      <c r="EM42" s="20">
        <f t="shared" si="19"/>
        <v>387.00107705464347</v>
      </c>
      <c r="EN42" s="59">
        <f t="shared" si="20"/>
        <v>680.33441038797673</v>
      </c>
      <c r="EO42" s="59">
        <f ca="1">AVERAGE(OFFSET($EN$3,0,0,'Données projet'!$E$15+1,1))-AVERAGE(OFFSET($H$3,0,0,'Données projet'!$E$15+1,1))</f>
        <v>191.932060106699</v>
      </c>
      <c r="EP42" s="59">
        <f t="shared" si="46"/>
        <v>260.28593152736903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2.0444051607934703</v>
      </c>
      <c r="EW42" s="21">
        <f>EXP(-LN(2)/25)*EW41+(1-EXP(-LN(2)/25))/(LN(2)/25)*Calculateur!ER42*Calculateur!ET42*VLOOKUP('Données projet'!$B$15,Paramètres!$A$1:$I$89,3,0)*0.475*44/12</f>
        <v>9.8328542390992943</v>
      </c>
      <c r="EX42" s="21">
        <f>EXP(-LN(2)/2)*EX41+(1-EXP(-LN(2)/2))/(LN(2)/2)*ER42*EU42*VLOOKUP('Données projet'!$B$15,Paramètres!$A$1:$I$89,3,0)*0.475*44/12</f>
        <v>5.914842436254418E-2</v>
      </c>
      <c r="EY42" s="22">
        <f t="shared" si="21"/>
        <v>11.936407824255308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3.8</v>
      </c>
      <c r="FE42" s="12">
        <f>IF('Données projet'!$A$218&gt;35,FE41+FD42-FM41,IF(A42&lt;'Données projet'!$A$218,$FB$205^A42,IF(A42='Données projet'!$A$218,'Données projet'!$B$218,FE41+FD42-FM41)))</f>
        <v>79.19999999999996</v>
      </c>
      <c r="FF42" s="17">
        <f>FE42*VLOOKUP('Données projet'!$B$16,Paramètres!$A$1:$I$89,3,0)*VLOOKUP('Données projet'!$B$16,Paramètres!$A$1:$I$89,5,0)</f>
        <v>76.602239999999966</v>
      </c>
      <c r="FG42" s="13">
        <f t="shared" si="47"/>
        <v>21.304327382775732</v>
      </c>
      <c r="FH42" s="20">
        <f t="shared" si="22"/>
        <v>170.52060485833434</v>
      </c>
      <c r="FI42" s="59">
        <f t="shared" si="23"/>
        <v>463.85393819166768</v>
      </c>
      <c r="FJ42" s="59">
        <f ca="1">AVERAGE(OFFSET($FI$3,0,0,'Données projet'!$E$16+1,1))-AVERAGE(OFFSET($H$3,0,0,'Données projet'!$E$16+1,1))</f>
        <v>102.86738524979938</v>
      </c>
      <c r="FK42" s="59">
        <f t="shared" si="48"/>
        <v>56.347130462109817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0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0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8.6999999999999993</v>
      </c>
      <c r="FZ42" s="12">
        <f>IF('Données projet'!$A$244&gt;35,FZ41+FY42-GH41,IF(A42&lt;'Données projet'!$A$244,$FW$205^A42,IF(A42='Données projet'!$A$244,'Données projet'!$B$244,FZ41+FY42-GH41)))</f>
        <v>171.3</v>
      </c>
      <c r="GA42" s="17">
        <f>FZ42*VLOOKUP('Données projet'!$B$17,Paramètres!$A$1:$I$89,3,0)*VLOOKUP('Données projet'!$B$17,Paramètres!$A$1:$I$89,5,0)</f>
        <v>114.90804000000001</v>
      </c>
      <c r="GB42" s="13">
        <f t="shared" si="49"/>
        <v>30.48440292493741</v>
      </c>
      <c r="GC42" s="20">
        <f t="shared" si="25"/>
        <v>253.22517142759932</v>
      </c>
      <c r="GD42" s="59">
        <f t="shared" si="26"/>
        <v>546.55850476093269</v>
      </c>
      <c r="GE42" s="59">
        <f ca="1">AVERAGE(OFFSET($GD$3,0,0,'Données projet'!$E$17+1,1))-AVERAGE(OFFSET($H$3,0,0,'Données projet'!$E$17+1,1))</f>
        <v>168.00454652899231</v>
      </c>
      <c r="GF42" s="59">
        <f t="shared" si="50"/>
        <v>135.31958994080446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0</v>
      </c>
      <c r="GM42" s="21">
        <f>EXP(-LN(2)/25)*GM41+(1-EXP(-LN(2)/25))/(LN(2)/25)*Calculateur!GH42*Calculateur!GJ42*VLOOKUP('Données projet'!$B$17,Paramètres!$A$1:$I$89,3,0)*0.475*44/12</f>
        <v>0</v>
      </c>
      <c r="GN42" s="21">
        <f>EXP(-LN(2)/2)*GN41+(1-EXP(-LN(2)/2))/(LN(2)/2)*GH42*GK42*VLOOKUP('Données projet'!$B$17,Paramètres!$A$1:$I$89,3,0)*0.475*44/12</f>
        <v>0</v>
      </c>
      <c r="GO42" s="21">
        <f t="shared" si="27"/>
        <v>0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9.3141025641025674</v>
      </c>
      <c r="N43" s="13">
        <f>IF('Données projet'!$A$36&gt;35,N42+M43-V42,IF(A43&lt;'Données projet'!$A$36,$K$205^A43,IF(A43='Données projet'!$A$36,'Données projet'!$B$36,N42+M43-V42)))</f>
        <v>148.13461538461539</v>
      </c>
      <c r="O43" s="13">
        <f>N43*VLOOKUP('Données projet'!$B$9,Paramètres!$A$1:$I$89,3,0)*VLOOKUP('Données projet'!$B$9,Paramètres!$A$1:$I$89,5,0)</f>
        <v>134.03220000000002</v>
      </c>
      <c r="P43" s="13">
        <f t="shared" si="33"/>
        <v>34.926419532696755</v>
      </c>
      <c r="Q43" s="20">
        <f t="shared" si="53"/>
        <v>294.26959568611358</v>
      </c>
      <c r="R43" s="59">
        <f t="shared" si="0"/>
        <v>587.60292901944695</v>
      </c>
      <c r="S43" s="59">
        <f ca="1">AVERAGE(OFFSET($R$3,0,0,'Données projet'!$E$9+1,1))-AVERAGE(OFFSET($H$3,0,0,'Données projet'!$E$9+1,1))</f>
        <v>221.7429870520005</v>
      </c>
      <c r="T43" s="59">
        <f t="shared" si="34"/>
        <v>182.2029938397186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5.3369963369963358</v>
      </c>
      <c r="AI43" s="13">
        <f>IF('Données projet'!$A$62&gt;35,AI42+AH43-AQ42,IF(A43&lt;'Données projet'!$A$62,$AF$205^A43,IF(A43='Données projet'!$A$62,'Données projet'!$B$62,AI42+AH43-AQ42)))</f>
        <v>141.07509157509156</v>
      </c>
      <c r="AJ43" s="13">
        <f>AI43*VLOOKUP('Données projet'!$B$10,Paramètres!$A$1:$I$89,3,0)*VLOOKUP('Données projet'!$B$10,Paramètres!$A$1:$I$89,5,0)</f>
        <v>127.64474285714284</v>
      </c>
      <c r="AK43" s="13">
        <f t="shared" si="35"/>
        <v>33.451550798682433</v>
      </c>
      <c r="AL43" s="20">
        <f t="shared" si="4"/>
        <v>280.57604478389567</v>
      </c>
      <c r="AM43" s="59">
        <f t="shared" si="5"/>
        <v>573.90937811722893</v>
      </c>
      <c r="AN43" s="59">
        <f ca="1">AVERAGE(OFFSET($AM$3,0,0,'Données projet'!$E$10+1,1))-AVERAGE(OFFSET($H$3,0,0,'Données projet'!$E$10+1,1))</f>
        <v>153.45079678708987</v>
      </c>
      <c r="AO43" s="59">
        <f t="shared" si="36"/>
        <v>115.4217868409637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16.131410256410259</v>
      </c>
      <c r="BD43" s="12">
        <f>IF('Données projet'!$A$88&gt;35,BD42+BC43-BL42,IF(A43&lt;'Données projet'!$A$88,$BA$205^A43,IF(A43='Données projet'!$A$88,'Données projet'!$B$88,BD42+BC43-BL42)))</f>
        <v>378.10641025641036</v>
      </c>
      <c r="BE43" s="13">
        <f>BD43*VLOOKUP('Données projet'!$B$11,Paramètres!$A$1:$I$89,3,0)*VLOOKUP('Données projet'!$B$11,Paramètres!$A$1:$I$89,5,0)</f>
        <v>176.95380000000006</v>
      </c>
      <c r="BF43" s="13">
        <f t="shared" si="37"/>
        <v>44.643791032081154</v>
      </c>
      <c r="BG43" s="20">
        <f t="shared" si="7"/>
        <v>385.94913771420806</v>
      </c>
      <c r="BH43" s="59">
        <f t="shared" si="8"/>
        <v>679.28247104754132</v>
      </c>
      <c r="BI43" s="59">
        <f ca="1">AVERAGE(OFFSET($BH$3,0,0,'Données projet'!$E$11+1,1))-AVERAGE(OFFSET($H$3,0,0,'Données projet'!$E$11+1,1))</f>
        <v>158.58786357608489</v>
      </c>
      <c r="BJ43" s="59">
        <f t="shared" si="38"/>
        <v>163.20074068819849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330</v>
      </c>
      <c r="BW43" s="12">
        <f>VLOOKUP(A43,'Données projet'!$A$113:$I$133,9,0)</f>
        <v>15.1</v>
      </c>
      <c r="BX43" s="12">
        <f t="array" ref="BX43">INDEX(BW:BW,MIN(IF(ISNUMBER(BW43:BW239),ROW(BW43:BW239),"")))</f>
        <v>15.1</v>
      </c>
      <c r="BY43" s="12">
        <f>IF('Données projet'!$A$114&gt;35,BY42+BX43-CG42,IF(A43&lt;'Données projet'!$A$114,$BV$205^A43,IF(A43='Données projet'!$A$114,'Données projet'!$B$114,BY42+BX43-CG42)))</f>
        <v>330.00000000000011</v>
      </c>
      <c r="BZ43" s="13">
        <f>BY43*VLOOKUP('Données projet'!$B$12,Paramètres!$A$1:$I$89,3,0)*VLOOKUP('Données projet'!$B$12,Paramètres!$A$1:$I$89,5,0)</f>
        <v>205.9200000000001</v>
      </c>
      <c r="CA43" s="13">
        <f t="shared" si="39"/>
        <v>51.042987531485686</v>
      </c>
      <c r="CB43" s="20">
        <f t="shared" si="10"/>
        <v>447.54386995067108</v>
      </c>
      <c r="CC43" s="59">
        <f t="shared" si="11"/>
        <v>740.87720328400439</v>
      </c>
      <c r="CD43" s="59">
        <f ca="1">AVERAGE(OFFSET($CC$3,0,0,'Données projet'!$E$12+1,1))-AVERAGE(OFFSET($H$3,0,0,'Données projet'!$E$12+1,1))</f>
        <v>255.41017495879987</v>
      </c>
      <c r="CE43" s="59">
        <f t="shared" si="40"/>
        <v>297.50513563712764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82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6.8448653309002738</v>
      </c>
      <c r="CL43" s="21">
        <f>EXP(-LN(2)/25)*CL42+(1-EXP(-LN(2)/25))/(LN(2)/25)*Calculateur!CG43*Calculateur!CI43*VLOOKUP('Données projet'!$B$12,Paramètres!$A$1:$I$89,3,0)*0.475*44/12</f>
        <v>21.121410097143553</v>
      </c>
      <c r="CM43" s="21">
        <f>EXP(-LN(2)/2)*CM42+(1-EXP(-LN(2)/2))/(LN(2)/2)*CG43*CJ43*VLOOKUP('Données projet'!$B$12,Paramètres!$A$1:$I$89,3,0)*0.475*44/12</f>
        <v>0.76253722302849625</v>
      </c>
      <c r="CN43" s="22">
        <f t="shared" si="12"/>
        <v>28.728812651072321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9.25</v>
      </c>
      <c r="CT43" s="12">
        <f>IF('Données projet'!$A$140&gt;35,CT42+CS43-DB42,IF(A43&lt;'Données projet'!$A$140,$CQ$205^A43,IF(A43='Données projet'!$A$140,'Données projet'!$B$140,CT42+CS43-DB42)))</f>
        <v>184.69999999999993</v>
      </c>
      <c r="CU43" s="17">
        <f>CT43*VLOOKUP('Données projet'!$B$13,Paramètres!$A$1:$I$89,3,0)*VLOOKUP('Données projet'!$B$13,Paramètres!$A$1:$I$89,5,0)</f>
        <v>105.64839999999997</v>
      </c>
      <c r="CV43" s="13">
        <f t="shared" si="41"/>
        <v>28.303317598550137</v>
      </c>
      <c r="CW43" s="20">
        <f t="shared" si="13"/>
        <v>233.29924148414139</v>
      </c>
      <c r="CX43" s="59">
        <f t="shared" si="14"/>
        <v>526.63257481747473</v>
      </c>
      <c r="CY43" s="59">
        <f ca="1">AVERAGE(OFFSET($CX$3,0,0,'Données projet'!$E$13+1,1))-AVERAGE(OFFSET($H$3,0,0,'Données projet'!$E$13+1,1))</f>
        <v>134.70214882504786</v>
      </c>
      <c r="CZ43" s="59">
        <f t="shared" si="42"/>
        <v>102.18553029667771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0.87201470399645808</v>
      </c>
      <c r="DG43" s="21">
        <f>EXP(-LN(2)/25)*DG42+(1-EXP(-LN(2)/25))/(LN(2)/25)*Calculateur!DB43*Calculateur!DD43*VLOOKUP('Données projet'!$B$13,Paramètres!$A$1:$I$89,3,0)*0.475*44/12</f>
        <v>9.5108546210225793</v>
      </c>
      <c r="DH43" s="21">
        <f>EXP(-LN(2)/2)*DH42+(1-EXP(-LN(2)/2))/(LN(2)/2)*DB43*DE43*VLOOKUP('Données projet'!$B$13,Paramètres!$A$1:$I$89,3,0)*0.475*44/12</f>
        <v>0.24080926315692217</v>
      </c>
      <c r="DI43" s="22">
        <f t="shared" si="15"/>
        <v>10.623678588175959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12.74038461538462</v>
      </c>
      <c r="DO43" s="12">
        <f>IF('Données projet'!$A$166&gt;35,DO42+DN43-DW42,IF(A43&lt;'Données projet'!$A$166,$DL$205^A43,IF(A43='Données projet'!$A$166,'Données projet'!$B$166,DO42+DN43-DW42)))</f>
        <v>230.07500000000002</v>
      </c>
      <c r="DP43" s="17">
        <f>DO43*VLOOKUP('Données projet'!$B$14,Paramètres!$A$1:$I$89,3,0)*VLOOKUP('Données projet'!$B$14,Paramètres!$A$1:$I$89,5,0)</f>
        <v>137.58485000000002</v>
      </c>
      <c r="DQ43" s="13">
        <f t="shared" si="43"/>
        <v>35.743169448737028</v>
      </c>
      <c r="DR43" s="20">
        <f t="shared" si="16"/>
        <v>301.87963387321702</v>
      </c>
      <c r="DS43" s="59">
        <f t="shared" si="17"/>
        <v>595.21296720655027</v>
      </c>
      <c r="DT43" s="59">
        <f ca="1">AVERAGE(OFFSET($DS$3,0,0,'Données projet'!$E$14+1,1))-AVERAGE(OFFSET($H$3,0,0,'Données projet'!$E$14+1,1))</f>
        <v>179.32848817523677</v>
      </c>
      <c r="DU43" s="59">
        <f t="shared" si="44"/>
        <v>131.3292389103035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9.9886316561659498</v>
      </c>
      <c r="EC43" s="21">
        <f>EXP(-LN(2)/2)*EC42+(1-EXP(-LN(2)/2))/(LN(2)/2)*DW43*DZ43*VLOOKUP('Données projet'!$B$14,Paramètres!$A$1:$I$89,3,0)*0.475*44/12</f>
        <v>0.16446466803891979</v>
      </c>
      <c r="ED43" s="22">
        <f t="shared" si="18"/>
        <v>10.153096324204869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22.419230769230779</v>
      </c>
      <c r="EJ43" s="12">
        <f>IF('Données projet'!$A$192&gt;35,EJ42+EI43-ER42,IF(A43&lt;'Données projet'!$A$192,$EG$205^A43,IF(A43='Données projet'!$A$192,'Données projet'!$B$192,EJ42+EI43-ER42)))</f>
        <v>423.88461538461513</v>
      </c>
      <c r="EK43" s="17">
        <f>EJ43*VLOOKUP('Données projet'!$B$15,Paramètres!$A$1:$I$89,3,0)*VLOOKUP('Données projet'!$B$15,Paramètres!$A$1:$I$89,5,0)</f>
        <v>187.35699999999991</v>
      </c>
      <c r="EL43" s="13">
        <f t="shared" si="45"/>
        <v>46.955147540970891</v>
      </c>
      <c r="EM43" s="20">
        <f t="shared" si="19"/>
        <v>408.09365696719084</v>
      </c>
      <c r="EN43" s="59">
        <f t="shared" si="20"/>
        <v>701.42699030052415</v>
      </c>
      <c r="EO43" s="59">
        <f ca="1">AVERAGE(OFFSET($EN$3,0,0,'Données projet'!$E$15+1,1))-AVERAGE(OFFSET($H$3,0,0,'Données projet'!$E$15+1,1))</f>
        <v>191.932060106699</v>
      </c>
      <c r="EP43" s="59">
        <f t="shared" si="46"/>
        <v>260.28593152736903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2.0043156225543308</v>
      </c>
      <c r="EW43" s="21">
        <f>EXP(-LN(2)/25)*EW42+(1-EXP(-LN(2)/25))/(LN(2)/25)*Calculateur!ER43*Calculateur!ET43*VLOOKUP('Données projet'!$B$15,Paramètres!$A$1:$I$89,3,0)*0.475*44/12</f>
        <v>9.5639743228437926</v>
      </c>
      <c r="EX43" s="21">
        <f>EXP(-LN(2)/2)*EX42+(1-EXP(-LN(2)/2))/(LN(2)/2)*ER43*EU43*VLOOKUP('Données projet'!$B$15,Paramètres!$A$1:$I$89,3,0)*0.475*44/12</f>
        <v>4.1824251963254587E-2</v>
      </c>
      <c r="EY43" s="22">
        <f t="shared" si="21"/>
        <v>11.610114197361378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83</v>
      </c>
      <c r="FC43" s="12">
        <f>VLOOKUP(A43,'Données projet'!$A$217:$I$237,9,0)</f>
        <v>3.8</v>
      </c>
      <c r="FD43" s="12">
        <f t="array" ref="FD43">INDEX(FC:FC,MIN(IF(ISNUMBER(FC43:FC239),ROW(FC43:FC239),"")))</f>
        <v>3.8</v>
      </c>
      <c r="FE43" s="12">
        <f>IF('Données projet'!$A$218&gt;35,FE42+FD43-FM42,IF(A43&lt;'Données projet'!$A$218,$FB$205^A43,IF(A43='Données projet'!$A$218,'Données projet'!$B$218,FE42+FD43-FM42)))</f>
        <v>82.999999999999957</v>
      </c>
      <c r="FF43" s="17">
        <f>FE43*VLOOKUP('Données projet'!$B$16,Paramètres!$A$1:$I$89,3,0)*VLOOKUP('Données projet'!$B$16,Paramètres!$A$1:$I$89,5,0)</f>
        <v>80.277599999999964</v>
      </c>
      <c r="FG43" s="13">
        <f t="shared" si="47"/>
        <v>22.205045081933243</v>
      </c>
      <c r="FH43" s="20">
        <f t="shared" si="22"/>
        <v>178.49060685103368</v>
      </c>
      <c r="FI43" s="59">
        <f t="shared" si="23"/>
        <v>471.82394018436696</v>
      </c>
      <c r="FJ43" s="59">
        <f ca="1">AVERAGE(OFFSET($FI$3,0,0,'Données projet'!$E$16+1,1))-AVERAGE(OFFSET($H$3,0,0,'Données projet'!$E$16+1,1))</f>
        <v>102.86738524979938</v>
      </c>
      <c r="FK43" s="59">
        <f t="shared" si="48"/>
        <v>56.347130462109817</v>
      </c>
      <c r="FL43" s="15">
        <f>IF(ISNA(VLOOKUP(A43,'Données projet'!$A$217:$I$237,3,0)),0,VLOOKUP(A43,'Données projet'!$A$217:$I$237,3,0))</f>
        <v>2</v>
      </c>
      <c r="FM43" s="15">
        <f>IF(ISNA(VLOOKUP(A43,'Données projet'!$A$217:$I$237,4,0)),0,VLOOKUP(A43,'Données projet'!$A$217:$I$237,4,0))</f>
        <v>17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0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0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>
        <f>VLOOKUP(A43,'Données projet'!$A$243:$I$263,2,0)</f>
        <v>180</v>
      </c>
      <c r="FX43" s="12">
        <f>VLOOKUP(A43,'Données projet'!$A$243:$I$263,9,0)</f>
        <v>8.6999999999999993</v>
      </c>
      <c r="FY43" s="12">
        <f t="array" ref="FY43">INDEX(FX:FX,MIN(IF(ISNUMBER(FX43:FX239),ROW(FX43:FX239),"")))</f>
        <v>8.6999999999999993</v>
      </c>
      <c r="FZ43" s="12">
        <f>IF('Données projet'!$A$244&gt;35,FZ42+FY43-GH42,IF(A43&lt;'Données projet'!$A$244,$FW$205^A43,IF(A43='Données projet'!$A$244,'Données projet'!$B$244,FZ42+FY43-GH42)))</f>
        <v>180</v>
      </c>
      <c r="GA43" s="17">
        <f>FZ43*VLOOKUP('Données projet'!$B$17,Paramètres!$A$1:$I$89,3,0)*VLOOKUP('Données projet'!$B$17,Paramètres!$A$1:$I$89,5,0)</f>
        <v>120.74400000000001</v>
      </c>
      <c r="GB43" s="13">
        <f t="shared" si="49"/>
        <v>31.848462605207835</v>
      </c>
      <c r="GC43" s="20">
        <f t="shared" si="25"/>
        <v>265.76520570407035</v>
      </c>
      <c r="GD43" s="59">
        <f t="shared" si="26"/>
        <v>559.09853903740373</v>
      </c>
      <c r="GE43" s="59">
        <f ca="1">AVERAGE(OFFSET($GD$3,0,0,'Données projet'!$E$17+1,1))-AVERAGE(OFFSET($H$3,0,0,'Données projet'!$E$17+1,1))</f>
        <v>168.00454652899231</v>
      </c>
      <c r="GF43" s="59">
        <f t="shared" si="50"/>
        <v>135.31958994080446</v>
      </c>
      <c r="GG43" s="15">
        <f>IF(ISNA(VLOOKUP(A43,'Données projet'!$A$243:$I$263,3,0)),0,VLOOKUP(A43,'Données projet'!$A$243:$I$263,3,0))</f>
        <v>3</v>
      </c>
      <c r="GH43" s="15">
        <f>IF(ISNA(VLOOKUP(A43,'Données projet'!$A$243:$I$263,4,0)),0,VLOOKUP(A43,'Données projet'!$A$243:$I$263,4,0))</f>
        <v>48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0</v>
      </c>
      <c r="GM43" s="21">
        <f>EXP(-LN(2)/25)*GM42+(1-EXP(-LN(2)/25))/(LN(2)/25)*Calculateur!GH43*Calculateur!GJ43*VLOOKUP('Données projet'!$B$17,Paramètres!$A$1:$I$89,3,0)*0.475*44/12</f>
        <v>0</v>
      </c>
      <c r="GN43" s="21">
        <f>EXP(-LN(2)/2)*GN42+(1-EXP(-LN(2)/2))/(LN(2)/2)*GH43*GK43*VLOOKUP('Données projet'!$B$17,Paramètres!$A$1:$I$89,3,0)*0.475*44/12</f>
        <v>0</v>
      </c>
      <c r="GO43" s="21">
        <f t="shared" si="27"/>
        <v>0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>
        <f>VLOOKUP(A44,'Données projet'!$A$35:$I$55,2,0)</f>
        <v>157.44871794871796</v>
      </c>
      <c r="L44" s="12">
        <f>VLOOKUP(A44,'Données projet'!$A$35:$I$55,9,0)</f>
        <v>9.3141025641025674</v>
      </c>
      <c r="M44" s="12">
        <f t="array" ref="M44">INDEX(L:L,MIN(IF(ISNUMBER(L44:L240),ROW(L44:L240),"")))</f>
        <v>9.3141025641025674</v>
      </c>
      <c r="N44" s="13">
        <f>IF('Données projet'!$A$36&gt;35,N43+M44-V43,IF(A44&lt;'Données projet'!$A$36,$K$205^A44,IF(A44='Données projet'!$A$36,'Données projet'!$B$36,N43+M44-V43)))</f>
        <v>157.44871794871796</v>
      </c>
      <c r="O44" s="13">
        <f>N44*VLOOKUP('Données projet'!$B$9,Paramètres!$A$1:$I$89,3,0)*VLOOKUP('Données projet'!$B$9,Paramètres!$A$1:$I$89,5,0)</f>
        <v>142.45959999999999</v>
      </c>
      <c r="P44" s="13">
        <f t="shared" si="33"/>
        <v>36.859892915688405</v>
      </c>
      <c r="Q44" s="20">
        <f t="shared" si="53"/>
        <v>312.31478349482393</v>
      </c>
      <c r="R44" s="59">
        <f t="shared" si="0"/>
        <v>605.6481168281573</v>
      </c>
      <c r="S44" s="59">
        <f ca="1">AVERAGE(OFFSET($R$3,0,0,'Données projet'!$E$9+1,1))-AVERAGE(OFFSET($H$3,0,0,'Données projet'!$E$9+1,1))</f>
        <v>221.7429870520005</v>
      </c>
      <c r="T44" s="59">
        <f t="shared" si="34"/>
        <v>182.2029938397186</v>
      </c>
      <c r="U44" s="15">
        <f>IF(ISNA(VLOOKUP(A44,'Données projet'!$A$35:$I$55,3,0)),0,VLOOKUP(A44,'Données projet'!$A$35:$I$55,3,0))</f>
        <v>2</v>
      </c>
      <c r="V44" s="15">
        <f>IF(ISNA(VLOOKUP(A44,'Données projet'!$A$35:$I$55,4,0)),0,VLOOKUP(A44,'Données projet'!$A$35:$I$55,4,0))</f>
        <v>38.512820512820511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5.3369963369963358</v>
      </c>
      <c r="AI44" s="13">
        <f>IF('Données projet'!$A$62&gt;35,AI43+AH44-AQ43,IF(A44&lt;'Données projet'!$A$62,$AF$205^A44,IF(A44='Données projet'!$A$62,'Données projet'!$B$62,AI43+AH44-AQ43)))</f>
        <v>146.41208791208788</v>
      </c>
      <c r="AJ44" s="13">
        <f>AI44*VLOOKUP('Données projet'!$B$10,Paramètres!$A$1:$I$89,3,0)*VLOOKUP('Données projet'!$B$10,Paramètres!$A$1:$I$89,5,0)</f>
        <v>132.47365714285712</v>
      </c>
      <c r="AK44" s="13">
        <f t="shared" si="35"/>
        <v>34.567320307816402</v>
      </c>
      <c r="AL44" s="20">
        <f t="shared" si="4"/>
        <v>290.92970239325638</v>
      </c>
      <c r="AM44" s="59">
        <f t="shared" si="5"/>
        <v>584.26303572658969</v>
      </c>
      <c r="AN44" s="59">
        <f ca="1">AVERAGE(OFFSET($AM$3,0,0,'Données projet'!$E$10+1,1))-AVERAGE(OFFSET($H$3,0,0,'Données projet'!$E$10+1,1))</f>
        <v>153.45079678708987</v>
      </c>
      <c r="AO44" s="59">
        <f t="shared" si="36"/>
        <v>115.4217868409637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16.131410256410259</v>
      </c>
      <c r="BD44" s="12">
        <f>IF('Données projet'!$A$88&gt;35,BD43+BC44-BL43,IF(A44&lt;'Données projet'!$A$88,$BA$205^A44,IF(A44='Données projet'!$A$88,'Données projet'!$B$88,BD43+BC44-BL43)))</f>
        <v>394.23782051282063</v>
      </c>
      <c r="BE44" s="13">
        <f>BD44*VLOOKUP('Données projet'!$B$11,Paramètres!$A$1:$I$89,3,0)*VLOOKUP('Données projet'!$B$11,Paramètres!$A$1:$I$89,5,0)</f>
        <v>184.50330000000005</v>
      </c>
      <c r="BF44" s="13">
        <f t="shared" si="37"/>
        <v>46.32264201774467</v>
      </c>
      <c r="BG44" s="20">
        <f t="shared" si="7"/>
        <v>402.02184901423874</v>
      </c>
      <c r="BH44" s="59">
        <f t="shared" si="8"/>
        <v>695.35518234757205</v>
      </c>
      <c r="BI44" s="59">
        <f ca="1">AVERAGE(OFFSET($BH$3,0,0,'Données projet'!$E$11+1,1))-AVERAGE(OFFSET($H$3,0,0,'Données projet'!$E$11+1,1))</f>
        <v>158.58786357608489</v>
      </c>
      <c r="BJ44" s="59">
        <f t="shared" si="38"/>
        <v>163.20074068819849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12.4</v>
      </c>
      <c r="BY44" s="12">
        <f>IF('Données projet'!$A$114&gt;35,BY43+BX44-CG43,IF(A44&lt;'Données projet'!$A$114,$BV$205^A44,IF(A44='Données projet'!$A$114,'Données projet'!$B$114,BY43+BX44-CG43)))</f>
        <v>260.40000000000009</v>
      </c>
      <c r="BZ44" s="13">
        <f>BY44*VLOOKUP('Données projet'!$B$12,Paramètres!$A$1:$I$89,3,0)*VLOOKUP('Données projet'!$B$12,Paramètres!$A$1:$I$89,5,0)</f>
        <v>162.48960000000005</v>
      </c>
      <c r="CA44" s="13">
        <f t="shared" si="39"/>
        <v>41.403546033820696</v>
      </c>
      <c r="CB44" s="20">
        <f t="shared" si="10"/>
        <v>355.11389600890448</v>
      </c>
      <c r="CC44" s="59">
        <f t="shared" si="11"/>
        <v>648.44722934223773</v>
      </c>
      <c r="CD44" s="59">
        <f ca="1">AVERAGE(OFFSET($CC$3,0,0,'Données projet'!$E$12+1,1))-AVERAGE(OFFSET($H$3,0,0,'Données projet'!$E$12+1,1))</f>
        <v>255.41017495879987</v>
      </c>
      <c r="CE44" s="59">
        <f t="shared" si="40"/>
        <v>297.50513563712764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6.7106416967169285</v>
      </c>
      <c r="CL44" s="21">
        <f>EXP(-LN(2)/25)*CL43+(1-EXP(-LN(2)/25))/(LN(2)/25)*Calculateur!CG44*Calculateur!CI44*VLOOKUP('Données projet'!$B$12,Paramètres!$A$1:$I$89,3,0)*0.475*44/12</f>
        <v>20.543844027310477</v>
      </c>
      <c r="CM44" s="21">
        <f>EXP(-LN(2)/2)*CM43+(1-EXP(-LN(2)/2))/(LN(2)/2)*CG44*CJ44*VLOOKUP('Données projet'!$B$12,Paramètres!$A$1:$I$89,3,0)*0.475*44/12</f>
        <v>0.53919524131060848</v>
      </c>
      <c r="CN44" s="22">
        <f t="shared" si="12"/>
        <v>27.793680965338012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9.25</v>
      </c>
      <c r="CT44" s="12">
        <f>IF('Données projet'!$A$140&gt;35,CT43+CS44-DB43,IF(A44&lt;'Données projet'!$A$140,$CQ$205^A44,IF(A44='Données projet'!$A$140,'Données projet'!$B$140,CT43+CS44-DB43)))</f>
        <v>193.94999999999993</v>
      </c>
      <c r="CU44" s="17">
        <f>CT44*VLOOKUP('Données projet'!$B$13,Paramètres!$A$1:$I$89,3,0)*VLOOKUP('Données projet'!$B$13,Paramètres!$A$1:$I$89,5,0)</f>
        <v>110.93939999999996</v>
      </c>
      <c r="CV44" s="13">
        <f t="shared" si="41"/>
        <v>29.552204880451132</v>
      </c>
      <c r="CW44" s="20">
        <f t="shared" si="13"/>
        <v>244.68954516678562</v>
      </c>
      <c r="CX44" s="59">
        <f t="shared" si="14"/>
        <v>538.02287850011896</v>
      </c>
      <c r="CY44" s="59">
        <f ca="1">AVERAGE(OFFSET($CX$3,0,0,'Données projet'!$E$13+1,1))-AVERAGE(OFFSET($H$3,0,0,'Données projet'!$E$13+1,1))</f>
        <v>134.70214882504786</v>
      </c>
      <c r="CZ44" s="59">
        <f t="shared" si="42"/>
        <v>102.18553029667771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0.85491502752753856</v>
      </c>
      <c r="DG44" s="21">
        <f>EXP(-LN(2)/25)*DG43+(1-EXP(-LN(2)/25))/(LN(2)/25)*Calculateur!DB44*Calculateur!DD44*VLOOKUP('Données projet'!$B$13,Paramètres!$A$1:$I$89,3,0)*0.475*44/12</f>
        <v>9.2507798012566091</v>
      </c>
      <c r="DH44" s="21">
        <f>EXP(-LN(2)/2)*DH43+(1-EXP(-LN(2)/2))/(LN(2)/2)*DB44*DE44*VLOOKUP('Données projet'!$B$13,Paramètres!$A$1:$I$89,3,0)*0.475*44/12</f>
        <v>0.1702778629507955</v>
      </c>
      <c r="DI44" s="22">
        <f t="shared" si="15"/>
        <v>10.275972691734944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>
        <f>VLOOKUP(A44,'Données projet'!$A$165:$I$185,2,0)</f>
        <v>242.81538461538463</v>
      </c>
      <c r="DM44" s="12">
        <f>VLOOKUP(A44,'Données projet'!$A$165:$I$185,9,0)</f>
        <v>12.74038461538462</v>
      </c>
      <c r="DN44" s="12">
        <f t="array" ref="DN44">INDEX(DM:DM,MIN(IF(ISNUMBER(DM44:DM240),ROW(DM44:DM240),"")))</f>
        <v>12.74038461538462</v>
      </c>
      <c r="DO44" s="12">
        <f>IF('Données projet'!$A$166&gt;35,DO43+DN44-DW43,IF(A44&lt;'Données projet'!$A$166,$DL$205^A44,IF(A44='Données projet'!$A$166,'Données projet'!$B$166,DO43+DN44-DW43)))</f>
        <v>242.81538461538463</v>
      </c>
      <c r="DP44" s="17">
        <f>DO44*VLOOKUP('Données projet'!$B$14,Paramètres!$A$1:$I$89,3,0)*VLOOKUP('Données projet'!$B$14,Paramètres!$A$1:$I$89,5,0)</f>
        <v>145.20360000000002</v>
      </c>
      <c r="DQ44" s="13">
        <f t="shared" si="43"/>
        <v>37.486533463390735</v>
      </c>
      <c r="DR44" s="20">
        <f t="shared" si="16"/>
        <v>318.18531578207222</v>
      </c>
      <c r="DS44" s="59">
        <f t="shared" si="17"/>
        <v>611.51864911540554</v>
      </c>
      <c r="DT44" s="59">
        <f ca="1">AVERAGE(OFFSET($DS$3,0,0,'Données projet'!$E$14+1,1))-AVERAGE(OFFSET($H$3,0,0,'Données projet'!$E$14+1,1))</f>
        <v>179.32848817523677</v>
      </c>
      <c r="DU44" s="59">
        <f t="shared" si="44"/>
        <v>131.3292389103035</v>
      </c>
      <c r="DV44" s="15">
        <f>IF(ISNA(VLOOKUP(A44,'Données projet'!$A$165:$I$185,3,0)),0,VLOOKUP(A44,'Données projet'!$A$165:$I$185,3,0))</f>
        <v>4</v>
      </c>
      <c r="DW44" s="15">
        <f>IF(ISNA(VLOOKUP(A44,'Données projet'!$A$165:$I$185,4,0)),0,VLOOKUP(A44,'Données projet'!$A$165:$I$185,4,0))</f>
        <v>58.484615384615381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9.7154919982487833</v>
      </c>
      <c r="EC44" s="21">
        <f>EXP(-LN(2)/2)*EC43+(1-EXP(-LN(2)/2))/(LN(2)/2)*DW44*DZ44*VLOOKUP('Données projet'!$B$14,Paramètres!$A$1:$I$89,3,0)*0.475*44/12</f>
        <v>0.11629408203591464</v>
      </c>
      <c r="ED44" s="22">
        <f t="shared" si="18"/>
        <v>9.8317860802846972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22.419230769230779</v>
      </c>
      <c r="EJ44" s="12">
        <f>IF('Données projet'!$A$192&gt;35,EJ43+EI44-ER43,IF(A44&lt;'Données projet'!$A$192,$EG$205^A44,IF(A44='Données projet'!$A$192,'Données projet'!$B$192,EJ43+EI44-ER43)))</f>
        <v>446.30384615384594</v>
      </c>
      <c r="EK44" s="17">
        <f>EJ44*VLOOKUP('Données projet'!$B$15,Paramètres!$A$1:$I$89,3,0)*VLOOKUP('Données projet'!$B$15,Paramètres!$A$1:$I$89,5,0)</f>
        <v>197.26629999999994</v>
      </c>
      <c r="EL44" s="13">
        <f t="shared" si="45"/>
        <v>49.142902829425942</v>
      </c>
      <c r="EM44" s="20">
        <f t="shared" si="19"/>
        <v>429.16269492791668</v>
      </c>
      <c r="EN44" s="59">
        <f t="shared" si="20"/>
        <v>722.49602826124999</v>
      </c>
      <c r="EO44" s="59">
        <f ca="1">AVERAGE(OFFSET($EN$3,0,0,'Données projet'!$E$15+1,1))-AVERAGE(OFFSET($H$3,0,0,'Données projet'!$E$15+1,1))</f>
        <v>191.932060106699</v>
      </c>
      <c r="EP44" s="59">
        <f t="shared" si="46"/>
        <v>260.28593152736903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1.9650122157078571</v>
      </c>
      <c r="EW44" s="21">
        <f>EXP(-LN(2)/25)*EW43+(1-EXP(-LN(2)/25))/(LN(2)/25)*Calculateur!ER44*Calculateur!ET44*VLOOKUP('Données projet'!$B$15,Paramètres!$A$1:$I$89,3,0)*0.475*44/12</f>
        <v>9.3024469420380775</v>
      </c>
      <c r="EX44" s="21">
        <f>EXP(-LN(2)/2)*EX43+(1-EXP(-LN(2)/2))/(LN(2)/2)*ER44*EU44*VLOOKUP('Données projet'!$B$15,Paramètres!$A$1:$I$89,3,0)*0.475*44/12</f>
        <v>2.9574212181272094E-2</v>
      </c>
      <c r="EY44" s="22">
        <f t="shared" si="21"/>
        <v>11.297033369927206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3.8</v>
      </c>
      <c r="FE44" s="12">
        <f>IF('Données projet'!$A$218&gt;35,FE43+FD44-FM43,IF(A44&lt;'Données projet'!$A$218,$FB$205^A44,IF(A44='Données projet'!$A$218,'Données projet'!$B$218,FE43+FD44-FM43)))</f>
        <v>69.799999999999955</v>
      </c>
      <c r="FF44" s="17">
        <f>FE44*VLOOKUP('Données projet'!$B$16,Paramètres!$A$1:$I$89,3,0)*VLOOKUP('Données projet'!$B$16,Paramètres!$A$1:$I$89,5,0)</f>
        <v>67.51055999999997</v>
      </c>
      <c r="FG44" s="13">
        <f t="shared" si="47"/>
        <v>19.053945042628669</v>
      </c>
      <c r="FH44" s="20">
        <f t="shared" si="22"/>
        <v>150.76651294924488</v>
      </c>
      <c r="FI44" s="59">
        <f t="shared" si="23"/>
        <v>444.0998462825782</v>
      </c>
      <c r="FJ44" s="59">
        <f ca="1">AVERAGE(OFFSET($FI$3,0,0,'Données projet'!$E$16+1,1))-AVERAGE(OFFSET($H$3,0,0,'Données projet'!$E$16+1,1))</f>
        <v>102.86738524979938</v>
      </c>
      <c r="FK44" s="59">
        <f t="shared" si="48"/>
        <v>56.347130462109817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0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0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8.8000000000000007</v>
      </c>
      <c r="FZ44" s="12">
        <f>IF('Données projet'!$A$244&gt;35,FZ43+FY44-GH43,IF(A44&lt;'Données projet'!$A$244,$FW$205^A44,IF(A44='Données projet'!$A$244,'Données projet'!$B$244,FZ43+FY44-GH43)))</f>
        <v>140.80000000000001</v>
      </c>
      <c r="GA44" s="17">
        <f>FZ44*VLOOKUP('Données projet'!$B$17,Paramètres!$A$1:$I$89,3,0)*VLOOKUP('Données projet'!$B$17,Paramètres!$A$1:$I$89,5,0)</f>
        <v>94.448640000000012</v>
      </c>
      <c r="GB44" s="13">
        <f t="shared" si="49"/>
        <v>25.635098653748969</v>
      </c>
      <c r="GC44" s="20">
        <f t="shared" si="25"/>
        <v>209.1458448219461</v>
      </c>
      <c r="GD44" s="59">
        <f t="shared" si="26"/>
        <v>502.47917815527944</v>
      </c>
      <c r="GE44" s="59">
        <f ca="1">AVERAGE(OFFSET($GD$3,0,0,'Données projet'!$E$17+1,1))-AVERAGE(OFFSET($H$3,0,0,'Données projet'!$E$17+1,1))</f>
        <v>168.00454652899231</v>
      </c>
      <c r="GF44" s="59">
        <f t="shared" si="50"/>
        <v>135.31958994080446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0</v>
      </c>
      <c r="GM44" s="21">
        <f>EXP(-LN(2)/25)*GM43+(1-EXP(-LN(2)/25))/(LN(2)/25)*Calculateur!GH44*Calculateur!GJ44*VLOOKUP('Données projet'!$B$17,Paramètres!$A$1:$I$89,3,0)*0.475*44/12</f>
        <v>0</v>
      </c>
      <c r="GN44" s="21">
        <f>EXP(-LN(2)/2)*GN43+(1-EXP(-LN(2)/2))/(LN(2)/2)*GH44*GK44*VLOOKUP('Données projet'!$B$17,Paramètres!$A$1:$I$89,3,0)*0.475*44/12</f>
        <v>0</v>
      </c>
      <c r="GO44" s="21">
        <f t="shared" si="27"/>
        <v>0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9.3452380952380913</v>
      </c>
      <c r="N45" s="13">
        <f>IF('Données projet'!$A$36&gt;35,N44+M45-V44,IF(A45&lt;'Données projet'!$A$36,$K$205^A45,IF(A45='Données projet'!$A$36,'Données projet'!$B$36,N44+M45-V44)))</f>
        <v>128.28113553113553</v>
      </c>
      <c r="O45" s="13">
        <f>N45*VLOOKUP('Données projet'!$B$9,Paramètres!$A$1:$I$89,3,0)*VLOOKUP('Données projet'!$B$9,Paramètres!$A$1:$I$89,5,0)</f>
        <v>116.06877142857142</v>
      </c>
      <c r="P45" s="13">
        <f t="shared" si="33"/>
        <v>30.756334905160415</v>
      </c>
      <c r="Q45" s="20">
        <f t="shared" si="53"/>
        <v>255.72039353124964</v>
      </c>
      <c r="R45" s="59">
        <f t="shared" si="0"/>
        <v>549.05372686458293</v>
      </c>
      <c r="S45" s="59">
        <f ca="1">AVERAGE(OFFSET($R$3,0,0,'Données projet'!$E$9+1,1))-AVERAGE(OFFSET($H$3,0,0,'Données projet'!$E$9+1,1))</f>
        <v>221.7429870520005</v>
      </c>
      <c r="T45" s="59">
        <f t="shared" si="34"/>
        <v>182.2029938397186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5.3369963369963358</v>
      </c>
      <c r="AI45" s="13">
        <f>IF('Données projet'!$A$62&gt;35,AI44+AH45-AQ44,IF(A45&lt;'Données projet'!$A$62,$AF$205^A45,IF(A45='Données projet'!$A$62,'Données projet'!$B$62,AI44+AH45-AQ44)))</f>
        <v>151.74908424908421</v>
      </c>
      <c r="AJ45" s="13">
        <f>AI45*VLOOKUP('Données projet'!$B$10,Paramètres!$A$1:$I$89,3,0)*VLOOKUP('Données projet'!$B$10,Paramètres!$A$1:$I$89,5,0)</f>
        <v>137.30257142857138</v>
      </c>
      <c r="AK45" s="13">
        <f t="shared" si="35"/>
        <v>35.678364531877897</v>
      </c>
      <c r="AL45" s="20">
        <f t="shared" si="4"/>
        <v>301.27513013111576</v>
      </c>
      <c r="AM45" s="59">
        <f t="shared" si="5"/>
        <v>594.60846346444907</v>
      </c>
      <c r="AN45" s="59">
        <f ca="1">AVERAGE(OFFSET($AM$3,0,0,'Données projet'!$E$10+1,1))-AVERAGE(OFFSET($H$3,0,0,'Données projet'!$E$10+1,1))</f>
        <v>153.45079678708987</v>
      </c>
      <c r="AO45" s="59">
        <f t="shared" si="36"/>
        <v>115.4217868409637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410.3692307692308</v>
      </c>
      <c r="BB45" s="12">
        <f>VLOOKUP(A45,'Données projet'!$A$87:$I$107,9,0)</f>
        <v>16.131410256410259</v>
      </c>
      <c r="BC45" s="12">
        <f t="array" ref="BC45">INDEX(BB:BB,MIN(IF(ISNUMBER(BB45:BB241),ROW(BB45:BB241),"")))</f>
        <v>16.131410256410259</v>
      </c>
      <c r="BD45" s="12">
        <f>IF('Données projet'!$A$88&gt;35,BD44+BC45-BL44,IF(A45&lt;'Données projet'!$A$88,$BA$205^A45,IF(A45='Données projet'!$A$88,'Données projet'!$B$88,BD44+BC45-BL44)))</f>
        <v>410.36923076923091</v>
      </c>
      <c r="BE45" s="13">
        <f>BD45*VLOOKUP('Données projet'!$B$11,Paramètres!$A$1:$I$89,3,0)*VLOOKUP('Données projet'!$B$11,Paramètres!$A$1:$I$89,5,0)</f>
        <v>192.05280000000008</v>
      </c>
      <c r="BF45" s="13">
        <f t="shared" si="37"/>
        <v>47.993513546032311</v>
      </c>
      <c r="BG45" s="20">
        <f t="shared" si="7"/>
        <v>418.08066275933976</v>
      </c>
      <c r="BH45" s="59">
        <f t="shared" si="8"/>
        <v>711.41399609267307</v>
      </c>
      <c r="BI45" s="59">
        <f ca="1">AVERAGE(OFFSET($BH$3,0,0,'Données projet'!$E$11+1,1))-AVERAGE(OFFSET($H$3,0,0,'Données projet'!$E$11+1,1))</f>
        <v>158.58786357608489</v>
      </c>
      <c r="BJ45" s="59">
        <f t="shared" si="38"/>
        <v>163.20074068819849</v>
      </c>
      <c r="BK45" s="15">
        <f>IF(ISNA(VLOOKUP(A45,'Données projet'!$A$87:$I$107,3,0)),0,VLOOKUP(A45,'Données projet'!$A$87:$I$107,3,0))</f>
        <v>1</v>
      </c>
      <c r="BL45" s="15">
        <f>IF(ISNA(VLOOKUP(A45,'Données projet'!$A$87:$I$107,4,0)),0,VLOOKUP(A45,'Données projet'!$A$87:$I$107,4,0))</f>
        <v>179.84615384615384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12.4</v>
      </c>
      <c r="BY45" s="12">
        <f>IF('Données projet'!$A$114&gt;35,BY44+BX45-CG44,IF(A45&lt;'Données projet'!$A$114,$BV$205^A45,IF(A45='Données projet'!$A$114,'Données projet'!$B$114,BY44+BX45-CG44)))</f>
        <v>272.80000000000007</v>
      </c>
      <c r="BZ45" s="13">
        <f>BY45*VLOOKUP('Données projet'!$B$12,Paramètres!$A$1:$I$89,3,0)*VLOOKUP('Données projet'!$B$12,Paramètres!$A$1:$I$89,5,0)</f>
        <v>170.22720000000004</v>
      </c>
      <c r="CA45" s="13">
        <f t="shared" si="39"/>
        <v>43.140904871338378</v>
      </c>
      <c r="CB45" s="20">
        <f t="shared" si="10"/>
        <v>371.6161159842477</v>
      </c>
      <c r="CC45" s="59">
        <f t="shared" si="11"/>
        <v>664.94944931758096</v>
      </c>
      <c r="CD45" s="59">
        <f ca="1">AVERAGE(OFFSET($CC$3,0,0,'Données projet'!$E$12+1,1))-AVERAGE(OFFSET($H$3,0,0,'Données projet'!$E$12+1,1))</f>
        <v>255.41017495879987</v>
      </c>
      <c r="CE45" s="59">
        <f t="shared" si="40"/>
        <v>297.50513563712764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6.5790501061315858</v>
      </c>
      <c r="CL45" s="21">
        <f>EXP(-LN(2)/25)*CL44+(1-EXP(-LN(2)/25))/(LN(2)/25)*Calculateur!CG45*Calculateur!CI45*VLOOKUP('Données projet'!$B$12,Paramètres!$A$1:$I$89,3,0)*0.475*44/12</f>
        <v>19.98207153202987</v>
      </c>
      <c r="CM45" s="21">
        <f>EXP(-LN(2)/2)*CM44+(1-EXP(-LN(2)/2))/(LN(2)/2)*CG45*CJ45*VLOOKUP('Données projet'!$B$12,Paramètres!$A$1:$I$89,3,0)*0.475*44/12</f>
        <v>0.38126861151424812</v>
      </c>
      <c r="CN45" s="22">
        <f t="shared" si="12"/>
        <v>26.942390249675704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9.25</v>
      </c>
      <c r="CT45" s="12">
        <f>IF('Données projet'!$A$140&gt;35,CT44+CS45-DB44,IF(A45&lt;'Données projet'!$A$140,$CQ$205^A45,IF(A45='Données projet'!$A$140,'Données projet'!$B$140,CT44+CS45-DB44)))</f>
        <v>203.19999999999993</v>
      </c>
      <c r="CU45" s="17">
        <f>CT45*VLOOKUP('Données projet'!$B$13,Paramètres!$A$1:$I$89,3,0)*VLOOKUP('Données projet'!$B$13,Paramètres!$A$1:$I$89,5,0)</f>
        <v>116.23039999999997</v>
      </c>
      <c r="CV45" s="13">
        <f t="shared" si="41"/>
        <v>30.794175491293117</v>
      </c>
      <c r="CW45" s="20">
        <f t="shared" si="13"/>
        <v>256.06780231400211</v>
      </c>
      <c r="CX45" s="59">
        <f t="shared" si="14"/>
        <v>549.40113564733542</v>
      </c>
      <c r="CY45" s="59">
        <f ca="1">AVERAGE(OFFSET($CX$3,0,0,'Données projet'!$E$13+1,1))-AVERAGE(OFFSET($H$3,0,0,'Données projet'!$E$13+1,1))</f>
        <v>134.70214882504786</v>
      </c>
      <c r="CZ45" s="59">
        <f t="shared" si="42"/>
        <v>102.18553029667771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0.83815066528440174</v>
      </c>
      <c r="DG45" s="21">
        <f>EXP(-LN(2)/25)*DG44+(1-EXP(-LN(2)/25))/(LN(2)/25)*Calculateur!DB45*Calculateur!DD45*VLOOKUP('Données projet'!$B$13,Paramètres!$A$1:$I$89,3,0)*0.475*44/12</f>
        <v>8.9978167411138799</v>
      </c>
      <c r="DH45" s="21">
        <f>EXP(-LN(2)/2)*DH44+(1-EXP(-LN(2)/2))/(LN(2)/2)*DB45*DE45*VLOOKUP('Données projet'!$B$13,Paramètres!$A$1:$I$89,3,0)*0.475*44/12</f>
        <v>0.12040463157846108</v>
      </c>
      <c r="DI45" s="22">
        <f t="shared" si="15"/>
        <v>9.9563720379767435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11.861538461538462</v>
      </c>
      <c r="DO45" s="12">
        <f>IF('Données projet'!$A$166&gt;35,DO44+DN45-DW44,IF(A45&lt;'Données projet'!$A$166,$DL$205^A45,IF(A45='Données projet'!$A$166,'Données projet'!$B$166,DO44+DN45-DW44)))</f>
        <v>196.19230769230771</v>
      </c>
      <c r="DP45" s="17">
        <f>DO45*VLOOKUP('Données projet'!$B$14,Paramètres!$A$1:$I$89,3,0)*VLOOKUP('Données projet'!$B$14,Paramètres!$A$1:$I$89,5,0)</f>
        <v>117.32300000000002</v>
      </c>
      <c r="DQ45" s="13">
        <f t="shared" si="43"/>
        <v>31.049815552357138</v>
      </c>
      <c r="DR45" s="20">
        <f t="shared" si="16"/>
        <v>258.41598708702207</v>
      </c>
      <c r="DS45" s="59">
        <f t="shared" si="17"/>
        <v>551.74932042035539</v>
      </c>
      <c r="DT45" s="59">
        <f ca="1">AVERAGE(OFFSET($DS$3,0,0,'Données projet'!$E$14+1,1))-AVERAGE(OFFSET($H$3,0,0,'Données projet'!$E$14+1,1))</f>
        <v>179.32848817523677</v>
      </c>
      <c r="DU45" s="59">
        <f t="shared" si="44"/>
        <v>131.3292389103035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9.4498213586411506</v>
      </c>
      <c r="EC45" s="21">
        <f>EXP(-LN(2)/2)*EC44+(1-EXP(-LN(2)/2))/(LN(2)/2)*DW45*DZ45*VLOOKUP('Données projet'!$B$14,Paramètres!$A$1:$I$89,3,0)*0.475*44/12</f>
        <v>8.223233401945991E-2</v>
      </c>
      <c r="ED45" s="22">
        <f t="shared" si="18"/>
        <v>9.532053692660611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>
        <f>VLOOKUP(A45,'Données projet'!$A$191:$I$211,2,0)</f>
        <v>468.72307692307692</v>
      </c>
      <c r="EH45" s="12">
        <f>VLOOKUP(A45,'Données projet'!$A$191:$I$211,9,0)</f>
        <v>22.419230769230779</v>
      </c>
      <c r="EI45" s="12">
        <f t="array" ref="EI45">INDEX(EH:EH,MIN(IF(ISNUMBER(EH45:EH241),ROW(EH45:EH241),"")))</f>
        <v>22.419230769230779</v>
      </c>
      <c r="EJ45" s="12">
        <f>IF('Données projet'!$A$192&gt;35,EJ44+EI45-ER44,IF(A45&lt;'Données projet'!$A$192,$EG$205^A45,IF(A45='Données projet'!$A$192,'Données projet'!$B$192,EJ44+EI45-ER44)))</f>
        <v>468.72307692307675</v>
      </c>
      <c r="EK45" s="17">
        <f>EJ45*VLOOKUP('Données projet'!$B$15,Paramètres!$A$1:$I$89,3,0)*VLOOKUP('Données projet'!$B$15,Paramètres!$A$1:$I$89,5,0)</f>
        <v>207.17559999999992</v>
      </c>
      <c r="EL45" s="13">
        <f t="shared" si="45"/>
        <v>51.317897679233141</v>
      </c>
      <c r="EM45" s="20">
        <f t="shared" si="19"/>
        <v>450.20950845799757</v>
      </c>
      <c r="EN45" s="59">
        <f t="shared" si="20"/>
        <v>743.54284179133083</v>
      </c>
      <c r="EO45" s="59">
        <f ca="1">AVERAGE(OFFSET($EN$3,0,0,'Données projet'!$E$15+1,1))-AVERAGE(OFFSET($H$3,0,0,'Données projet'!$E$15+1,1))</f>
        <v>191.932060106699</v>
      </c>
      <c r="EP45" s="59">
        <f t="shared" si="46"/>
        <v>260.28593152736903</v>
      </c>
      <c r="EQ45" s="15">
        <f>IF(ISNA(VLOOKUP(A45,'Données projet'!$A$191:$I$211,3,0)),0,VLOOKUP(A45,'Données projet'!$A$191:$I$211,3,0))</f>
        <v>5</v>
      </c>
      <c r="ER45" s="15">
        <f>IF(ISNA(VLOOKUP(A45,'Données projet'!$A$191:$I$211,4,0)),0,VLOOKUP(A45,'Données projet'!$A$191:$I$211,4,0))</f>
        <v>73.392307692307682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1.9264795246969317</v>
      </c>
      <c r="EW45" s="21">
        <f>EXP(-LN(2)/25)*EW44+(1-EXP(-LN(2)/25))/(LN(2)/25)*Calculateur!ER45*Calculateur!ET45*VLOOKUP('Données projet'!$B$15,Paramètres!$A$1:$I$89,3,0)*0.475*44/12</f>
        <v>9.0480710412136229</v>
      </c>
      <c r="EX45" s="21">
        <f>EXP(-LN(2)/2)*EX44+(1-EXP(-LN(2)/2))/(LN(2)/2)*ER45*EU45*VLOOKUP('Données projet'!$B$15,Paramètres!$A$1:$I$89,3,0)*0.475*44/12</f>
        <v>2.0912125981627297E-2</v>
      </c>
      <c r="EY45" s="22">
        <f t="shared" si="21"/>
        <v>10.995462691892183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3.8</v>
      </c>
      <c r="FE45" s="12">
        <f>IF('Données projet'!$A$218&gt;35,FE44+FD45-FM44,IF(A45&lt;'Données projet'!$A$218,$FB$205^A45,IF(A45='Données projet'!$A$218,'Données projet'!$B$218,FE44+FD45-FM44)))</f>
        <v>73.599999999999952</v>
      </c>
      <c r="FF45" s="17">
        <f>FE45*VLOOKUP('Données projet'!$B$16,Paramètres!$A$1:$I$89,3,0)*VLOOKUP('Données projet'!$B$16,Paramètres!$A$1:$I$89,5,0)</f>
        <v>71.185919999999953</v>
      </c>
      <c r="FG45" s="13">
        <f t="shared" si="47"/>
        <v>19.96767473402619</v>
      </c>
      <c r="FH45" s="20">
        <f t="shared" si="22"/>
        <v>158.75917749509551</v>
      </c>
      <c r="FI45" s="59">
        <f t="shared" si="23"/>
        <v>452.09251082842883</v>
      </c>
      <c r="FJ45" s="59">
        <f ca="1">AVERAGE(OFFSET($FI$3,0,0,'Données projet'!$E$16+1,1))-AVERAGE(OFFSET($H$3,0,0,'Données projet'!$E$16+1,1))</f>
        <v>102.86738524979938</v>
      </c>
      <c r="FK45" s="59">
        <f t="shared" si="48"/>
        <v>56.347130462109817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0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0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8.8000000000000007</v>
      </c>
      <c r="FZ45" s="12">
        <f>IF('Données projet'!$A$244&gt;35,FZ44+FY45-GH44,IF(A45&lt;'Données projet'!$A$244,$FW$205^A45,IF(A45='Données projet'!$A$244,'Données projet'!$B$244,FZ44+FY45-GH44)))</f>
        <v>149.60000000000002</v>
      </c>
      <c r="GA45" s="17">
        <f>FZ45*VLOOKUP('Données projet'!$B$17,Paramètres!$A$1:$I$89,3,0)*VLOOKUP('Données projet'!$B$17,Paramètres!$A$1:$I$89,5,0)</f>
        <v>100.35168</v>
      </c>
      <c r="GB45" s="13">
        <f t="shared" si="49"/>
        <v>27.045763332704833</v>
      </c>
      <c r="GC45" s="20">
        <f t="shared" si="25"/>
        <v>221.88388047112758</v>
      </c>
      <c r="GD45" s="59">
        <f t="shared" si="26"/>
        <v>515.21721380446093</v>
      </c>
      <c r="GE45" s="59">
        <f ca="1">AVERAGE(OFFSET($GD$3,0,0,'Données projet'!$E$17+1,1))-AVERAGE(OFFSET($H$3,0,0,'Données projet'!$E$17+1,1))</f>
        <v>168.00454652899231</v>
      </c>
      <c r="GF45" s="59">
        <f t="shared" si="50"/>
        <v>135.31958994080446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0</v>
      </c>
      <c r="GM45" s="21">
        <f>EXP(-LN(2)/25)*GM44+(1-EXP(-LN(2)/25))/(LN(2)/25)*Calculateur!GH45*Calculateur!GJ45*VLOOKUP('Données projet'!$B$17,Paramètres!$A$1:$I$89,3,0)*0.475*44/12</f>
        <v>0</v>
      </c>
      <c r="GN45" s="21">
        <f>EXP(-LN(2)/2)*GN44+(1-EXP(-LN(2)/2))/(LN(2)/2)*GH45*GK45*VLOOKUP('Données projet'!$B$17,Paramètres!$A$1:$I$89,3,0)*0.475*44/12</f>
        <v>0</v>
      </c>
      <c r="GO45" s="21">
        <f t="shared" si="27"/>
        <v>0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9.3452380952380913</v>
      </c>
      <c r="N46" s="13">
        <f>IF('Données projet'!$A$36&gt;35,N45+M46-V45,IF(A46&lt;'Données projet'!$A$36,$K$205^A46,IF(A46='Données projet'!$A$36,'Données projet'!$B$36,N45+M46-V45)))</f>
        <v>137.62637362637363</v>
      </c>
      <c r="O46" s="13">
        <f>N46*VLOOKUP('Données projet'!$B$9,Paramètres!$A$1:$I$89,3,0)*VLOOKUP('Données projet'!$B$9,Paramètres!$A$1:$I$89,5,0)</f>
        <v>124.52434285714287</v>
      </c>
      <c r="P46" s="13">
        <f t="shared" si="33"/>
        <v>32.72794432679062</v>
      </c>
      <c r="Q46" s="20">
        <f t="shared" si="53"/>
        <v>273.88106684535086</v>
      </c>
      <c r="R46" s="59">
        <f t="shared" si="0"/>
        <v>567.21440017868417</v>
      </c>
      <c r="S46" s="59">
        <f ca="1">AVERAGE(OFFSET($R$3,0,0,'Données projet'!$E$9+1,1))-AVERAGE(OFFSET($H$3,0,0,'Données projet'!$E$9+1,1))</f>
        <v>221.7429870520005</v>
      </c>
      <c r="T46" s="59">
        <f t="shared" si="34"/>
        <v>182.2029938397186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5.3369963369963358</v>
      </c>
      <c r="AI46" s="13">
        <f>IF('Données projet'!$A$62&gt;35,AI45+AH46-AQ45,IF(A46&lt;'Données projet'!$A$62,$AF$205^A46,IF(A46='Données projet'!$A$62,'Données projet'!$B$62,AI45+AH46-AQ45)))</f>
        <v>157.08608058608053</v>
      </c>
      <c r="AJ46" s="13">
        <f>AI46*VLOOKUP('Données projet'!$B$10,Paramètres!$A$1:$I$89,3,0)*VLOOKUP('Données projet'!$B$10,Paramètres!$A$1:$I$89,5,0)</f>
        <v>142.13148571428567</v>
      </c>
      <c r="AK46" s="13">
        <f t="shared" si="35"/>
        <v>36.784868701185438</v>
      </c>
      <c r="AL46" s="20">
        <f t="shared" si="4"/>
        <v>311.61265060694552</v>
      </c>
      <c r="AM46" s="59">
        <f t="shared" si="5"/>
        <v>604.94598394027889</v>
      </c>
      <c r="AN46" s="59">
        <f ca="1">AVERAGE(OFFSET($AM$3,0,0,'Données projet'!$E$10+1,1))-AVERAGE(OFFSET($H$3,0,0,'Données projet'!$E$10+1,1))</f>
        <v>153.45079678708987</v>
      </c>
      <c r="AO46" s="59">
        <f t="shared" si="36"/>
        <v>115.4217868409637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15.618681318681309</v>
      </c>
      <c r="BD46" s="12">
        <f>IF('Données projet'!$A$88&gt;35,BD45+BC46-BL45,IF(A46&lt;'Données projet'!$A$88,$BA$205^A46,IF(A46='Données projet'!$A$88,'Données projet'!$B$88,BD45+BC46-BL45)))</f>
        <v>246.14175824175837</v>
      </c>
      <c r="BE46" s="13">
        <f>BD46*VLOOKUP('Données projet'!$B$11,Paramètres!$A$1:$I$89,3,0)*VLOOKUP('Données projet'!$B$11,Paramètres!$A$1:$I$89,5,0)</f>
        <v>115.19434285714291</v>
      </c>
      <c r="BF46" s="13">
        <f t="shared" si="37"/>
        <v>30.5515065129288</v>
      </c>
      <c r="BG46" s="20">
        <f t="shared" si="7"/>
        <v>253.84068765287489</v>
      </c>
      <c r="BH46" s="59">
        <f t="shared" si="8"/>
        <v>547.17402098620823</v>
      </c>
      <c r="BI46" s="59">
        <f ca="1">AVERAGE(OFFSET($BH$3,0,0,'Données projet'!$E$11+1,1))-AVERAGE(OFFSET($H$3,0,0,'Données projet'!$E$11+1,1))</f>
        <v>158.58786357608489</v>
      </c>
      <c r="BJ46" s="59">
        <f t="shared" si="38"/>
        <v>163.20074068819849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12.4</v>
      </c>
      <c r="BY46" s="12">
        <f>IF('Données projet'!$A$114&gt;35,BY45+BX46-CG45,IF(A46&lt;'Données projet'!$A$114,$BV$205^A46,IF(A46='Données projet'!$A$114,'Données projet'!$B$114,BY45+BX46-CG45)))</f>
        <v>285.20000000000005</v>
      </c>
      <c r="BZ46" s="13">
        <f>BY46*VLOOKUP('Données projet'!$B$12,Paramètres!$A$1:$I$89,3,0)*VLOOKUP('Données projet'!$B$12,Paramètres!$A$1:$I$89,5,0)</f>
        <v>177.96480000000003</v>
      </c>
      <c r="CA46" s="13">
        <f t="shared" si="39"/>
        <v>44.869092441133326</v>
      </c>
      <c r="CB46" s="20">
        <f t="shared" si="10"/>
        <v>388.10236266830719</v>
      </c>
      <c r="CC46" s="59">
        <f t="shared" si="11"/>
        <v>681.43569600164051</v>
      </c>
      <c r="CD46" s="59">
        <f ca="1">AVERAGE(OFFSET($CC$3,0,0,'Données projet'!$E$12+1,1))-AVERAGE(OFFSET($H$3,0,0,'Données projet'!$E$12+1,1))</f>
        <v>255.41017495879987</v>
      </c>
      <c r="CE46" s="59">
        <f t="shared" si="40"/>
        <v>297.50513563712764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6.4500389463746766</v>
      </c>
      <c r="CL46" s="21">
        <f>EXP(-LN(2)/25)*CL45+(1-EXP(-LN(2)/25))/(LN(2)/25)*Calculateur!CG46*Calculateur!CI46*VLOOKUP('Données projet'!$B$12,Paramètres!$A$1:$I$89,3,0)*0.475*44/12</f>
        <v>19.435660735175041</v>
      </c>
      <c r="CM46" s="21">
        <f>EXP(-LN(2)/2)*CM45+(1-EXP(-LN(2)/2))/(LN(2)/2)*CG46*CJ46*VLOOKUP('Données projet'!$B$12,Paramètres!$A$1:$I$89,3,0)*0.475*44/12</f>
        <v>0.26959762065530424</v>
      </c>
      <c r="CN46" s="22">
        <f t="shared" si="12"/>
        <v>26.155297302205021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9.25</v>
      </c>
      <c r="CT46" s="12">
        <f>IF('Données projet'!$A$140&gt;35,CT45+CS46-DB45,IF(A46&lt;'Données projet'!$A$140,$CQ$205^A46,IF(A46='Données projet'!$A$140,'Données projet'!$B$140,CT45+CS46-DB45)))</f>
        <v>212.44999999999993</v>
      </c>
      <c r="CU46" s="17">
        <f>CT46*VLOOKUP('Données projet'!$B$13,Paramètres!$A$1:$I$89,3,0)*VLOOKUP('Données projet'!$B$13,Paramètres!$A$1:$I$89,5,0)</f>
        <v>121.52139999999996</v>
      </c>
      <c r="CV46" s="13">
        <f t="shared" si="41"/>
        <v>32.029580256859859</v>
      </c>
      <c r="CW46" s="20">
        <f t="shared" si="13"/>
        <v>267.43462394736417</v>
      </c>
      <c r="CX46" s="59">
        <f t="shared" si="14"/>
        <v>560.76795728069749</v>
      </c>
      <c r="CY46" s="59">
        <f ca="1">AVERAGE(OFFSET($CX$3,0,0,'Données projet'!$E$13+1,1))-AVERAGE(OFFSET($H$3,0,0,'Données projet'!$E$13+1,1))</f>
        <v>134.70214882504786</v>
      </c>
      <c r="CZ46" s="59">
        <f t="shared" si="42"/>
        <v>102.18553029667771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0.82171504195960154</v>
      </c>
      <c r="DG46" s="21">
        <f>EXP(-LN(2)/25)*DG45+(1-EXP(-LN(2)/25))/(LN(2)/25)*Calculateur!DB46*Calculateur!DD46*VLOOKUP('Données projet'!$B$13,Paramètres!$A$1:$I$89,3,0)*0.475*44/12</f>
        <v>8.7517709691535028</v>
      </c>
      <c r="DH46" s="21">
        <f>EXP(-LN(2)/2)*DH45+(1-EXP(-LN(2)/2))/(LN(2)/2)*DB46*DE46*VLOOKUP('Données projet'!$B$13,Paramètres!$A$1:$I$89,3,0)*0.475*44/12</f>
        <v>8.513893147539775E-2</v>
      </c>
      <c r="DI46" s="22">
        <f t="shared" si="15"/>
        <v>9.6586249425885011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11.861538461538462</v>
      </c>
      <c r="DO46" s="12">
        <f>IF('Données projet'!$A$166&gt;35,DO45+DN46-DW45,IF(A46&lt;'Données projet'!$A$166,$DL$205^A46,IF(A46='Données projet'!$A$166,'Données projet'!$B$166,DO45+DN46-DW45)))</f>
        <v>208.05384615384617</v>
      </c>
      <c r="DP46" s="17">
        <f>DO46*VLOOKUP('Données projet'!$B$14,Paramètres!$A$1:$I$89,3,0)*VLOOKUP('Données projet'!$B$14,Paramètres!$A$1:$I$89,5,0)</f>
        <v>124.41620000000002</v>
      </c>
      <c r="DQ46" s="13">
        <f t="shared" si="43"/>
        <v>32.702828934083335</v>
      </c>
      <c r="DR46" s="20">
        <f t="shared" si="16"/>
        <v>273.64897539352847</v>
      </c>
      <c r="DS46" s="59">
        <f t="shared" si="17"/>
        <v>566.98230872686179</v>
      </c>
      <c r="DT46" s="59">
        <f ca="1">AVERAGE(OFFSET($DS$3,0,0,'Données projet'!$E$14+1,1))-AVERAGE(OFFSET($H$3,0,0,'Données projet'!$E$14+1,1))</f>
        <v>179.32848817523677</v>
      </c>
      <c r="DU46" s="59">
        <f t="shared" si="44"/>
        <v>131.3292389103035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9.1914154966446002</v>
      </c>
      <c r="EC46" s="21">
        <f>EXP(-LN(2)/2)*EC45+(1-EXP(-LN(2)/2))/(LN(2)/2)*DW46*DZ46*VLOOKUP('Données projet'!$B$14,Paramètres!$A$1:$I$89,3,0)*0.475*44/12</f>
        <v>5.8147041017957334E-2</v>
      </c>
      <c r="ED46" s="22">
        <f t="shared" si="18"/>
        <v>9.2495625376625572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21.625641025641027</v>
      </c>
      <c r="EJ46" s="12">
        <f>IF('Données projet'!$A$192&gt;35,EJ45+EI46-ER45,IF(A46&lt;'Données projet'!$A$192,$EG$205^A46,IF(A46='Données projet'!$A$192,'Données projet'!$B$192,EJ45+EI46-ER45)))</f>
        <v>416.95641025641009</v>
      </c>
      <c r="EK46" s="17">
        <f>EJ46*VLOOKUP('Données projet'!$B$15,Paramètres!$A$1:$I$89,3,0)*VLOOKUP('Données projet'!$B$15,Paramètres!$A$1:$I$89,5,0)</f>
        <v>184.29473333333328</v>
      </c>
      <c r="EL46" s="13">
        <f t="shared" si="45"/>
        <v>46.276370006778471</v>
      </c>
      <c r="EM46" s="20">
        <f t="shared" si="19"/>
        <v>401.57800498402798</v>
      </c>
      <c r="EN46" s="59">
        <f t="shared" si="20"/>
        <v>694.91133831736124</v>
      </c>
      <c r="EO46" s="59">
        <f ca="1">AVERAGE(OFFSET($EN$3,0,0,'Données projet'!$E$15+1,1))-AVERAGE(OFFSET($H$3,0,0,'Données projet'!$E$15+1,1))</f>
        <v>191.932060106699</v>
      </c>
      <c r="EP46" s="59">
        <f t="shared" si="46"/>
        <v>260.28593152736903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1.8887024362541098</v>
      </c>
      <c r="EW46" s="21">
        <f>EXP(-LN(2)/25)*EW45+(1-EXP(-LN(2)/25))/(LN(2)/25)*Calculateur!ER46*Calculateur!ET46*VLOOKUP('Données projet'!$B$15,Paramètres!$A$1:$I$89,3,0)*0.475*44/12</f>
        <v>8.8006510627742607</v>
      </c>
      <c r="EX46" s="21">
        <f>EXP(-LN(2)/2)*EX45+(1-EXP(-LN(2)/2))/(LN(2)/2)*ER46*EU46*VLOOKUP('Données projet'!$B$15,Paramètres!$A$1:$I$89,3,0)*0.475*44/12</f>
        <v>1.478710609063605E-2</v>
      </c>
      <c r="EY46" s="22">
        <f t="shared" si="21"/>
        <v>10.704140605119008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3.8</v>
      </c>
      <c r="FE46" s="12">
        <f>IF('Données projet'!$A$218&gt;35,FE45+FD46-FM45,IF(A46&lt;'Données projet'!$A$218,$FB$205^A46,IF(A46='Données projet'!$A$218,'Données projet'!$B$218,FE45+FD46-FM45)))</f>
        <v>77.399999999999949</v>
      </c>
      <c r="FF46" s="17">
        <f>FE46*VLOOKUP('Données projet'!$B$16,Paramètres!$A$1:$I$89,3,0)*VLOOKUP('Données projet'!$B$16,Paramètres!$A$1:$I$89,5,0)</f>
        <v>74.861279999999951</v>
      </c>
      <c r="FG46" s="13">
        <f t="shared" si="47"/>
        <v>20.875927007330464</v>
      </c>
      <c r="FH46" s="20">
        <f t="shared" si="22"/>
        <v>166.7423022044338</v>
      </c>
      <c r="FI46" s="59">
        <f t="shared" si="23"/>
        <v>460.07563553776708</v>
      </c>
      <c r="FJ46" s="59">
        <f ca="1">AVERAGE(OFFSET($FI$3,0,0,'Données projet'!$E$16+1,1))-AVERAGE(OFFSET($H$3,0,0,'Données projet'!$E$16+1,1))</f>
        <v>102.86738524979938</v>
      </c>
      <c r="FK46" s="59">
        <f t="shared" si="48"/>
        <v>56.347130462109817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0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0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8.8000000000000007</v>
      </c>
      <c r="FZ46" s="12">
        <f>IF('Données projet'!$A$244&gt;35,FZ45+FY46-GH45,IF(A46&lt;'Données projet'!$A$244,$FW$205^A46,IF(A46='Données projet'!$A$244,'Données projet'!$B$244,FZ45+FY46-GH45)))</f>
        <v>158.40000000000003</v>
      </c>
      <c r="GA46" s="17">
        <f>FZ46*VLOOKUP('Données projet'!$B$17,Paramètres!$A$1:$I$89,3,0)*VLOOKUP('Données projet'!$B$17,Paramètres!$A$1:$I$89,5,0)</f>
        <v>106.25472000000002</v>
      </c>
      <c r="GB46" s="13">
        <f t="shared" si="49"/>
        <v>28.446796237064554</v>
      </c>
      <c r="GC46" s="20">
        <f t="shared" si="25"/>
        <v>234.60514077955409</v>
      </c>
      <c r="GD46" s="59">
        <f t="shared" si="26"/>
        <v>527.93847411288743</v>
      </c>
      <c r="GE46" s="59">
        <f ca="1">AVERAGE(OFFSET($GD$3,0,0,'Données projet'!$E$17+1,1))-AVERAGE(OFFSET($H$3,0,0,'Données projet'!$E$17+1,1))</f>
        <v>168.00454652899231</v>
      </c>
      <c r="GF46" s="59">
        <f t="shared" si="50"/>
        <v>135.31958994080446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0</v>
      </c>
      <c r="GM46" s="21">
        <f>EXP(-LN(2)/25)*GM45+(1-EXP(-LN(2)/25))/(LN(2)/25)*Calculateur!GH46*Calculateur!GJ46*VLOOKUP('Données projet'!$B$17,Paramètres!$A$1:$I$89,3,0)*0.475*44/12</f>
        <v>0</v>
      </c>
      <c r="GN46" s="21">
        <f>EXP(-LN(2)/2)*GN45+(1-EXP(-LN(2)/2))/(LN(2)/2)*GH46*GK46*VLOOKUP('Données projet'!$B$17,Paramètres!$A$1:$I$89,3,0)*0.475*44/12</f>
        <v>0</v>
      </c>
      <c r="GO46" s="21">
        <f t="shared" si="27"/>
        <v>0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9.3452380952380913</v>
      </c>
      <c r="N47" s="13">
        <f>IF('Données projet'!$A$36&gt;35,N46+M47-V46,IF(A47&lt;'Données projet'!$A$36,$K$205^A47,IF(A47='Données projet'!$A$36,'Données projet'!$B$36,N46+M47-V46)))</f>
        <v>146.97161172161174</v>
      </c>
      <c r="O47" s="13">
        <f>N47*VLOOKUP('Données projet'!$B$9,Paramètres!$A$1:$I$89,3,0)*VLOOKUP('Données projet'!$B$9,Paramètres!$A$1:$I$89,5,0)</f>
        <v>132.97991428571427</v>
      </c>
      <c r="P47" s="13">
        <f t="shared" si="33"/>
        <v>34.68401916194258</v>
      </c>
      <c r="Q47" s="20">
        <f t="shared" si="53"/>
        <v>292.01468408800241</v>
      </c>
      <c r="R47" s="59">
        <f t="shared" si="0"/>
        <v>585.34801742133573</v>
      </c>
      <c r="S47" s="59">
        <f ca="1">AVERAGE(OFFSET($R$3,0,0,'Données projet'!$E$9+1,1))-AVERAGE(OFFSET($H$3,0,0,'Données projet'!$E$9+1,1))</f>
        <v>221.7429870520005</v>
      </c>
      <c r="T47" s="59">
        <f t="shared" si="34"/>
        <v>182.2029938397186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>
        <f>VLOOKUP(A47,'Données projet'!$A$61:$I$81,2,0)</f>
        <v>162.42307692307691</v>
      </c>
      <c r="AG47" s="12">
        <f>VLOOKUP(A47,'Données projet'!$A$61:$I$81,9,0)</f>
        <v>5.3369963369963358</v>
      </c>
      <c r="AH47" s="12">
        <f t="array" ref="AH47">INDEX(AG:AG,MIN(IF(ISNUMBER(AG47:AG243),ROW(AG47:AG243),"")))</f>
        <v>5.3369963369963358</v>
      </c>
      <c r="AI47" s="13">
        <f>IF('Données projet'!$A$62&gt;35,AI46+AH47-AQ46,IF(A47&lt;'Données projet'!$A$62,$AF$205^A47,IF(A47='Données projet'!$A$62,'Données projet'!$B$62,AI46+AH47-AQ46)))</f>
        <v>162.42307692307685</v>
      </c>
      <c r="AJ47" s="13">
        <f>AI47*VLOOKUP('Données projet'!$B$10,Paramètres!$A$1:$I$89,3,0)*VLOOKUP('Données projet'!$B$10,Paramètres!$A$1:$I$89,5,0)</f>
        <v>146.96039999999991</v>
      </c>
      <c r="AK47" s="13">
        <f t="shared" si="35"/>
        <v>37.887004745652405</v>
      </c>
      <c r="AL47" s="20">
        <f t="shared" si="4"/>
        <v>321.94256326534446</v>
      </c>
      <c r="AM47" s="59">
        <f t="shared" si="5"/>
        <v>615.27589659867772</v>
      </c>
      <c r="AN47" s="59">
        <f ca="1">AVERAGE(OFFSET($AM$3,0,0,'Données projet'!$E$10+1,1))-AVERAGE(OFFSET($H$3,0,0,'Données projet'!$E$10+1,1))</f>
        <v>153.45079678708987</v>
      </c>
      <c r="AO47" s="59">
        <f t="shared" si="36"/>
        <v>115.4217868409637</v>
      </c>
      <c r="AP47" s="15">
        <f>IF(ISNA(VLOOKUP(A47,'Données projet'!$A$61:$I$81,3,0)),0,VLOOKUP(A47,'Données projet'!$A$61:$I$81,3,0))</f>
        <v>1</v>
      </c>
      <c r="AQ47" s="15">
        <f>IF(ISNA(VLOOKUP(A47,'Données projet'!$A$61:$I$81,4,0)),0,VLOOKUP(A47,'Données projet'!$A$61:$I$81,4,0))</f>
        <v>64.416666666666657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15.618681318681309</v>
      </c>
      <c r="BD47" s="12">
        <f>IF('Données projet'!$A$88&gt;35,BD46+BC47-BL46,IF(A47&lt;'Données projet'!$A$88,$BA$205^A47,IF(A47='Données projet'!$A$88,'Données projet'!$B$88,BD46+BC47-BL46)))</f>
        <v>261.76043956043969</v>
      </c>
      <c r="BE47" s="13">
        <f>BD47*VLOOKUP('Données projet'!$B$11,Paramètres!$A$1:$I$89,3,0)*VLOOKUP('Données projet'!$B$11,Paramètres!$A$1:$I$89,5,0)</f>
        <v>122.50388571428577</v>
      </c>
      <c r="BF47" s="13">
        <f t="shared" si="37"/>
        <v>32.258285776503719</v>
      </c>
      <c r="BG47" s="20">
        <f t="shared" si="7"/>
        <v>269.54411534645834</v>
      </c>
      <c r="BH47" s="59">
        <f t="shared" si="8"/>
        <v>562.87744867979166</v>
      </c>
      <c r="BI47" s="59">
        <f ca="1">AVERAGE(OFFSET($BH$3,0,0,'Données projet'!$E$11+1,1))-AVERAGE(OFFSET($H$3,0,0,'Données projet'!$E$11+1,1))</f>
        <v>158.58786357608489</v>
      </c>
      <c r="BJ47" s="59">
        <f t="shared" si="38"/>
        <v>163.20074068819849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12.4</v>
      </c>
      <c r="BY47" s="12">
        <f>IF('Données projet'!$A$114&gt;35,BY46+BX47-CG46,IF(A47&lt;'Données projet'!$A$114,$BV$205^A47,IF(A47='Données projet'!$A$114,'Données projet'!$B$114,BY46+BX47-CG46)))</f>
        <v>297.60000000000002</v>
      </c>
      <c r="BZ47" s="13">
        <f>BY47*VLOOKUP('Données projet'!$B$12,Paramètres!$A$1:$I$89,3,0)*VLOOKUP('Données projet'!$B$12,Paramètres!$A$1:$I$89,5,0)</f>
        <v>185.70240000000001</v>
      </c>
      <c r="CA47" s="13">
        <f t="shared" si="39"/>
        <v>46.588553069776829</v>
      </c>
      <c r="CB47" s="20">
        <f t="shared" si="10"/>
        <v>404.57340992986133</v>
      </c>
      <c r="CC47" s="59">
        <f t="shared" si="11"/>
        <v>697.90674326319458</v>
      </c>
      <c r="CD47" s="59">
        <f ca="1">AVERAGE(OFFSET($CC$3,0,0,'Données projet'!$E$12+1,1))-AVERAGE(OFFSET($H$3,0,0,'Données projet'!$E$12+1,1))</f>
        <v>255.41017495879987</v>
      </c>
      <c r="CE47" s="59">
        <f t="shared" si="40"/>
        <v>297.50513563712764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6.3235576167715628</v>
      </c>
      <c r="CL47" s="21">
        <f>EXP(-LN(2)/25)*CL46+(1-EXP(-LN(2)/25))/(LN(2)/25)*Calculateur!CG47*Calculateur!CI47*VLOOKUP('Données projet'!$B$12,Paramètres!$A$1:$I$89,3,0)*0.475*44/12</f>
        <v>18.904191570294703</v>
      </c>
      <c r="CM47" s="21">
        <f>EXP(-LN(2)/2)*CM46+(1-EXP(-LN(2)/2))/(LN(2)/2)*CG47*CJ47*VLOOKUP('Données projet'!$B$12,Paramètres!$A$1:$I$89,3,0)*0.475*44/12</f>
        <v>0.19063430575712406</v>
      </c>
      <c r="CN47" s="22">
        <f t="shared" si="12"/>
        <v>25.418383492823391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>
        <f>VLOOKUP(A47,'Données projet'!$A$139:$I$159,2,0)</f>
        <v>221.7</v>
      </c>
      <c r="CR47" s="12">
        <f>VLOOKUP(A47,'Données projet'!$A$139:$I$159,9,0)</f>
        <v>9.25</v>
      </c>
      <c r="CS47" s="12">
        <f t="array" ref="CS47">INDEX(CR:CR,MIN(IF(ISNUMBER(CR47:CR243),ROW(CR47:CR243),"")))</f>
        <v>9.25</v>
      </c>
      <c r="CT47" s="12">
        <f>IF('Données projet'!$A$140&gt;35,CT46+CS47-DB46,IF(A47&lt;'Données projet'!$A$140,$CQ$205^A47,IF(A47='Données projet'!$A$140,'Données projet'!$B$140,CT46+CS47-DB46)))</f>
        <v>221.69999999999993</v>
      </c>
      <c r="CU47" s="17">
        <f>CT47*VLOOKUP('Données projet'!$B$13,Paramètres!$A$1:$I$89,3,0)*VLOOKUP('Données projet'!$B$13,Paramètres!$A$1:$I$89,5,0)</f>
        <v>126.81239999999997</v>
      </c>
      <c r="CV47" s="13">
        <f t="shared" si="41"/>
        <v>33.258737725706673</v>
      </c>
      <c r="CW47" s="20">
        <f t="shared" si="13"/>
        <v>278.7905648722724</v>
      </c>
      <c r="CX47" s="59">
        <f t="shared" si="14"/>
        <v>572.12389820560566</v>
      </c>
      <c r="CY47" s="59">
        <f ca="1">AVERAGE(OFFSET($CX$3,0,0,'Données projet'!$E$13+1,1))-AVERAGE(OFFSET($H$3,0,0,'Données projet'!$E$13+1,1))</f>
        <v>134.70214882504786</v>
      </c>
      <c r="CZ47" s="59">
        <f t="shared" si="42"/>
        <v>102.18553029667771</v>
      </c>
      <c r="DA47" s="15">
        <f>IF(ISNA(VLOOKUP(A47,'Données projet'!$A$139:$I$159,3,0)),0,VLOOKUP(A47,'Données projet'!$A$139:$I$159,3,0))</f>
        <v>4</v>
      </c>
      <c r="DB47" s="15">
        <f>IF(ISNA(VLOOKUP(A47,'Données projet'!$A$139:$I$159,4,0)),0,VLOOKUP(A47,'Données projet'!$A$139:$I$159,4,0))</f>
        <v>39.492307692307691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0.80560171118346025</v>
      </c>
      <c r="DG47" s="21">
        <f>EXP(-LN(2)/25)*DG46+(1-EXP(-LN(2)/25))/(LN(2)/25)*Calculateur!DB47*Calculateur!DD47*VLOOKUP('Données projet'!$B$13,Paramètres!$A$1:$I$89,3,0)*0.475*44/12</f>
        <v>8.512453331766368</v>
      </c>
      <c r="DH47" s="21">
        <f>EXP(-LN(2)/2)*DH46+(1-EXP(-LN(2)/2))/(LN(2)/2)*DB47*DE47*VLOOKUP('Données projet'!$B$13,Paramètres!$A$1:$I$89,3,0)*0.475*44/12</f>
        <v>6.0202315789230541E-2</v>
      </c>
      <c r="DI47" s="22">
        <f t="shared" si="15"/>
        <v>9.3782573587390576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11.861538461538462</v>
      </c>
      <c r="DO47" s="12">
        <f>IF('Données projet'!$A$166&gt;35,DO46+DN47-DW46,IF(A47&lt;'Données projet'!$A$166,$DL$205^A47,IF(A47='Données projet'!$A$166,'Données projet'!$B$166,DO46+DN47-DW46)))</f>
        <v>219.91538461538462</v>
      </c>
      <c r="DP47" s="17">
        <f>DO47*VLOOKUP('Données projet'!$B$14,Paramètres!$A$1:$I$89,3,0)*VLOOKUP('Données projet'!$B$14,Paramètres!$A$1:$I$89,5,0)</f>
        <v>131.50940000000003</v>
      </c>
      <c r="DQ47" s="13">
        <f t="shared" si="43"/>
        <v>34.344902681781598</v>
      </c>
      <c r="DR47" s="20">
        <f t="shared" si="16"/>
        <v>288.86291050410301</v>
      </c>
      <c r="DS47" s="59">
        <f t="shared" si="17"/>
        <v>582.19624383743633</v>
      </c>
      <c r="DT47" s="59">
        <f ca="1">AVERAGE(OFFSET($DS$3,0,0,'Données projet'!$E$14+1,1))-AVERAGE(OFFSET($H$3,0,0,'Données projet'!$E$14+1,1))</f>
        <v>179.32848817523677</v>
      </c>
      <c r="DU47" s="59">
        <f t="shared" si="44"/>
        <v>131.3292389103035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8.9400757565333198</v>
      </c>
      <c r="EC47" s="21">
        <f>EXP(-LN(2)/2)*EC46+(1-EXP(-LN(2)/2))/(LN(2)/2)*DW47*DZ47*VLOOKUP('Données projet'!$B$14,Paramètres!$A$1:$I$89,3,0)*0.475*44/12</f>
        <v>4.1116167009729962E-2</v>
      </c>
      <c r="ED47" s="22">
        <f t="shared" si="18"/>
        <v>8.9811919235430491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21.625641025641027</v>
      </c>
      <c r="EJ47" s="12">
        <f>IF('Données projet'!$A$192&gt;35,EJ46+EI47-ER46,IF(A47&lt;'Données projet'!$A$192,$EG$205^A47,IF(A47='Données projet'!$A$192,'Données projet'!$B$192,EJ46+EI47-ER46)))</f>
        <v>438.58205128205111</v>
      </c>
      <c r="EK47" s="17">
        <f>EJ47*VLOOKUP('Données projet'!$B$15,Paramètres!$A$1:$I$89,3,0)*VLOOKUP('Données projet'!$B$15,Paramètres!$A$1:$I$89,5,0)</f>
        <v>193.85326666666663</v>
      </c>
      <c r="EL47" s="13">
        <f t="shared" si="45"/>
        <v>48.39085739535372</v>
      </c>
      <c r="EM47" s="20">
        <f t="shared" si="19"/>
        <v>421.90851607468539</v>
      </c>
      <c r="EN47" s="59">
        <f t="shared" si="20"/>
        <v>715.24184940801865</v>
      </c>
      <c r="EO47" s="59">
        <f ca="1">AVERAGE(OFFSET($EN$3,0,0,'Données projet'!$E$15+1,1))-AVERAGE(OFFSET($H$3,0,0,'Données projet'!$E$15+1,1))</f>
        <v>191.932060106699</v>
      </c>
      <c r="EP47" s="59">
        <f t="shared" si="46"/>
        <v>260.28593152736903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1.8516661334739029</v>
      </c>
      <c r="EW47" s="21">
        <f>EXP(-LN(2)/25)*EW46+(1-EXP(-LN(2)/25))/(LN(2)/25)*Calculateur!ER47*Calculateur!ET47*VLOOKUP('Données projet'!$B$15,Paramètres!$A$1:$I$89,3,0)*0.475*44/12</f>
        <v>8.5599967966565735</v>
      </c>
      <c r="EX47" s="21">
        <f>EXP(-LN(2)/2)*EX46+(1-EXP(-LN(2)/2))/(LN(2)/2)*ER47*EU47*VLOOKUP('Données projet'!$B$15,Paramètres!$A$1:$I$89,3,0)*0.475*44/12</f>
        <v>1.045606299081365E-2</v>
      </c>
      <c r="EY47" s="22">
        <f t="shared" si="21"/>
        <v>10.422118993121289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3.8</v>
      </c>
      <c r="FE47" s="12">
        <f>IF('Données projet'!$A$218&gt;35,FE46+FD47-FM46,IF(A47&lt;'Données projet'!$A$218,$FB$205^A47,IF(A47='Données projet'!$A$218,'Données projet'!$B$218,FE46+FD47-FM46)))</f>
        <v>81.199999999999946</v>
      </c>
      <c r="FF47" s="17">
        <f>FE47*VLOOKUP('Données projet'!$B$16,Paramètres!$A$1:$I$89,3,0)*VLOOKUP('Données projet'!$B$16,Paramètres!$A$1:$I$89,5,0)</f>
        <v>78.536639999999949</v>
      </c>
      <c r="FG47" s="13">
        <f t="shared" si="47"/>
        <v>21.77900147187335</v>
      </c>
      <c r="FH47" s="20">
        <f t="shared" si="22"/>
        <v>174.71640889684599</v>
      </c>
      <c r="FI47" s="59">
        <f t="shared" si="23"/>
        <v>468.04974223017928</v>
      </c>
      <c r="FJ47" s="59">
        <f ca="1">AVERAGE(OFFSET($FI$3,0,0,'Données projet'!$E$16+1,1))-AVERAGE(OFFSET($H$3,0,0,'Données projet'!$E$16+1,1))</f>
        <v>102.86738524979938</v>
      </c>
      <c r="FK47" s="59">
        <f t="shared" si="48"/>
        <v>56.347130462109817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0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0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8.8000000000000007</v>
      </c>
      <c r="FZ47" s="12">
        <f>IF('Données projet'!$A$244&gt;35,FZ46+FY47-GH46,IF(A47&lt;'Données projet'!$A$244,$FW$205^A47,IF(A47='Données projet'!$A$244,'Données projet'!$B$244,FZ46+FY47-GH46)))</f>
        <v>167.20000000000005</v>
      </c>
      <c r="GA47" s="17">
        <f>FZ47*VLOOKUP('Données projet'!$B$17,Paramètres!$A$1:$I$89,3,0)*VLOOKUP('Données projet'!$B$17,Paramètres!$A$1:$I$89,5,0)</f>
        <v>112.15776000000002</v>
      </c>
      <c r="GB47" s="13">
        <f t="shared" si="49"/>
        <v>29.838793453353521</v>
      </c>
      <c r="GC47" s="20">
        <f t="shared" si="25"/>
        <v>247.31066393125744</v>
      </c>
      <c r="GD47" s="59">
        <f t="shared" si="26"/>
        <v>540.64399726459078</v>
      </c>
      <c r="GE47" s="59">
        <f ca="1">AVERAGE(OFFSET($GD$3,0,0,'Données projet'!$E$17+1,1))-AVERAGE(OFFSET($H$3,0,0,'Données projet'!$E$17+1,1))</f>
        <v>168.00454652899231</v>
      </c>
      <c r="GF47" s="59">
        <f t="shared" si="50"/>
        <v>135.31958994080446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0</v>
      </c>
      <c r="GM47" s="21">
        <f>EXP(-LN(2)/25)*GM46+(1-EXP(-LN(2)/25))/(LN(2)/25)*Calculateur!GH47*Calculateur!GJ47*VLOOKUP('Données projet'!$B$17,Paramètres!$A$1:$I$89,3,0)*0.475*44/12</f>
        <v>0</v>
      </c>
      <c r="GN47" s="21">
        <f>EXP(-LN(2)/2)*GN46+(1-EXP(-LN(2)/2))/(LN(2)/2)*GH47*GK47*VLOOKUP('Données projet'!$B$17,Paramètres!$A$1:$I$89,3,0)*0.475*44/12</f>
        <v>0</v>
      </c>
      <c r="GO47" s="21">
        <f t="shared" si="27"/>
        <v>0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9.3452380952380913</v>
      </c>
      <c r="N48" s="13">
        <f>IF('Données projet'!$A$36&gt;35,N47+M48-V47,IF(A48&lt;'Données projet'!$A$36,$K$205^A48,IF(A48='Données projet'!$A$36,'Données projet'!$B$36,N47+M48-V47)))</f>
        <v>156.31684981684984</v>
      </c>
      <c r="O48" s="13">
        <f>N48*VLOOKUP('Données projet'!$B$9,Paramètres!$A$1:$I$89,3,0)*VLOOKUP('Données projet'!$B$9,Paramètres!$A$1:$I$89,5,0)</f>
        <v>141.43548571428573</v>
      </c>
      <c r="P48" s="13">
        <f t="shared" si="33"/>
        <v>36.625659617511197</v>
      </c>
      <c r="Q48" s="20">
        <f t="shared" si="53"/>
        <v>310.12316145287963</v>
      </c>
      <c r="R48" s="59">
        <f t="shared" si="0"/>
        <v>603.45649478621294</v>
      </c>
      <c r="S48" s="59">
        <f ca="1">AVERAGE(OFFSET($R$3,0,0,'Données projet'!$E$9+1,1))-AVERAGE(OFFSET($H$3,0,0,'Données projet'!$E$9+1,1))</f>
        <v>221.7429870520005</v>
      </c>
      <c r="T48" s="59">
        <f t="shared" si="34"/>
        <v>182.2029938397186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6.8260073260073284</v>
      </c>
      <c r="AI48" s="13">
        <f>IF('Données projet'!$A$62&gt;35,AI47+AH48-AQ47,IF(A48&lt;'Données projet'!$A$62,$AF$205^A48,IF(A48='Données projet'!$A$62,'Données projet'!$B$62,AI47+AH48-AQ47)))</f>
        <v>104.83241758241752</v>
      </c>
      <c r="AJ48" s="13">
        <f>AI48*VLOOKUP('Données projet'!$B$10,Paramètres!$A$1:$I$89,3,0)*VLOOKUP('Données projet'!$B$10,Paramètres!$A$1:$I$89,5,0)</f>
        <v>94.852371428571374</v>
      </c>
      <c r="AK48" s="13">
        <f t="shared" si="35"/>
        <v>25.731899613510901</v>
      </c>
      <c r="AL48" s="20">
        <f t="shared" si="4"/>
        <v>210.01760539829328</v>
      </c>
      <c r="AM48" s="59">
        <f t="shared" si="5"/>
        <v>503.35093873162657</v>
      </c>
      <c r="AN48" s="59">
        <f ca="1">AVERAGE(OFFSET($AM$3,0,0,'Données projet'!$E$10+1,1))-AVERAGE(OFFSET($H$3,0,0,'Données projet'!$E$10+1,1))</f>
        <v>153.45079678708987</v>
      </c>
      <c r="AO48" s="59">
        <f t="shared" si="36"/>
        <v>115.4217868409637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15.618681318681309</v>
      </c>
      <c r="BD48" s="12">
        <f>IF('Données projet'!$A$88&gt;35,BD47+BC48-BL47,IF(A48&lt;'Données projet'!$A$88,$BA$205^A48,IF(A48='Données projet'!$A$88,'Données projet'!$B$88,BD47+BC48-BL47)))</f>
        <v>277.37912087912099</v>
      </c>
      <c r="BE48" s="13">
        <f>BD48*VLOOKUP('Données projet'!$B$11,Paramètres!$A$1:$I$89,3,0)*VLOOKUP('Données projet'!$B$11,Paramètres!$A$1:$I$89,5,0)</f>
        <v>129.81342857142863</v>
      </c>
      <c r="BF48" s="13">
        <f t="shared" si="37"/>
        <v>33.953244550224326</v>
      </c>
      <c r="BG48" s="20">
        <f t="shared" si="7"/>
        <v>285.22695568687891</v>
      </c>
      <c r="BH48" s="59">
        <f t="shared" si="8"/>
        <v>578.56028902021217</v>
      </c>
      <c r="BI48" s="59">
        <f ca="1">AVERAGE(OFFSET($BH$3,0,0,'Données projet'!$E$11+1,1))-AVERAGE(OFFSET($H$3,0,0,'Données projet'!$E$11+1,1))</f>
        <v>158.58786357608489</v>
      </c>
      <c r="BJ48" s="59">
        <f t="shared" si="38"/>
        <v>163.20074068819849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12.4</v>
      </c>
      <c r="BY48" s="12">
        <f>IF('Données projet'!$A$114&gt;35,BY47+BX48-CG47,IF(A48&lt;'Données projet'!$A$114,$BV$205^A48,IF(A48='Données projet'!$A$114,'Données projet'!$B$114,BY47+BX48-CG47)))</f>
        <v>310</v>
      </c>
      <c r="BZ48" s="13">
        <f>BY48*VLOOKUP('Données projet'!$B$12,Paramètres!$A$1:$I$89,3,0)*VLOOKUP('Données projet'!$B$12,Paramètres!$A$1:$I$89,5,0)</f>
        <v>193.44</v>
      </c>
      <c r="CA48" s="13">
        <f t="shared" si="39"/>
        <v>48.299691961776745</v>
      </c>
      <c r="CB48" s="20">
        <f t="shared" si="10"/>
        <v>421.02996350009448</v>
      </c>
      <c r="CC48" s="59">
        <f t="shared" si="11"/>
        <v>714.36329683342774</v>
      </c>
      <c r="CD48" s="59">
        <f ca="1">AVERAGE(OFFSET($CC$3,0,0,'Données projet'!$E$12+1,1))-AVERAGE(OFFSET($H$3,0,0,'Données projet'!$E$12+1,1))</f>
        <v>255.41017495879987</v>
      </c>
      <c r="CE48" s="59">
        <f t="shared" si="40"/>
        <v>297.50513563712764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6.1995565088959728</v>
      </c>
      <c r="CL48" s="21">
        <f>EXP(-LN(2)/25)*CL47+(1-EXP(-LN(2)/25))/(LN(2)/25)*Calculateur!CG48*Calculateur!CI48*VLOOKUP('Données projet'!$B$12,Paramètres!$A$1:$I$89,3,0)*0.475*44/12</f>
        <v>18.387255457676766</v>
      </c>
      <c r="CM48" s="21">
        <f>EXP(-LN(2)/2)*CM47+(1-EXP(-LN(2)/2))/(LN(2)/2)*CG48*CJ48*VLOOKUP('Données projet'!$B$12,Paramètres!$A$1:$I$89,3,0)*0.475*44/12</f>
        <v>0.13479881032765212</v>
      </c>
      <c r="CN48" s="22">
        <f t="shared" si="12"/>
        <v>24.721610776900391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8.3442307692307658</v>
      </c>
      <c r="CT48" s="12">
        <f>IF('Données projet'!$A$140&gt;35,CT47+CS48-DB47,IF(A48&lt;'Données projet'!$A$140,$CQ$205^A48,IF(A48='Données projet'!$A$140,'Données projet'!$B$140,CT47+CS48-DB47)))</f>
        <v>190.551923076923</v>
      </c>
      <c r="CU48" s="17">
        <f>CT48*VLOOKUP('Données projet'!$B$13,Paramètres!$A$1:$I$89,3,0)*VLOOKUP('Données projet'!$B$13,Paramètres!$A$1:$I$89,5,0)</f>
        <v>108.99569999999997</v>
      </c>
      <c r="CV48" s="13">
        <f t="shared" si="41"/>
        <v>29.094237497739503</v>
      </c>
      <c r="CW48" s="20">
        <f t="shared" si="13"/>
        <v>240.50664114189624</v>
      </c>
      <c r="CX48" s="59">
        <f t="shared" si="14"/>
        <v>533.83997447522961</v>
      </c>
      <c r="CY48" s="59">
        <f ca="1">AVERAGE(OFFSET($CX$3,0,0,'Données projet'!$E$13+1,1))-AVERAGE(OFFSET($H$3,0,0,'Données projet'!$E$13+1,1))</f>
        <v>134.70214882504786</v>
      </c>
      <c r="CZ48" s="59">
        <f t="shared" si="42"/>
        <v>102.18553029667771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0.78980435299567775</v>
      </c>
      <c r="DG48" s="21">
        <f>EXP(-LN(2)/25)*DG47+(1-EXP(-LN(2)/25))/(LN(2)/25)*Calculateur!DB48*Calculateur!DD48*VLOOKUP('Données projet'!$B$13,Paramètres!$A$1:$I$89,3,0)*0.475*44/12</f>
        <v>8.2796798477587519</v>
      </c>
      <c r="DH48" s="21">
        <f>EXP(-LN(2)/2)*DH47+(1-EXP(-LN(2)/2))/(LN(2)/2)*DB48*DE48*VLOOKUP('Données projet'!$B$13,Paramètres!$A$1:$I$89,3,0)*0.475*44/12</f>
        <v>4.2569465737698875E-2</v>
      </c>
      <c r="DI48" s="22">
        <f t="shared" si="15"/>
        <v>9.1120536664921286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11.861538461538462</v>
      </c>
      <c r="DO48" s="12">
        <f>IF('Données projet'!$A$166&gt;35,DO47+DN48-DW47,IF(A48&lt;'Données projet'!$A$166,$DL$205^A48,IF(A48='Données projet'!$A$166,'Données projet'!$B$166,DO47+DN48-DW47)))</f>
        <v>231.77692307692308</v>
      </c>
      <c r="DP48" s="17">
        <f>DO48*VLOOKUP('Données projet'!$B$14,Paramètres!$A$1:$I$89,3,0)*VLOOKUP('Données projet'!$B$14,Paramètres!$A$1:$I$89,5,0)</f>
        <v>138.60260000000002</v>
      </c>
      <c r="DQ48" s="13">
        <f t="shared" si="43"/>
        <v>35.976694116938233</v>
      </c>
      <c r="DR48" s="20">
        <f t="shared" si="16"/>
        <v>304.05893725366747</v>
      </c>
      <c r="DS48" s="59">
        <f t="shared" si="17"/>
        <v>597.39227058700078</v>
      </c>
      <c r="DT48" s="59">
        <f ca="1">AVERAGE(OFFSET($DS$3,0,0,'Données projet'!$E$14+1,1))-AVERAGE(OFFSET($H$3,0,0,'Données projet'!$E$14+1,1))</f>
        <v>179.32848817523677</v>
      </c>
      <c r="DU48" s="59">
        <f t="shared" si="44"/>
        <v>131.3292389103035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8.6956089148327642</v>
      </c>
      <c r="EC48" s="21">
        <f>EXP(-LN(2)/2)*EC47+(1-EXP(-LN(2)/2))/(LN(2)/2)*DW48*DZ48*VLOOKUP('Données projet'!$B$14,Paramètres!$A$1:$I$89,3,0)*0.475*44/12</f>
        <v>2.907352050897867E-2</v>
      </c>
      <c r="ED48" s="22">
        <f t="shared" si="18"/>
        <v>8.7246824353417427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21.625641025641027</v>
      </c>
      <c r="EJ48" s="12">
        <f>IF('Données projet'!$A$192&gt;35,EJ47+EI48-ER47,IF(A48&lt;'Données projet'!$A$192,$EG$205^A48,IF(A48='Données projet'!$A$192,'Données projet'!$B$192,EJ47+EI48-ER47)))</f>
        <v>460.20769230769213</v>
      </c>
      <c r="EK48" s="17">
        <f>EJ48*VLOOKUP('Données projet'!$B$15,Paramètres!$A$1:$I$89,3,0)*VLOOKUP('Données projet'!$B$15,Paramètres!$A$1:$I$89,5,0)</f>
        <v>203.41179999999994</v>
      </c>
      <c r="EL48" s="13">
        <f t="shared" si="45"/>
        <v>50.493238347030655</v>
      </c>
      <c r="EM48" s="20">
        <f t="shared" si="19"/>
        <v>442.21794178774491</v>
      </c>
      <c r="EN48" s="59">
        <f t="shared" si="20"/>
        <v>735.55127512107822</v>
      </c>
      <c r="EO48" s="59">
        <f ca="1">AVERAGE(OFFSET($EN$3,0,0,'Données projet'!$E$15+1,1))-AVERAGE(OFFSET($H$3,0,0,'Données projet'!$E$15+1,1))</f>
        <v>191.932060106699</v>
      </c>
      <c r="EP48" s="59">
        <f t="shared" si="46"/>
        <v>260.28593152736903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1.8153560900013015</v>
      </c>
      <c r="EW48" s="21">
        <f>EXP(-LN(2)/25)*EW47+(1-EXP(-LN(2)/25))/(LN(2)/25)*Calculateur!ER48*Calculateur!ET48*VLOOKUP('Données projet'!$B$15,Paramètres!$A$1:$I$89,3,0)*0.475*44/12</f>
        <v>8.3259232341013316</v>
      </c>
      <c r="EX48" s="21">
        <f>EXP(-LN(2)/2)*EX47+(1-EXP(-LN(2)/2))/(LN(2)/2)*ER48*EU48*VLOOKUP('Données projet'!$B$15,Paramètres!$A$1:$I$89,3,0)*0.475*44/12</f>
        <v>7.393553045318026E-3</v>
      </c>
      <c r="EY48" s="22">
        <f t="shared" si="21"/>
        <v>10.148672877147952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3.8</v>
      </c>
      <c r="FE48" s="12">
        <f>IF('Données projet'!$A$218&gt;35,FE47+FD48-FM47,IF(A48&lt;'Données projet'!$A$218,$FB$205^A48,IF(A48='Données projet'!$A$218,'Données projet'!$B$218,FE47+FD48-FM47)))</f>
        <v>84.999999999999943</v>
      </c>
      <c r="FF48" s="17">
        <f>FE48*VLOOKUP('Données projet'!$B$16,Paramètres!$A$1:$I$89,3,0)*VLOOKUP('Données projet'!$B$16,Paramètres!$A$1:$I$89,5,0)</f>
        <v>82.211999999999946</v>
      </c>
      <c r="FG48" s="13">
        <f t="shared" si="47"/>
        <v>22.677168109987932</v>
      </c>
      <c r="FH48" s="20">
        <f t="shared" si="22"/>
        <v>182.68196779156222</v>
      </c>
      <c r="FI48" s="59">
        <f t="shared" si="23"/>
        <v>476.01530112489553</v>
      </c>
      <c r="FJ48" s="59">
        <f ca="1">AVERAGE(OFFSET($FI$3,0,0,'Données projet'!$E$16+1,1))-AVERAGE(OFFSET($H$3,0,0,'Données projet'!$E$16+1,1))</f>
        <v>102.86738524979938</v>
      </c>
      <c r="FK48" s="59">
        <f t="shared" si="48"/>
        <v>56.347130462109817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0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0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8.8000000000000007</v>
      </c>
      <c r="FZ48" s="12">
        <f>IF('Données projet'!$A$244&gt;35,FZ47+FY48-GH47,IF(A48&lt;'Données projet'!$A$244,$FW$205^A48,IF(A48='Données projet'!$A$244,'Données projet'!$B$244,FZ47+FY48-GH47)))</f>
        <v>176.00000000000006</v>
      </c>
      <c r="GA48" s="17">
        <f>FZ48*VLOOKUP('Données projet'!$B$17,Paramètres!$A$1:$I$89,3,0)*VLOOKUP('Données projet'!$B$17,Paramètres!$A$1:$I$89,5,0)</f>
        <v>118.06080000000004</v>
      </c>
      <c r="GB48" s="13">
        <f t="shared" si="49"/>
        <v>31.222284778272353</v>
      </c>
      <c r="GC48" s="20">
        <f t="shared" si="25"/>
        <v>260.00137265549102</v>
      </c>
      <c r="GD48" s="59">
        <f t="shared" si="26"/>
        <v>553.33470598882434</v>
      </c>
      <c r="GE48" s="59">
        <f ca="1">AVERAGE(OFFSET($GD$3,0,0,'Données projet'!$E$17+1,1))-AVERAGE(OFFSET($H$3,0,0,'Données projet'!$E$17+1,1))</f>
        <v>168.00454652899231</v>
      </c>
      <c r="GF48" s="59">
        <f t="shared" si="50"/>
        <v>135.31958994080446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0</v>
      </c>
      <c r="GM48" s="21">
        <f>EXP(-LN(2)/25)*GM47+(1-EXP(-LN(2)/25))/(LN(2)/25)*Calculateur!GH48*Calculateur!GJ48*VLOOKUP('Données projet'!$B$17,Paramètres!$A$1:$I$89,3,0)*0.475*44/12</f>
        <v>0</v>
      </c>
      <c r="GN48" s="21">
        <f>EXP(-LN(2)/2)*GN47+(1-EXP(-LN(2)/2))/(LN(2)/2)*GH48*GK48*VLOOKUP('Données projet'!$B$17,Paramètres!$A$1:$I$89,3,0)*0.475*44/12</f>
        <v>0</v>
      </c>
      <c r="GO48" s="21">
        <f t="shared" si="27"/>
        <v>0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9.3452380952380913</v>
      </c>
      <c r="N49" s="13">
        <f>IF('Données projet'!$A$36&gt;35,N48+M49-V48,IF(A49&lt;'Données projet'!$A$36,$K$205^A49,IF(A49='Données projet'!$A$36,'Données projet'!$B$36,N48+M49-V48)))</f>
        <v>165.66208791208794</v>
      </c>
      <c r="O49" s="13">
        <f>N49*VLOOKUP('Données projet'!$B$9,Paramètres!$A$1:$I$89,3,0)*VLOOKUP('Données projet'!$B$9,Paramètres!$A$1:$I$89,5,0)</f>
        <v>149.89105714285716</v>
      </c>
      <c r="P49" s="13">
        <f t="shared" si="33"/>
        <v>38.553826918856544</v>
      </c>
      <c r="Q49" s="20">
        <f t="shared" si="53"/>
        <v>328.20817307415138</v>
      </c>
      <c r="R49" s="59">
        <f t="shared" si="0"/>
        <v>621.54150640748469</v>
      </c>
      <c r="S49" s="59">
        <f ca="1">AVERAGE(OFFSET($R$3,0,0,'Données projet'!$E$9+1,1))-AVERAGE(OFFSET($H$3,0,0,'Données projet'!$E$9+1,1))</f>
        <v>221.7429870520005</v>
      </c>
      <c r="T49" s="59">
        <f t="shared" si="34"/>
        <v>182.2029938397186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6.8260073260073284</v>
      </c>
      <c r="AI49" s="13">
        <f>IF('Données projet'!$A$62&gt;35,AI48+AH49-AQ48,IF(A49&lt;'Données projet'!$A$62,$AF$205^A49,IF(A49='Données projet'!$A$62,'Données projet'!$B$62,AI48+AH49-AQ48)))</f>
        <v>111.65842490842485</v>
      </c>
      <c r="AJ49" s="13">
        <f>AI49*VLOOKUP('Données projet'!$B$10,Paramètres!$A$1:$I$89,3,0)*VLOOKUP('Données projet'!$B$10,Paramètres!$A$1:$I$89,5,0)</f>
        <v>101.0285428571428</v>
      </c>
      <c r="AK49" s="13">
        <f t="shared" si="35"/>
        <v>27.206887577634099</v>
      </c>
      <c r="AL49" s="20">
        <f t="shared" si="4"/>
        <v>223.3433746739031</v>
      </c>
      <c r="AM49" s="59">
        <f t="shared" si="5"/>
        <v>516.67670800723636</v>
      </c>
      <c r="AN49" s="59">
        <f ca="1">AVERAGE(OFFSET($AM$3,0,0,'Données projet'!$E$10+1,1))-AVERAGE(OFFSET($H$3,0,0,'Données projet'!$E$10+1,1))</f>
        <v>153.45079678708987</v>
      </c>
      <c r="AO49" s="59">
        <f t="shared" si="36"/>
        <v>115.4217868409637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15.618681318681309</v>
      </c>
      <c r="BD49" s="12">
        <f>IF('Données projet'!$A$88&gt;35,BD48+BC49-BL48,IF(A49&lt;'Données projet'!$A$88,$BA$205^A49,IF(A49='Données projet'!$A$88,'Données projet'!$B$88,BD48+BC49-BL48)))</f>
        <v>292.99780219780229</v>
      </c>
      <c r="BE49" s="13">
        <f>BD49*VLOOKUP('Données projet'!$B$11,Paramètres!$A$1:$I$89,3,0)*VLOOKUP('Données projet'!$B$11,Paramètres!$A$1:$I$89,5,0)</f>
        <v>137.12297142857147</v>
      </c>
      <c r="BF49" s="13">
        <f t="shared" si="37"/>
        <v>35.63712427284996</v>
      </c>
      <c r="BG49" s="20">
        <f t="shared" si="7"/>
        <v>300.89050001330901</v>
      </c>
      <c r="BH49" s="59">
        <f t="shared" si="8"/>
        <v>594.22383334664232</v>
      </c>
      <c r="BI49" s="59">
        <f ca="1">AVERAGE(OFFSET($BH$3,0,0,'Données projet'!$E$11+1,1))-AVERAGE(OFFSET($H$3,0,0,'Données projet'!$E$11+1,1))</f>
        <v>158.58786357608489</v>
      </c>
      <c r="BJ49" s="59">
        <f t="shared" si="38"/>
        <v>163.20074068819849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12.4</v>
      </c>
      <c r="BY49" s="12">
        <f>IF('Données projet'!$A$114&gt;35,BY48+BX49-CG48,IF(A49&lt;'Données projet'!$A$114,$BV$205^A49,IF(A49='Données projet'!$A$114,'Données projet'!$B$114,BY48+BX49-CG48)))</f>
        <v>322.39999999999998</v>
      </c>
      <c r="BZ49" s="13">
        <f>BY49*VLOOKUP('Données projet'!$B$12,Paramètres!$A$1:$I$89,3,0)*VLOOKUP('Données projet'!$B$12,Paramètres!$A$1:$I$89,5,0)</f>
        <v>201.17759999999998</v>
      </c>
      <c r="CA49" s="13">
        <f t="shared" si="39"/>
        <v>50.002880070410733</v>
      </c>
      <c r="CB49" s="20">
        <f t="shared" si="10"/>
        <v>437.47266945596533</v>
      </c>
      <c r="CC49" s="59">
        <f t="shared" si="11"/>
        <v>730.80600278929865</v>
      </c>
      <c r="CD49" s="59">
        <f ca="1">AVERAGE(OFFSET($CC$3,0,0,'Données projet'!$E$12+1,1))-AVERAGE(OFFSET($H$3,0,0,'Données projet'!$E$12+1,1))</f>
        <v>255.41017495879987</v>
      </c>
      <c r="CE49" s="59">
        <f t="shared" si="40"/>
        <v>297.50513563712764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6.0779869871126149</v>
      </c>
      <c r="CL49" s="21">
        <f>EXP(-LN(2)/25)*CL48+(1-EXP(-LN(2)/25))/(LN(2)/25)*Calculateur!CG49*Calculateur!CI49*VLOOKUP('Données projet'!$B$12,Paramètres!$A$1:$I$89,3,0)*0.475*44/12</f>
        <v>17.884454990242855</v>
      </c>
      <c r="CM49" s="21">
        <f>EXP(-LN(2)/2)*CM48+(1-EXP(-LN(2)/2))/(LN(2)/2)*CG49*CJ49*VLOOKUP('Données projet'!$B$12,Paramètres!$A$1:$I$89,3,0)*0.475*44/12</f>
        <v>9.5317152878562031E-2</v>
      </c>
      <c r="CN49" s="22">
        <f t="shared" si="12"/>
        <v>24.057759130234029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8.3442307692307658</v>
      </c>
      <c r="CT49" s="12">
        <f>IF('Données projet'!$A$140&gt;35,CT48+CS49-DB48,IF(A49&lt;'Données projet'!$A$140,$CQ$205^A49,IF(A49='Données projet'!$A$140,'Données projet'!$B$140,CT48+CS49-DB48)))</f>
        <v>198.89615384615377</v>
      </c>
      <c r="CU49" s="17">
        <f>CT49*VLOOKUP('Données projet'!$B$13,Paramètres!$A$1:$I$89,3,0)*VLOOKUP('Données projet'!$B$13,Paramètres!$A$1:$I$89,5,0)</f>
        <v>113.76859999999995</v>
      </c>
      <c r="CV49" s="13">
        <f t="shared" si="41"/>
        <v>30.217147862460379</v>
      </c>
      <c r="CW49" s="20">
        <f t="shared" si="13"/>
        <v>250.77517752711836</v>
      </c>
      <c r="CX49" s="59">
        <f t="shared" si="14"/>
        <v>544.1085108604517</v>
      </c>
      <c r="CY49" s="59">
        <f ca="1">AVERAGE(OFFSET($CX$3,0,0,'Données projet'!$E$13+1,1))-AVERAGE(OFFSET($H$3,0,0,'Données projet'!$E$13+1,1))</f>
        <v>134.70214882504786</v>
      </c>
      <c r="CZ49" s="59">
        <f t="shared" si="42"/>
        <v>102.18553029667771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0.77431677136652066</v>
      </c>
      <c r="DG49" s="21">
        <f>EXP(-LN(2)/25)*DG48+(1-EXP(-LN(2)/25))/(LN(2)/25)*Calculateur!DB49*Calculateur!DD49*VLOOKUP('Données projet'!$B$13,Paramètres!$A$1:$I$89,3,0)*0.475*44/12</f>
        <v>8.0532715669123487</v>
      </c>
      <c r="DH49" s="21">
        <f>EXP(-LN(2)/2)*DH48+(1-EXP(-LN(2)/2))/(LN(2)/2)*DB49*DE49*VLOOKUP('Données projet'!$B$13,Paramètres!$A$1:$I$89,3,0)*0.475*44/12</f>
        <v>3.0101157894615271E-2</v>
      </c>
      <c r="DI49" s="22">
        <f t="shared" si="15"/>
        <v>8.8576894961734833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11.861538461538462</v>
      </c>
      <c r="DO49" s="12">
        <f>IF('Données projet'!$A$166&gt;35,DO48+DN49-DW48,IF(A49&lt;'Données projet'!$A$166,$DL$205^A49,IF(A49='Données projet'!$A$166,'Données projet'!$B$166,DO48+DN49-DW48)))</f>
        <v>243.63846153846154</v>
      </c>
      <c r="DP49" s="17">
        <f>DO49*VLOOKUP('Données projet'!$B$14,Paramètres!$A$1:$I$89,3,0)*VLOOKUP('Données projet'!$B$14,Paramètres!$A$1:$I$89,5,0)</f>
        <v>145.69580000000002</v>
      </c>
      <c r="DQ49" s="13">
        <f t="shared" si="43"/>
        <v>37.598789481990465</v>
      </c>
      <c r="DR49" s="20">
        <f t="shared" si="16"/>
        <v>319.23807668113341</v>
      </c>
      <c r="DS49" s="59">
        <f t="shared" si="17"/>
        <v>612.57141001446666</v>
      </c>
      <c r="DT49" s="59">
        <f ca="1">AVERAGE(OFFSET($DS$3,0,0,'Données projet'!$E$14+1,1))-AVERAGE(OFFSET($H$3,0,0,'Données projet'!$E$14+1,1))</f>
        <v>179.32848817523677</v>
      </c>
      <c r="DU49" s="59">
        <f t="shared" si="44"/>
        <v>131.3292389103035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8.4578270317744639</v>
      </c>
      <c r="EC49" s="21">
        <f>EXP(-LN(2)/2)*EC48+(1-EXP(-LN(2)/2))/(LN(2)/2)*DW49*DZ49*VLOOKUP('Données projet'!$B$14,Paramètres!$A$1:$I$89,3,0)*0.475*44/12</f>
        <v>2.0558083504864984E-2</v>
      </c>
      <c r="ED49" s="22">
        <f t="shared" si="18"/>
        <v>8.4783851152793286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21.625641025641027</v>
      </c>
      <c r="EJ49" s="12">
        <f>IF('Données projet'!$A$192&gt;35,EJ48+EI49-ER48,IF(A49&lt;'Données projet'!$A$192,$EG$205^A49,IF(A49='Données projet'!$A$192,'Données projet'!$B$192,EJ48+EI49-ER48)))</f>
        <v>481.83333333333314</v>
      </c>
      <c r="EK49" s="17">
        <f>EJ49*VLOOKUP('Données projet'!$B$15,Paramètres!$A$1:$I$89,3,0)*VLOOKUP('Données projet'!$B$15,Paramètres!$A$1:$I$89,5,0)</f>
        <v>212.97033333333326</v>
      </c>
      <c r="EL49" s="13">
        <f t="shared" si="45"/>
        <v>52.584146718487979</v>
      </c>
      <c r="EM49" s="20">
        <f t="shared" si="19"/>
        <v>462.50738609025535</v>
      </c>
      <c r="EN49" s="59">
        <f t="shared" si="20"/>
        <v>755.84071942358867</v>
      </c>
      <c r="EO49" s="59">
        <f ca="1">AVERAGE(OFFSET($EN$3,0,0,'Données projet'!$E$15+1,1))-AVERAGE(OFFSET($H$3,0,0,'Données projet'!$E$15+1,1))</f>
        <v>191.932060106699</v>
      </c>
      <c r="EP49" s="59">
        <f t="shared" si="46"/>
        <v>260.28593152736903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1.7797580643342583</v>
      </c>
      <c r="EW49" s="21">
        <f>EXP(-LN(2)/25)*EW48+(1-EXP(-LN(2)/25))/(LN(2)/25)*Calculateur!ER49*Calculateur!ET49*VLOOKUP('Données projet'!$B$15,Paramètres!$A$1:$I$89,3,0)*0.475*44/12</f>
        <v>8.0982504254235561</v>
      </c>
      <c r="EX49" s="21">
        <f>EXP(-LN(2)/2)*EX48+(1-EXP(-LN(2)/2))/(LN(2)/2)*ER49*EU49*VLOOKUP('Données projet'!$B$15,Paramètres!$A$1:$I$89,3,0)*0.475*44/12</f>
        <v>5.228031495406826E-3</v>
      </c>
      <c r="EY49" s="22">
        <f t="shared" si="21"/>
        <v>9.8832365212532203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3.8</v>
      </c>
      <c r="FE49" s="12">
        <f>IF('Données projet'!$A$218&gt;35,FE48+FD49-FM48,IF(A49&lt;'Données projet'!$A$218,$FB$205^A49,IF(A49='Données projet'!$A$218,'Données projet'!$B$218,FE48+FD49-FM48)))</f>
        <v>88.79999999999994</v>
      </c>
      <c r="FF49" s="17">
        <f>FE49*VLOOKUP('Données projet'!$B$16,Paramètres!$A$1:$I$89,3,0)*VLOOKUP('Données projet'!$B$16,Paramètres!$A$1:$I$89,5,0)</f>
        <v>85.887359999999944</v>
      </c>
      <c r="FG49" s="13">
        <f t="shared" si="47"/>
        <v>23.570671399684908</v>
      </c>
      <c r="FH49" s="20">
        <f t="shared" si="22"/>
        <v>190.63940468778446</v>
      </c>
      <c r="FI49" s="59">
        <f t="shared" si="23"/>
        <v>483.97273802111778</v>
      </c>
      <c r="FJ49" s="59">
        <f ca="1">AVERAGE(OFFSET($FI$3,0,0,'Données projet'!$E$16+1,1))-AVERAGE(OFFSET($H$3,0,0,'Données projet'!$E$16+1,1))</f>
        <v>102.86738524979938</v>
      </c>
      <c r="FK49" s="59">
        <f t="shared" si="48"/>
        <v>56.347130462109817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0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0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8.8000000000000007</v>
      </c>
      <c r="FZ49" s="12">
        <f>IF('Données projet'!$A$244&gt;35,FZ48+FY49-GH48,IF(A49&lt;'Données projet'!$A$244,$FW$205^A49,IF(A49='Données projet'!$A$244,'Données projet'!$B$244,FZ48+FY49-GH48)))</f>
        <v>184.80000000000007</v>
      </c>
      <c r="GA49" s="17">
        <f>FZ49*VLOOKUP('Données projet'!$B$17,Paramètres!$A$1:$I$89,3,0)*VLOOKUP('Données projet'!$B$17,Paramètres!$A$1:$I$89,5,0)</f>
        <v>123.96384000000005</v>
      </c>
      <c r="GB49" s="13">
        <f t="shared" si="49"/>
        <v>32.597744036056866</v>
      </c>
      <c r="GC49" s="20">
        <f t="shared" si="25"/>
        <v>272.67809219613241</v>
      </c>
      <c r="GD49" s="59">
        <f t="shared" si="26"/>
        <v>566.01142552946567</v>
      </c>
      <c r="GE49" s="59">
        <f ca="1">AVERAGE(OFFSET($GD$3,0,0,'Données projet'!$E$17+1,1))-AVERAGE(OFFSET($H$3,0,0,'Données projet'!$E$17+1,1))</f>
        <v>168.00454652899231</v>
      </c>
      <c r="GF49" s="59">
        <f t="shared" si="50"/>
        <v>135.31958994080446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0</v>
      </c>
      <c r="GM49" s="21">
        <f>EXP(-LN(2)/25)*GM48+(1-EXP(-LN(2)/25))/(LN(2)/25)*Calculateur!GH49*Calculateur!GJ49*VLOOKUP('Données projet'!$B$17,Paramètres!$A$1:$I$89,3,0)*0.475*44/12</f>
        <v>0</v>
      </c>
      <c r="GN49" s="21">
        <f>EXP(-LN(2)/2)*GN48+(1-EXP(-LN(2)/2))/(LN(2)/2)*GH49*GK49*VLOOKUP('Données projet'!$B$17,Paramètres!$A$1:$I$89,3,0)*0.475*44/12</f>
        <v>0</v>
      </c>
      <c r="GO49" s="21">
        <f t="shared" si="27"/>
        <v>0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9.3452380952380913</v>
      </c>
      <c r="N50" s="13">
        <f>IF('Données projet'!$A$36&gt;35,N49+M50-V49,IF(A50&lt;'Données projet'!$A$36,$K$205^A50,IF(A50='Données projet'!$A$36,'Données projet'!$B$36,N49+M50-V49)))</f>
        <v>175.00732600732604</v>
      </c>
      <c r="O50" s="13">
        <f>N50*VLOOKUP('Données projet'!$B$9,Paramètres!$A$1:$I$89,3,0)*VLOOKUP('Données projet'!$B$9,Paramètres!$A$1:$I$89,5,0)</f>
        <v>158.3466285714286</v>
      </c>
      <c r="P50" s="13">
        <f t="shared" si="33"/>
        <v>40.469367717876509</v>
      </c>
      <c r="Q50" s="20">
        <f t="shared" si="53"/>
        <v>346.27119353720633</v>
      </c>
      <c r="R50" s="59">
        <f t="shared" si="0"/>
        <v>639.60452687053964</v>
      </c>
      <c r="S50" s="59">
        <f ca="1">AVERAGE(OFFSET($R$3,0,0,'Données projet'!$E$9+1,1))-AVERAGE(OFFSET($H$3,0,0,'Données projet'!$E$9+1,1))</f>
        <v>221.7429870520005</v>
      </c>
      <c r="T50" s="59">
        <f t="shared" si="34"/>
        <v>182.2029938397186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6.8260073260073284</v>
      </c>
      <c r="AI50" s="13">
        <f>IF('Données projet'!$A$62&gt;35,AI49+AH50-AQ49,IF(A50&lt;'Données projet'!$A$62,$AF$205^A50,IF(A50='Données projet'!$A$62,'Données projet'!$B$62,AI49+AH50-AQ49)))</f>
        <v>118.48443223443218</v>
      </c>
      <c r="AJ50" s="13">
        <f>AI50*VLOOKUP('Données projet'!$B$10,Paramètres!$A$1:$I$89,3,0)*VLOOKUP('Données projet'!$B$10,Paramètres!$A$1:$I$89,5,0)</f>
        <v>107.20471428571423</v>
      </c>
      <c r="AK50" s="13">
        <f t="shared" si="35"/>
        <v>28.671410088969473</v>
      </c>
      <c r="AL50" s="20">
        <f t="shared" si="4"/>
        <v>236.65091661924077</v>
      </c>
      <c r="AM50" s="59">
        <f t="shared" si="5"/>
        <v>529.98424995257415</v>
      </c>
      <c r="AN50" s="59">
        <f ca="1">AVERAGE(OFFSET($AM$3,0,0,'Données projet'!$E$10+1,1))-AVERAGE(OFFSET($H$3,0,0,'Données projet'!$E$10+1,1))</f>
        <v>153.45079678708987</v>
      </c>
      <c r="AO50" s="59">
        <f t="shared" si="36"/>
        <v>115.4217868409637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15.618681318681309</v>
      </c>
      <c r="BD50" s="12">
        <f>IF('Données projet'!$A$88&gt;35,BD49+BC50-BL49,IF(A50&lt;'Données projet'!$A$88,$BA$205^A50,IF(A50='Données projet'!$A$88,'Données projet'!$B$88,BD49+BC50-BL49)))</f>
        <v>308.61648351648358</v>
      </c>
      <c r="BE50" s="13">
        <f>BD50*VLOOKUP('Données projet'!$B$11,Paramètres!$A$1:$I$89,3,0)*VLOOKUP('Données projet'!$B$11,Paramètres!$A$1:$I$89,5,0)</f>
        <v>144.43251428571432</v>
      </c>
      <c r="BF50" s="13">
        <f t="shared" si="37"/>
        <v>37.310582871696397</v>
      </c>
      <c r="BG50" s="20">
        <f t="shared" si="7"/>
        <v>316.5358942158237</v>
      </c>
      <c r="BH50" s="59">
        <f t="shared" si="8"/>
        <v>609.86922754915702</v>
      </c>
      <c r="BI50" s="59">
        <f ca="1">AVERAGE(OFFSET($BH$3,0,0,'Données projet'!$E$11+1,1))-AVERAGE(OFFSET($H$3,0,0,'Données projet'!$E$11+1,1))</f>
        <v>158.58786357608489</v>
      </c>
      <c r="BJ50" s="59">
        <f t="shared" si="38"/>
        <v>163.20074068819849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12.4</v>
      </c>
      <c r="BY50" s="12">
        <f>IF('Données projet'!$A$114&gt;35,BY49+BX50-CG49,IF(A50&lt;'Données projet'!$A$114,$BV$205^A50,IF(A50='Données projet'!$A$114,'Données projet'!$B$114,BY49+BX50-CG49)))</f>
        <v>334.79999999999995</v>
      </c>
      <c r="BZ50" s="13">
        <f>BY50*VLOOKUP('Données projet'!$B$12,Paramètres!$A$1:$I$89,3,0)*VLOOKUP('Données projet'!$B$12,Paramètres!$A$1:$I$89,5,0)</f>
        <v>208.91519999999997</v>
      </c>
      <c r="CA50" s="13">
        <f t="shared" si="39"/>
        <v>51.698458198123326</v>
      </c>
      <c r="CB50" s="20">
        <f t="shared" si="10"/>
        <v>453.90212136173136</v>
      </c>
      <c r="CC50" s="59">
        <f t="shared" si="11"/>
        <v>747.23545469506462</v>
      </c>
      <c r="CD50" s="59">
        <f ca="1">AVERAGE(OFFSET($CC$3,0,0,'Données projet'!$E$12+1,1))-AVERAGE(OFFSET($H$3,0,0,'Données projet'!$E$12+1,1))</f>
        <v>255.41017495879987</v>
      </c>
      <c r="CE50" s="59">
        <f t="shared" si="40"/>
        <v>297.50513563712764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5.9588013695013426</v>
      </c>
      <c r="CL50" s="21">
        <f>EXP(-LN(2)/25)*CL49+(1-EXP(-LN(2)/25))/(LN(2)/25)*Calculateur!CG50*Calculateur!CI50*VLOOKUP('Données projet'!$B$12,Paramètres!$A$1:$I$89,3,0)*0.475*44/12</f>
        <v>17.395403628032053</v>
      </c>
      <c r="CM50" s="21">
        <f>EXP(-LN(2)/2)*CM49+(1-EXP(-LN(2)/2))/(LN(2)/2)*CG50*CJ50*VLOOKUP('Données projet'!$B$12,Paramètres!$A$1:$I$89,3,0)*0.475*44/12</f>
        <v>6.7399405163826059E-2</v>
      </c>
      <c r="CN50" s="22">
        <f t="shared" si="12"/>
        <v>23.42160440269722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8.3442307692307658</v>
      </c>
      <c r="CT50" s="12">
        <f>IF('Données projet'!$A$140&gt;35,CT49+CS50-DB49,IF(A50&lt;'Données projet'!$A$140,$CQ$205^A50,IF(A50='Données projet'!$A$140,'Données projet'!$B$140,CT49+CS50-DB49)))</f>
        <v>207.24038461538453</v>
      </c>
      <c r="CU50" s="17">
        <f>CT50*VLOOKUP('Données projet'!$B$13,Paramètres!$A$1:$I$89,3,0)*VLOOKUP('Données projet'!$B$13,Paramètres!$A$1:$I$89,5,0)</f>
        <v>118.54149999999996</v>
      </c>
      <c r="CV50" s="13">
        <f t="shared" si="41"/>
        <v>31.334586397273966</v>
      </c>
      <c r="CW50" s="20">
        <f t="shared" si="13"/>
        <v>261.0341838085854</v>
      </c>
      <c r="CX50" s="59">
        <f t="shared" si="14"/>
        <v>554.36751714191871</v>
      </c>
      <c r="CY50" s="59">
        <f ca="1">AVERAGE(OFFSET($CX$3,0,0,'Données projet'!$E$13+1,1))-AVERAGE(OFFSET($H$3,0,0,'Données projet'!$E$13+1,1))</f>
        <v>134.70214882504786</v>
      </c>
      <c r="CZ50" s="59">
        <f t="shared" si="42"/>
        <v>102.18553029667771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0.75913289176661924</v>
      </c>
      <c r="DG50" s="21">
        <f>EXP(-LN(2)/25)*DG49+(1-EXP(-LN(2)/25))/(LN(2)/25)*Calculateur!DB50*Calculateur!DD50*VLOOKUP('Données projet'!$B$13,Paramètres!$A$1:$I$89,3,0)*0.475*44/12</f>
        <v>7.8330544324119851</v>
      </c>
      <c r="DH50" s="21">
        <f>EXP(-LN(2)/2)*DH49+(1-EXP(-LN(2)/2))/(LN(2)/2)*DB50*DE50*VLOOKUP('Données projet'!$B$13,Paramètres!$A$1:$I$89,3,0)*0.475*44/12</f>
        <v>2.1284732868849437E-2</v>
      </c>
      <c r="DI50" s="22">
        <f t="shared" si="15"/>
        <v>8.6134720570474546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11.861538461538462</v>
      </c>
      <c r="DO50" s="12">
        <f>IF('Données projet'!$A$166&gt;35,DO49+DN50-DW49,IF(A50&lt;'Données projet'!$A$166,$DL$205^A50,IF(A50='Données projet'!$A$166,'Données projet'!$B$166,DO49+DN50-DW49)))</f>
        <v>255.5</v>
      </c>
      <c r="DP50" s="17">
        <f>DO50*VLOOKUP('Données projet'!$B$14,Paramètres!$A$1:$I$89,3,0)*VLOOKUP('Données projet'!$B$14,Paramètres!$A$1:$I$89,5,0)</f>
        <v>152.78900000000002</v>
      </c>
      <c r="DQ50" s="13">
        <f t="shared" si="43"/>
        <v>39.211714711932316</v>
      </c>
      <c r="DR50" s="20">
        <f t="shared" si="16"/>
        <v>334.40124478994881</v>
      </c>
      <c r="DS50" s="59">
        <f t="shared" si="17"/>
        <v>627.73457812328206</v>
      </c>
      <c r="DT50" s="59">
        <f ca="1">AVERAGE(OFFSET($DS$3,0,0,'Données projet'!$E$14+1,1))-AVERAGE(OFFSET($H$3,0,0,'Données projet'!$E$14+1,1))</f>
        <v>179.32848817523677</v>
      </c>
      <c r="DU50" s="59">
        <f t="shared" si="44"/>
        <v>131.3292389103035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8.2265473068127974</v>
      </c>
      <c r="EC50" s="21">
        <f>EXP(-LN(2)/2)*EC49+(1-EXP(-LN(2)/2))/(LN(2)/2)*DW50*DZ50*VLOOKUP('Données projet'!$B$14,Paramètres!$A$1:$I$89,3,0)*0.475*44/12</f>
        <v>1.4536760254489337E-2</v>
      </c>
      <c r="ED50" s="22">
        <f t="shared" si="18"/>
        <v>8.2410840670672876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21.625641025641027</v>
      </c>
      <c r="EJ50" s="12">
        <f>IF('Données projet'!$A$192&gt;35,EJ49+EI50-ER49,IF(A50&lt;'Données projet'!$A$192,$EG$205^A50,IF(A50='Données projet'!$A$192,'Données projet'!$B$192,EJ49+EI50-ER49)))</f>
        <v>503.45897435897416</v>
      </c>
      <c r="EK50" s="17">
        <f>EJ50*VLOOKUP('Données projet'!$B$15,Paramètres!$A$1:$I$89,3,0)*VLOOKUP('Données projet'!$B$15,Paramètres!$A$1:$I$89,5,0)</f>
        <v>222.5288666666666</v>
      </c>
      <c r="EL50" s="13">
        <f t="shared" si="45"/>
        <v>54.664156252332347</v>
      </c>
      <c r="EM50" s="20">
        <f t="shared" si="19"/>
        <v>482.77784825058984</v>
      </c>
      <c r="EN50" s="59">
        <f t="shared" si="20"/>
        <v>776.1111815839231</v>
      </c>
      <c r="EO50" s="59">
        <f ca="1">AVERAGE(OFFSET($EN$3,0,0,'Données projet'!$E$15+1,1))-AVERAGE(OFFSET($H$3,0,0,'Données projet'!$E$15+1,1))</f>
        <v>191.932060106699</v>
      </c>
      <c r="EP50" s="59">
        <f t="shared" si="46"/>
        <v>260.28593152736903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1.7448580942378942</v>
      </c>
      <c r="EW50" s="21">
        <f>EXP(-LN(2)/25)*EW49+(1-EXP(-LN(2)/25))/(LN(2)/25)*Calculateur!ER50*Calculateur!ET50*VLOOKUP('Données projet'!$B$15,Paramètres!$A$1:$I$89,3,0)*0.475*44/12</f>
        <v>7.8768033416718675</v>
      </c>
      <c r="EX50" s="21">
        <f>EXP(-LN(2)/2)*EX49+(1-EXP(-LN(2)/2))/(LN(2)/2)*ER50*EU50*VLOOKUP('Données projet'!$B$15,Paramètres!$A$1:$I$89,3,0)*0.475*44/12</f>
        <v>3.6967765226590134E-3</v>
      </c>
      <c r="EY50" s="22">
        <f t="shared" si="21"/>
        <v>9.6253582124324204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3.8</v>
      </c>
      <c r="FE50" s="12">
        <f>IF('Données projet'!$A$218&gt;35,FE49+FD50-FM49,IF(A50&lt;'Données projet'!$A$218,$FB$205^A50,IF(A50='Données projet'!$A$218,'Données projet'!$B$218,FE49+FD50-FM49)))</f>
        <v>92.599999999999937</v>
      </c>
      <c r="FF50" s="17">
        <f>FE50*VLOOKUP('Données projet'!$B$16,Paramètres!$A$1:$I$89,3,0)*VLOOKUP('Données projet'!$B$16,Paramètres!$A$1:$I$89,5,0)</f>
        <v>89.562719999999942</v>
      </c>
      <c r="FG50" s="13">
        <f t="shared" si="47"/>
        <v>24.459733711744516</v>
      </c>
      <c r="FH50" s="20">
        <f t="shared" si="22"/>
        <v>198.58910688128825</v>
      </c>
      <c r="FI50" s="59">
        <f t="shared" si="23"/>
        <v>491.92244021462159</v>
      </c>
      <c r="FJ50" s="59">
        <f ca="1">AVERAGE(OFFSET($FI$3,0,0,'Données projet'!$E$16+1,1))-AVERAGE(OFFSET($H$3,0,0,'Données projet'!$E$16+1,1))</f>
        <v>102.86738524979938</v>
      </c>
      <c r="FK50" s="59">
        <f t="shared" si="48"/>
        <v>56.347130462109817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0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0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8.8000000000000007</v>
      </c>
      <c r="FZ50" s="12">
        <f>IF('Données projet'!$A$244&gt;35,FZ49+FY50-GH49,IF(A50&lt;'Données projet'!$A$244,$FW$205^A50,IF(A50='Données projet'!$A$244,'Données projet'!$B$244,FZ49+FY50-GH49)))</f>
        <v>193.60000000000008</v>
      </c>
      <c r="GA50" s="17">
        <f>FZ50*VLOOKUP('Données projet'!$B$17,Paramètres!$A$1:$I$89,3,0)*VLOOKUP('Données projet'!$B$17,Paramètres!$A$1:$I$89,5,0)</f>
        <v>129.86688000000007</v>
      </c>
      <c r="GB50" s="13">
        <f t="shared" si="49"/>
        <v>33.965597374945304</v>
      </c>
      <c r="GC50" s="20">
        <f t="shared" si="25"/>
        <v>285.34156476136314</v>
      </c>
      <c r="GD50" s="59">
        <f t="shared" si="26"/>
        <v>578.67489809469646</v>
      </c>
      <c r="GE50" s="59">
        <f ca="1">AVERAGE(OFFSET($GD$3,0,0,'Données projet'!$E$17+1,1))-AVERAGE(OFFSET($H$3,0,0,'Données projet'!$E$17+1,1))</f>
        <v>168.00454652899231</v>
      </c>
      <c r="GF50" s="59">
        <f t="shared" si="50"/>
        <v>135.31958994080446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0</v>
      </c>
      <c r="GM50" s="21">
        <f>EXP(-LN(2)/25)*GM49+(1-EXP(-LN(2)/25))/(LN(2)/25)*Calculateur!GH50*Calculateur!GJ50*VLOOKUP('Données projet'!$B$17,Paramètres!$A$1:$I$89,3,0)*0.475*44/12</f>
        <v>0</v>
      </c>
      <c r="GN50" s="21">
        <f>EXP(-LN(2)/2)*GN49+(1-EXP(-LN(2)/2))/(LN(2)/2)*GH50*GK50*VLOOKUP('Données projet'!$B$17,Paramètres!$A$1:$I$89,3,0)*0.475*44/12</f>
        <v>0</v>
      </c>
      <c r="GO50" s="21">
        <f t="shared" si="27"/>
        <v>0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184.35256410256409</v>
      </c>
      <c r="L51" s="12">
        <f>VLOOKUP(A51,'Données projet'!$A$35:$I$55,9,0)</f>
        <v>9.3452380952380913</v>
      </c>
      <c r="M51" s="12">
        <f t="array" ref="M51">INDEX(L:L,MIN(IF(ISNUMBER(L51:L247),ROW(L51:L247),"")))</f>
        <v>9.3452380952380913</v>
      </c>
      <c r="N51" s="13">
        <f>IF('Données projet'!$A$36&gt;35,N50+M51-V50,IF(A51&lt;'Données projet'!$A$36,$K$205^A51,IF(A51='Données projet'!$A$36,'Données projet'!$B$36,N50+M51-V50)))</f>
        <v>184.35256410256414</v>
      </c>
      <c r="O51" s="13">
        <f>N51*VLOOKUP('Données projet'!$B$9,Paramètres!$A$1:$I$89,3,0)*VLOOKUP('Données projet'!$B$9,Paramètres!$A$1:$I$89,5,0)</f>
        <v>166.80220000000003</v>
      </c>
      <c r="P51" s="13">
        <f t="shared" si="33"/>
        <v>42.373033138688463</v>
      </c>
      <c r="Q51" s="20">
        <f t="shared" si="53"/>
        <v>364.31353104988244</v>
      </c>
      <c r="R51" s="59">
        <f t="shared" si="0"/>
        <v>657.64686438321576</v>
      </c>
      <c r="S51" s="59">
        <f ca="1">AVERAGE(OFFSET($R$3,0,0,'Données projet'!$E$9+1,1))-AVERAGE(OFFSET($H$3,0,0,'Données projet'!$E$9+1,1))</f>
        <v>221.7429870520005</v>
      </c>
      <c r="T51" s="59">
        <f t="shared" si="34"/>
        <v>182.2029938397186</v>
      </c>
      <c r="U51" s="15">
        <f>IF(ISNA(VLOOKUP(A51,'Données projet'!$A$35:$I$55,3,0)),0,VLOOKUP(A51,'Données projet'!$A$35:$I$55,3,0))</f>
        <v>3</v>
      </c>
      <c r="V51" s="15">
        <f>IF(ISNA(VLOOKUP(A51,'Données projet'!$A$35:$I$55,4,0)),0,VLOOKUP(A51,'Données projet'!$A$35:$I$55,4,0))</f>
        <v>48.025641025641022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6.8260073260073284</v>
      </c>
      <c r="AI51" s="13">
        <f>IF('Données projet'!$A$62&gt;35,AI50+AH51-AQ50,IF(A51&lt;'Données projet'!$A$62,$AF$205^A51,IF(A51='Données projet'!$A$62,'Données projet'!$B$62,AI50+AH51-AQ50)))</f>
        <v>125.31043956043951</v>
      </c>
      <c r="AJ51" s="13">
        <f>AI51*VLOOKUP('Données projet'!$B$10,Paramètres!$A$1:$I$89,3,0)*VLOOKUP('Données projet'!$B$10,Paramètres!$A$1:$I$89,5,0)</f>
        <v>113.38088571428565</v>
      </c>
      <c r="AK51" s="13">
        <f t="shared" si="35"/>
        <v>30.126138765380961</v>
      </c>
      <c r="AL51" s="20">
        <f t="shared" si="4"/>
        <v>249.94140096875267</v>
      </c>
      <c r="AM51" s="59">
        <f t="shared" si="5"/>
        <v>543.27473430208602</v>
      </c>
      <c r="AN51" s="59">
        <f ca="1">AVERAGE(OFFSET($AM$3,0,0,'Données projet'!$E$10+1,1))-AVERAGE(OFFSET($H$3,0,0,'Données projet'!$E$10+1,1))</f>
        <v>153.45079678708987</v>
      </c>
      <c r="AO51" s="59">
        <f t="shared" si="36"/>
        <v>115.4217868409637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15.618681318681309</v>
      </c>
      <c r="BD51" s="12">
        <f>IF('Données projet'!$A$88&gt;35,BD50+BC51-BL50,IF(A51&lt;'Données projet'!$A$88,$BA$205^A51,IF(A51='Données projet'!$A$88,'Données projet'!$B$88,BD50+BC51-BL50)))</f>
        <v>324.23516483516488</v>
      </c>
      <c r="BE51" s="13">
        <f>BD51*VLOOKUP('Données projet'!$B$11,Paramètres!$A$1:$I$89,3,0)*VLOOKUP('Données projet'!$B$11,Paramètres!$A$1:$I$89,5,0)</f>
        <v>151.74205714285716</v>
      </c>
      <c r="BF51" s="13">
        <f t="shared" si="37"/>
        <v>38.974207918733512</v>
      </c>
      <c r="BG51" s="20">
        <f t="shared" si="7"/>
        <v>332.16416164893707</v>
      </c>
      <c r="BH51" s="59">
        <f t="shared" si="8"/>
        <v>625.49749498227038</v>
      </c>
      <c r="BI51" s="59">
        <f ca="1">AVERAGE(OFFSET($BH$3,0,0,'Données projet'!$E$11+1,1))-AVERAGE(OFFSET($H$3,0,0,'Données projet'!$E$11+1,1))</f>
        <v>158.58786357608489</v>
      </c>
      <c r="BJ51" s="59">
        <f t="shared" si="38"/>
        <v>163.20074068819849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12.4</v>
      </c>
      <c r="BY51" s="12">
        <f>IF('Données projet'!$A$114&gt;35,BY50+BX51-CG50,IF(A51&lt;'Données projet'!$A$114,$BV$205^A51,IF(A51='Données projet'!$A$114,'Données projet'!$B$114,BY50+BX51-CG50)))</f>
        <v>347.19999999999993</v>
      </c>
      <c r="BZ51" s="13">
        <f>BY51*VLOOKUP('Données projet'!$B$12,Paramètres!$A$1:$I$89,3,0)*VLOOKUP('Données projet'!$B$12,Paramètres!$A$1:$I$89,5,0)</f>
        <v>216.65279999999993</v>
      </c>
      <c r="CA51" s="13">
        <f t="shared" si="39"/>
        <v>53.38674047237982</v>
      </c>
      <c r="CB51" s="20">
        <f t="shared" si="10"/>
        <v>470.31886632272807</v>
      </c>
      <c r="CC51" s="59">
        <f t="shared" si="11"/>
        <v>763.65219965606138</v>
      </c>
      <c r="CD51" s="59">
        <f ca="1">AVERAGE(OFFSET($CC$3,0,0,'Données projet'!$E$12+1,1))-AVERAGE(OFFSET($H$3,0,0,'Données projet'!$E$12+1,1))</f>
        <v>255.41017495879987</v>
      </c>
      <c r="CE51" s="59">
        <f t="shared" si="40"/>
        <v>297.50513563712764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5.8419529091553786</v>
      </c>
      <c r="CL51" s="21">
        <f>EXP(-LN(2)/25)*CL50+(1-EXP(-LN(2)/25))/(LN(2)/25)*Calculateur!CG51*Calculateur!CI51*VLOOKUP('Données projet'!$B$12,Paramètres!$A$1:$I$89,3,0)*0.475*44/12</f>
        <v>16.919725401038999</v>
      </c>
      <c r="CM51" s="21">
        <f>EXP(-LN(2)/2)*CM50+(1-EXP(-LN(2)/2))/(LN(2)/2)*CG51*CJ51*VLOOKUP('Données projet'!$B$12,Paramètres!$A$1:$I$89,3,0)*0.475*44/12</f>
        <v>4.7658576439281015E-2</v>
      </c>
      <c r="CN51" s="22">
        <f t="shared" si="12"/>
        <v>22.809336886633659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8.3442307692307658</v>
      </c>
      <c r="CT51" s="12">
        <f>IF('Données projet'!$A$140&gt;35,CT50+CS51-DB50,IF(A51&lt;'Données projet'!$A$140,$CQ$205^A51,IF(A51='Données projet'!$A$140,'Données projet'!$B$140,CT50+CS51-DB50)))</f>
        <v>215.58461538461529</v>
      </c>
      <c r="CU51" s="17">
        <f>CT51*VLOOKUP('Données projet'!$B$13,Paramètres!$A$1:$I$89,3,0)*VLOOKUP('Données projet'!$B$13,Paramètres!$A$1:$I$89,5,0)</f>
        <v>123.31439999999995</v>
      </c>
      <c r="CV51" s="13">
        <f t="shared" si="41"/>
        <v>32.446798621830474</v>
      </c>
      <c r="CW51" s="20">
        <f t="shared" si="13"/>
        <v>271.28408759968801</v>
      </c>
      <c r="CX51" s="59">
        <f t="shared" si="14"/>
        <v>564.61742093302132</v>
      </c>
      <c r="CY51" s="59">
        <f ca="1">AVERAGE(OFFSET($CX$3,0,0,'Données projet'!$E$13+1,1))-AVERAGE(OFFSET($H$3,0,0,'Données projet'!$E$13+1,1))</f>
        <v>134.70214882504786</v>
      </c>
      <c r="CZ51" s="59">
        <f t="shared" si="42"/>
        <v>102.18553029667771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0.74424675878441982</v>
      </c>
      <c r="DG51" s="21">
        <f>EXP(-LN(2)/25)*DG50+(1-EXP(-LN(2)/25))/(LN(2)/25)*Calculateur!DB51*Calculateur!DD51*VLOOKUP('Données projet'!$B$13,Paramètres!$A$1:$I$89,3,0)*0.475*44/12</f>
        <v>7.6188591470352494</v>
      </c>
      <c r="DH51" s="21">
        <f>EXP(-LN(2)/2)*DH50+(1-EXP(-LN(2)/2))/(LN(2)/2)*DB51*DE51*VLOOKUP('Données projet'!$B$13,Paramètres!$A$1:$I$89,3,0)*0.475*44/12</f>
        <v>1.5050578947307635E-2</v>
      </c>
      <c r="DI51" s="22">
        <f t="shared" si="15"/>
        <v>8.3781564847669774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11.861538461538462</v>
      </c>
      <c r="DO51" s="12">
        <f>IF('Données projet'!$A$166&gt;35,DO50+DN51-DW50,IF(A51&lt;'Données projet'!$A$166,$DL$205^A51,IF(A51='Données projet'!$A$166,'Données projet'!$B$166,DO50+DN51-DW50)))</f>
        <v>267.36153846153849</v>
      </c>
      <c r="DP51" s="17">
        <f>DO51*VLOOKUP('Données projet'!$B$14,Paramètres!$A$1:$I$89,3,0)*VLOOKUP('Données projet'!$B$14,Paramètres!$A$1:$I$89,5,0)</f>
        <v>159.88220000000001</v>
      </c>
      <c r="DQ51" s="13">
        <f t="shared" si="43"/>
        <v>40.815944149041762</v>
      </c>
      <c r="DR51" s="20">
        <f t="shared" si="16"/>
        <v>349.54926772624776</v>
      </c>
      <c r="DS51" s="59">
        <f t="shared" si="17"/>
        <v>642.88260105958102</v>
      </c>
      <c r="DT51" s="59">
        <f ca="1">AVERAGE(OFFSET($DS$3,0,0,'Données projet'!$E$14+1,1))-AVERAGE(OFFSET($H$3,0,0,'Données projet'!$E$14+1,1))</f>
        <v>179.32848817523677</v>
      </c>
      <c r="DU51" s="59">
        <f t="shared" si="44"/>
        <v>131.3292389103035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8.0015919380926803</v>
      </c>
      <c r="EC51" s="21">
        <f>EXP(-LN(2)/2)*EC50+(1-EXP(-LN(2)/2))/(LN(2)/2)*DW51*DZ51*VLOOKUP('Données projet'!$B$14,Paramètres!$A$1:$I$89,3,0)*0.475*44/12</f>
        <v>1.0279041752432494E-2</v>
      </c>
      <c r="ED51" s="22">
        <f t="shared" si="18"/>
        <v>8.0118709798451135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>
        <f>VLOOKUP(A51,'Données projet'!$A$191:$I$211,2,0)</f>
        <v>525.0846153846154</v>
      </c>
      <c r="EH51" s="12">
        <f>VLOOKUP(A51,'Données projet'!$A$191:$I$211,9,0)</f>
        <v>21.625641025641027</v>
      </c>
      <c r="EI51" s="12">
        <f t="array" ref="EI51">INDEX(EH:EH,MIN(IF(ISNUMBER(EH51:EH247),ROW(EH51:EH247),"")))</f>
        <v>21.625641025641027</v>
      </c>
      <c r="EJ51" s="12">
        <f>IF('Données projet'!$A$192&gt;35,EJ50+EI51-ER50,IF(A51&lt;'Données projet'!$A$192,$EG$205^A51,IF(A51='Données projet'!$A$192,'Données projet'!$B$192,EJ50+EI51-ER50)))</f>
        <v>525.08461538461518</v>
      </c>
      <c r="EK51" s="17">
        <f>EJ51*VLOOKUP('Données projet'!$B$15,Paramètres!$A$1:$I$89,3,0)*VLOOKUP('Données projet'!$B$15,Paramètres!$A$1:$I$89,5,0)</f>
        <v>232.08739999999992</v>
      </c>
      <c r="EL51" s="13">
        <f t="shared" si="45"/>
        <v>56.733788614286766</v>
      </c>
      <c r="EM51" s="20">
        <f t="shared" si="19"/>
        <v>503.03023683654936</v>
      </c>
      <c r="EN51" s="59">
        <f t="shared" si="20"/>
        <v>796.36357016988268</v>
      </c>
      <c r="EO51" s="59">
        <f ca="1">AVERAGE(OFFSET($EN$3,0,0,'Données projet'!$E$15+1,1))-AVERAGE(OFFSET($H$3,0,0,'Données projet'!$E$15+1,1))</f>
        <v>191.932060106699</v>
      </c>
      <c r="EP51" s="59">
        <f t="shared" si="46"/>
        <v>260.28593152736903</v>
      </c>
      <c r="EQ51" s="15">
        <f>IF(ISNA(VLOOKUP(A51,'Données projet'!$A$191:$I$211,3,0)),0,VLOOKUP(A51,'Données projet'!$A$191:$I$211,3,0))</f>
        <v>6</v>
      </c>
      <c r="ER51" s="15">
        <f>IF(ISNA(VLOOKUP(A51,'Données projet'!$A$191:$I$211,4,0)),0,VLOOKUP(A51,'Données projet'!$A$191:$I$211,4,0))</f>
        <v>81.330769230769235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1.7106424912682399</v>
      </c>
      <c r="EW51" s="21">
        <f>EXP(-LN(2)/25)*EW50+(1-EXP(-LN(2)/25))/(LN(2)/25)*Calculateur!ER51*Calculateur!ET51*VLOOKUP('Données projet'!$B$15,Paramètres!$A$1:$I$89,3,0)*0.475*44/12</f>
        <v>7.6614117400707649</v>
      </c>
      <c r="EX51" s="21">
        <f>EXP(-LN(2)/2)*EX50+(1-EXP(-LN(2)/2))/(LN(2)/2)*ER51*EU51*VLOOKUP('Données projet'!$B$15,Paramètres!$A$1:$I$89,3,0)*0.475*44/12</f>
        <v>2.6140157477034134E-3</v>
      </c>
      <c r="EY51" s="22">
        <f t="shared" si="21"/>
        <v>9.3746682470867082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3.8</v>
      </c>
      <c r="FE51" s="12">
        <f>IF('Données projet'!$A$218&gt;35,FE50+FD51-FM50,IF(A51&lt;'Données projet'!$A$218,$FB$205^A51,IF(A51='Données projet'!$A$218,'Données projet'!$B$218,FE50+FD51-FM50)))</f>
        <v>96.399999999999935</v>
      </c>
      <c r="FF51" s="17">
        <f>FE51*VLOOKUP('Données projet'!$B$16,Paramètres!$A$1:$I$89,3,0)*VLOOKUP('Données projet'!$B$16,Paramètres!$A$1:$I$89,5,0)</f>
        <v>93.23807999999994</v>
      </c>
      <c r="FG51" s="13">
        <f t="shared" si="47"/>
        <v>25.344558133480131</v>
      </c>
      <c r="FH51" s="20">
        <f t="shared" si="22"/>
        <v>206.53142808247776</v>
      </c>
      <c r="FI51" s="59">
        <f t="shared" si="23"/>
        <v>499.86476141581107</v>
      </c>
      <c r="FJ51" s="59">
        <f ca="1">AVERAGE(OFFSET($FI$3,0,0,'Données projet'!$E$16+1,1))-AVERAGE(OFFSET($H$3,0,0,'Données projet'!$E$16+1,1))</f>
        <v>102.86738524979938</v>
      </c>
      <c r="FK51" s="59">
        <f t="shared" si="48"/>
        <v>56.347130462109817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0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0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8.8000000000000007</v>
      </c>
      <c r="FZ51" s="12">
        <f>IF('Données projet'!$A$244&gt;35,FZ50+FY51-GH50,IF(A51&lt;'Données projet'!$A$244,$FW$205^A51,IF(A51='Données projet'!$A$244,'Données projet'!$B$244,FZ50+FY51-GH50)))</f>
        <v>202.40000000000009</v>
      </c>
      <c r="GA51" s="17">
        <f>FZ51*VLOOKUP('Données projet'!$B$17,Paramètres!$A$1:$I$89,3,0)*VLOOKUP('Données projet'!$B$17,Paramètres!$A$1:$I$89,5,0)</f>
        <v>135.76992000000007</v>
      </c>
      <c r="GB51" s="13">
        <f t="shared" si="49"/>
        <v>35.326230012556898</v>
      </c>
      <c r="GC51" s="20">
        <f t="shared" si="25"/>
        <v>297.99246127187001</v>
      </c>
      <c r="GD51" s="59">
        <f t="shared" si="26"/>
        <v>591.32579460520333</v>
      </c>
      <c r="GE51" s="59">
        <f ca="1">AVERAGE(OFFSET($GD$3,0,0,'Données projet'!$E$17+1,1))-AVERAGE(OFFSET($H$3,0,0,'Données projet'!$E$17+1,1))</f>
        <v>168.00454652899231</v>
      </c>
      <c r="GF51" s="59">
        <f t="shared" si="50"/>
        <v>135.31958994080446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0</v>
      </c>
      <c r="GM51" s="21">
        <f>EXP(-LN(2)/25)*GM50+(1-EXP(-LN(2)/25))/(LN(2)/25)*Calculateur!GH51*Calculateur!GJ51*VLOOKUP('Données projet'!$B$17,Paramètres!$A$1:$I$89,3,0)*0.475*44/12</f>
        <v>0</v>
      </c>
      <c r="GN51" s="21">
        <f>EXP(-LN(2)/2)*GN50+(1-EXP(-LN(2)/2))/(LN(2)/2)*GH51*GK51*VLOOKUP('Données projet'!$B$17,Paramètres!$A$1:$I$89,3,0)*0.475*44/12</f>
        <v>0</v>
      </c>
      <c r="GO51" s="21">
        <f t="shared" si="27"/>
        <v>0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8.8736263736263741</v>
      </c>
      <c r="N52" s="13">
        <f>IF('Données projet'!$A$36&gt;35,N51+M52-V51,IF(A52&lt;'Données projet'!$A$36,$K$205^A52,IF(A52='Données projet'!$A$36,'Données projet'!$B$36,N51+M52-V51)))</f>
        <v>145.20054945054949</v>
      </c>
      <c r="O52" s="13">
        <f>N52*VLOOKUP('Données projet'!$B$9,Paramètres!$A$1:$I$89,3,0)*VLOOKUP('Données projet'!$B$9,Paramètres!$A$1:$I$89,5,0)</f>
        <v>131.37745714285717</v>
      </c>
      <c r="P52" s="13">
        <f t="shared" si="33"/>
        <v>34.314453722516511</v>
      </c>
      <c r="Q52" s="20">
        <f t="shared" si="53"/>
        <v>288.58007809052577</v>
      </c>
      <c r="R52" s="59">
        <f t="shared" si="0"/>
        <v>581.91341142385909</v>
      </c>
      <c r="S52" s="59">
        <f ca="1">AVERAGE(OFFSET($R$3,0,0,'Données projet'!$E$9+1,1))-AVERAGE(OFFSET($H$3,0,0,'Données projet'!$E$9+1,1))</f>
        <v>221.7429870520005</v>
      </c>
      <c r="T52" s="59">
        <f t="shared" si="34"/>
        <v>182.2029938397186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6.8260073260073284</v>
      </c>
      <c r="AI52" s="13">
        <f>IF('Données projet'!$A$62&gt;35,AI51+AH52-AQ51,IF(A52&lt;'Données projet'!$A$62,$AF$205^A52,IF(A52='Données projet'!$A$62,'Données projet'!$B$62,AI51+AH52-AQ51)))</f>
        <v>132.13644688644683</v>
      </c>
      <c r="AJ52" s="13">
        <f>AI52*VLOOKUP('Données projet'!$B$10,Paramètres!$A$1:$I$89,3,0)*VLOOKUP('Données projet'!$B$10,Paramètres!$A$1:$I$89,5,0)</f>
        <v>119.55705714285709</v>
      </c>
      <c r="AK52" s="13">
        <f t="shared" si="35"/>
        <v>31.571667922473026</v>
      </c>
      <c r="AL52" s="20">
        <f t="shared" si="4"/>
        <v>263.21586282211655</v>
      </c>
      <c r="AM52" s="59">
        <f t="shared" si="5"/>
        <v>556.54919615544986</v>
      </c>
      <c r="AN52" s="59">
        <f ca="1">AVERAGE(OFFSET($AM$3,0,0,'Données projet'!$E$10+1,1))-AVERAGE(OFFSET($H$3,0,0,'Données projet'!$E$10+1,1))</f>
        <v>153.45079678708987</v>
      </c>
      <c r="AO52" s="59">
        <f t="shared" si="36"/>
        <v>115.4217868409637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>
        <f>VLOOKUP(A52,'Données projet'!$A$87:$I$107,2,0)</f>
        <v>339.85384615384612</v>
      </c>
      <c r="BB52" s="12">
        <f>VLOOKUP(A52,'Données projet'!$A$87:$I$107,9,0)</f>
        <v>15.618681318681309</v>
      </c>
      <c r="BC52" s="12">
        <f t="array" ref="BC52">INDEX(BB:BB,MIN(IF(ISNUMBER(BB52:BB248),ROW(BB52:BB248),"")))</f>
        <v>15.618681318681309</v>
      </c>
      <c r="BD52" s="12">
        <f>IF('Données projet'!$A$88&gt;35,BD51+BC52-BL51,IF(A52&lt;'Données projet'!$A$88,$BA$205^A52,IF(A52='Données projet'!$A$88,'Données projet'!$B$88,BD51+BC52-BL51)))</f>
        <v>339.85384615384618</v>
      </c>
      <c r="BE52" s="13">
        <f>BD52*VLOOKUP('Données projet'!$B$11,Paramètres!$A$1:$I$89,3,0)*VLOOKUP('Données projet'!$B$11,Paramètres!$A$1:$I$89,5,0)</f>
        <v>159.05160000000001</v>
      </c>
      <c r="BF52" s="13">
        <f t="shared" si="37"/>
        <v>40.628527179850586</v>
      </c>
      <c r="BG52" s="20">
        <f t="shared" si="7"/>
        <v>347.77622150490646</v>
      </c>
      <c r="BH52" s="59">
        <f t="shared" si="8"/>
        <v>641.10955483823977</v>
      </c>
      <c r="BI52" s="59">
        <f ca="1">AVERAGE(OFFSET($BH$3,0,0,'Données projet'!$E$11+1,1))-AVERAGE(OFFSET($H$3,0,0,'Données projet'!$E$11+1,1))</f>
        <v>158.58786357608489</v>
      </c>
      <c r="BJ52" s="59">
        <f t="shared" si="38"/>
        <v>163.20074068819849</v>
      </c>
      <c r="BK52" s="15">
        <f>IF(ISNA(VLOOKUP(A52,'Données projet'!$A$87:$I$107,3,0)),0,VLOOKUP(A52,'Données projet'!$A$87:$I$107,3,0))</f>
        <v>2</v>
      </c>
      <c r="BL52" s="15">
        <f>IF(ISNA(VLOOKUP(A52,'Données projet'!$A$87:$I$107,4,0)),0,VLOOKUP(A52,'Données projet'!$A$87:$I$107,4,0))</f>
        <v>94.476923076923072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12.4</v>
      </c>
      <c r="BY52" s="12">
        <f>IF('Données projet'!$A$114&gt;35,BY51+BX52-CG51,IF(A52&lt;'Données projet'!$A$114,$BV$205^A52,IF(A52='Données projet'!$A$114,'Données projet'!$B$114,BY51+BX52-CG51)))</f>
        <v>359.59999999999991</v>
      </c>
      <c r="BZ52" s="13">
        <f>BY52*VLOOKUP('Données projet'!$B$12,Paramètres!$A$1:$I$89,3,0)*VLOOKUP('Données projet'!$B$12,Paramètres!$A$1:$I$89,5,0)</f>
        <v>224.39039999999994</v>
      </c>
      <c r="CA52" s="13">
        <f t="shared" si="39"/>
        <v>55.068017311015858</v>
      </c>
      <c r="CB52" s="20">
        <f t="shared" si="10"/>
        <v>486.72341015001916</v>
      </c>
      <c r="CC52" s="59">
        <f t="shared" si="11"/>
        <v>780.05674348335242</v>
      </c>
      <c r="CD52" s="59">
        <f ca="1">AVERAGE(OFFSET($CC$3,0,0,'Données projet'!$E$12+1,1))-AVERAGE(OFFSET($H$3,0,0,'Données projet'!$E$12+1,1))</f>
        <v>255.41017495879987</v>
      </c>
      <c r="CE52" s="59">
        <f t="shared" si="40"/>
        <v>297.50513563712764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5.7273957758462757</v>
      </c>
      <c r="CL52" s="21">
        <f>EXP(-LN(2)/25)*CL51+(1-EXP(-LN(2)/25))/(LN(2)/25)*Calculateur!CG52*Calculateur!CI52*VLOOKUP('Données projet'!$B$12,Paramètres!$A$1:$I$89,3,0)*0.475*44/12</f>
        <v>16.4570546201779</v>
      </c>
      <c r="CM52" s="21">
        <f>EXP(-LN(2)/2)*CM51+(1-EXP(-LN(2)/2))/(LN(2)/2)*CG52*CJ52*VLOOKUP('Données projet'!$B$12,Paramètres!$A$1:$I$89,3,0)*0.475*44/12</f>
        <v>3.369970258191303E-2</v>
      </c>
      <c r="CN52" s="22">
        <f t="shared" si="12"/>
        <v>22.218150098606088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8.3442307692307658</v>
      </c>
      <c r="CT52" s="12">
        <f>IF('Données projet'!$A$140&gt;35,CT51+CS52-DB51,IF(A52&lt;'Données projet'!$A$140,$CQ$205^A52,IF(A52='Données projet'!$A$140,'Données projet'!$B$140,CT51+CS52-DB51)))</f>
        <v>223.92884615384605</v>
      </c>
      <c r="CU52" s="17">
        <f>CT52*VLOOKUP('Données projet'!$B$13,Paramètres!$A$1:$I$89,3,0)*VLOOKUP('Données projet'!$B$13,Paramètres!$A$1:$I$89,5,0)</f>
        <v>128.08729999999994</v>
      </c>
      <c r="CV52" s="13">
        <f t="shared" si="41"/>
        <v>33.554009973808668</v>
      </c>
      <c r="CW52" s="20">
        <f t="shared" si="13"/>
        <v>281.52528153771664</v>
      </c>
      <c r="CX52" s="59">
        <f t="shared" si="14"/>
        <v>574.85861487104989</v>
      </c>
      <c r="CY52" s="59">
        <f ca="1">AVERAGE(OFFSET($CX$3,0,0,'Données projet'!$E$13+1,1))-AVERAGE(OFFSET($H$3,0,0,'Données projet'!$E$13+1,1))</f>
        <v>134.70214882504786</v>
      </c>
      <c r="CZ52" s="59">
        <f t="shared" si="42"/>
        <v>102.18553029667771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0.72965253379035677</v>
      </c>
      <c r="DG52" s="21">
        <f>EXP(-LN(2)/25)*DG51+(1-EXP(-LN(2)/25))/(LN(2)/25)*Calculateur!DB52*Calculateur!DD52*VLOOKUP('Données projet'!$B$13,Paramètres!$A$1:$I$89,3,0)*0.475*44/12</f>
        <v>7.4105210430011814</v>
      </c>
      <c r="DH52" s="21">
        <f>EXP(-LN(2)/2)*DH51+(1-EXP(-LN(2)/2))/(LN(2)/2)*DB52*DE52*VLOOKUP('Données projet'!$B$13,Paramètres!$A$1:$I$89,3,0)*0.475*44/12</f>
        <v>1.0642366434424719E-2</v>
      </c>
      <c r="DI52" s="22">
        <f t="shared" si="15"/>
        <v>8.1508159432259628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11.861538461538462</v>
      </c>
      <c r="DO52" s="12">
        <f>IF('Données projet'!$A$166&gt;35,DO51+DN52-DW51,IF(A52&lt;'Données projet'!$A$166,$DL$205^A52,IF(A52='Données projet'!$A$166,'Données projet'!$B$166,DO51+DN52-DW51)))</f>
        <v>279.22307692307697</v>
      </c>
      <c r="DP52" s="17">
        <f>DO52*VLOOKUP('Données projet'!$B$14,Paramètres!$A$1:$I$89,3,0)*VLOOKUP('Données projet'!$B$14,Paramètres!$A$1:$I$89,5,0)</f>
        <v>166.97540000000004</v>
      </c>
      <c r="DQ52" s="13">
        <f t="shared" si="43"/>
        <v>42.411907667415186</v>
      </c>
      <c r="DR52" s="20">
        <f t="shared" si="16"/>
        <v>364.68289418741483</v>
      </c>
      <c r="DS52" s="59">
        <f t="shared" si="17"/>
        <v>658.01622752074809</v>
      </c>
      <c r="DT52" s="59">
        <f ca="1">AVERAGE(OFFSET($DS$3,0,0,'Données projet'!$E$14+1,1))-AVERAGE(OFFSET($H$3,0,0,'Données projet'!$E$14+1,1))</f>
        <v>179.32848817523677</v>
      </c>
      <c r="DU52" s="59">
        <f t="shared" si="44"/>
        <v>131.3292389103035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7.7827879857601037</v>
      </c>
      <c r="EC52" s="21">
        <f>EXP(-LN(2)/2)*EC51+(1-EXP(-LN(2)/2))/(LN(2)/2)*DW52*DZ52*VLOOKUP('Données projet'!$B$14,Paramètres!$A$1:$I$89,3,0)*0.475*44/12</f>
        <v>7.2683801272446702E-3</v>
      </c>
      <c r="ED52" s="22">
        <f t="shared" si="18"/>
        <v>7.7900563658873487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20.507692307692299</v>
      </c>
      <c r="EJ52" s="12">
        <f>IF('Données projet'!$A$192&gt;35,EJ51+EI52-ER51,IF(A52&lt;'Données projet'!$A$192,$EG$205^A52,IF(A52='Données projet'!$A$192,'Données projet'!$B$192,EJ51+EI52-ER51)))</f>
        <v>464.26153846153824</v>
      </c>
      <c r="EK52" s="17">
        <f>EJ52*VLOOKUP('Données projet'!$B$15,Paramètres!$A$1:$I$89,3,0)*VLOOKUP('Données projet'!$B$15,Paramètres!$A$1:$I$89,5,0)</f>
        <v>205.20359999999991</v>
      </c>
      <c r="EL52" s="13">
        <f t="shared" si="45"/>
        <v>50.886046363257051</v>
      </c>
      <c r="EM52" s="20">
        <f t="shared" si="19"/>
        <v>446.02280074933924</v>
      </c>
      <c r="EN52" s="59">
        <f t="shared" si="20"/>
        <v>739.3561340826725</v>
      </c>
      <c r="EO52" s="59">
        <f ca="1">AVERAGE(OFFSET($EN$3,0,0,'Données projet'!$E$15+1,1))-AVERAGE(OFFSET($H$3,0,0,'Données projet'!$E$15+1,1))</f>
        <v>191.932060106699</v>
      </c>
      <c r="EP52" s="59">
        <f t="shared" si="46"/>
        <v>260.28593152736903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1.6770978354033632</v>
      </c>
      <c r="EW52" s="21">
        <f>EXP(-LN(2)/25)*EW51+(1-EXP(-LN(2)/25))/(LN(2)/25)*Calculateur!ER52*Calculateur!ET52*VLOOKUP('Données projet'!$B$15,Paramètres!$A$1:$I$89,3,0)*0.475*44/12</f>
        <v>7.4519100331423971</v>
      </c>
      <c r="EX52" s="21">
        <f>EXP(-LN(2)/2)*EX51+(1-EXP(-LN(2)/2))/(LN(2)/2)*ER52*EU52*VLOOKUP('Données projet'!$B$15,Paramètres!$A$1:$I$89,3,0)*0.475*44/12</f>
        <v>1.8483882613295072E-3</v>
      </c>
      <c r="EY52" s="22">
        <f t="shared" si="21"/>
        <v>9.130856256807089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3.8</v>
      </c>
      <c r="FE52" s="12">
        <f>IF('Données projet'!$A$218&gt;35,FE51+FD52-FM51,IF(A52&lt;'Données projet'!$A$218,$FB$205^A52,IF(A52='Données projet'!$A$218,'Données projet'!$B$218,FE51+FD52-FM51)))</f>
        <v>100.19999999999993</v>
      </c>
      <c r="FF52" s="17">
        <f>FE52*VLOOKUP('Données projet'!$B$16,Paramètres!$A$1:$I$89,3,0)*VLOOKUP('Données projet'!$B$16,Paramètres!$A$1:$I$89,5,0)</f>
        <v>96.913439999999937</v>
      </c>
      <c r="FG52" s="13">
        <f t="shared" si="47"/>
        <v>26.225330834732034</v>
      </c>
      <c r="FH52" s="20">
        <f t="shared" si="22"/>
        <v>214.46669253715814</v>
      </c>
      <c r="FI52" s="59">
        <f t="shared" si="23"/>
        <v>507.80002587049148</v>
      </c>
      <c r="FJ52" s="59">
        <f ca="1">AVERAGE(OFFSET($FI$3,0,0,'Données projet'!$E$16+1,1))-AVERAGE(OFFSET($H$3,0,0,'Données projet'!$E$16+1,1))</f>
        <v>102.86738524979938</v>
      </c>
      <c r="FK52" s="59">
        <f t="shared" si="48"/>
        <v>56.347130462109817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0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0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8.8000000000000007</v>
      </c>
      <c r="FZ52" s="12">
        <f>IF('Données projet'!$A$244&gt;35,FZ51+FY52-GH51,IF(A52&lt;'Données projet'!$A$244,$FW$205^A52,IF(A52='Données projet'!$A$244,'Données projet'!$B$244,FZ51+FY52-GH51)))</f>
        <v>211.2000000000001</v>
      </c>
      <c r="GA52" s="17">
        <f>FZ52*VLOOKUP('Données projet'!$B$17,Paramètres!$A$1:$I$89,3,0)*VLOOKUP('Données projet'!$B$17,Paramètres!$A$1:$I$89,5,0)</f>
        <v>141.67296000000007</v>
      </c>
      <c r="GB52" s="13">
        <f t="shared" si="49"/>
        <v>36.679991775059399</v>
      </c>
      <c r="GC52" s="20">
        <f t="shared" si="25"/>
        <v>310.6313910082286</v>
      </c>
      <c r="GD52" s="59">
        <f t="shared" si="26"/>
        <v>603.96472434156192</v>
      </c>
      <c r="GE52" s="59">
        <f ca="1">AVERAGE(OFFSET($GD$3,0,0,'Données projet'!$E$17+1,1))-AVERAGE(OFFSET($H$3,0,0,'Données projet'!$E$17+1,1))</f>
        <v>168.00454652899231</v>
      </c>
      <c r="GF52" s="59">
        <f t="shared" si="50"/>
        <v>135.31958994080446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0</v>
      </c>
      <c r="GM52" s="21">
        <f>EXP(-LN(2)/25)*GM51+(1-EXP(-LN(2)/25))/(LN(2)/25)*Calculateur!GH52*Calculateur!GJ52*VLOOKUP('Données projet'!$B$17,Paramètres!$A$1:$I$89,3,0)*0.475*44/12</f>
        <v>0</v>
      </c>
      <c r="GN52" s="21">
        <f>EXP(-LN(2)/2)*GN51+(1-EXP(-LN(2)/2))/(LN(2)/2)*GH52*GK52*VLOOKUP('Données projet'!$B$17,Paramètres!$A$1:$I$89,3,0)*0.475*44/12</f>
        <v>0</v>
      </c>
      <c r="GO52" s="21">
        <f t="shared" si="27"/>
        <v>0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8.8736263736263741</v>
      </c>
      <c r="N53" s="13">
        <f>IF('Données projet'!$A$36&gt;35,N52+M53-V52,IF(A53&lt;'Données projet'!$A$36,$K$205^A53,IF(A53='Données projet'!$A$36,'Données projet'!$B$36,N52+M53-V52)))</f>
        <v>154.07417582417585</v>
      </c>
      <c r="O53" s="13">
        <f>N53*VLOOKUP('Données projet'!$B$9,Paramètres!$A$1:$I$89,3,0)*VLOOKUP('Données projet'!$B$9,Paramètres!$A$1:$I$89,5,0)</f>
        <v>139.4063142857143</v>
      </c>
      <c r="P53" s="13">
        <f t="shared" si="33"/>
        <v>36.160966815041384</v>
      </c>
      <c r="Q53" s="20">
        <f t="shared" si="53"/>
        <v>305.77968125048278</v>
      </c>
      <c r="R53" s="59">
        <f t="shared" si="0"/>
        <v>599.11301458381604</v>
      </c>
      <c r="S53" s="59">
        <f ca="1">AVERAGE(OFFSET($R$3,0,0,'Données projet'!$E$9+1,1))-AVERAGE(OFFSET($H$3,0,0,'Données projet'!$E$9+1,1))</f>
        <v>221.7429870520005</v>
      </c>
      <c r="T53" s="59">
        <f t="shared" si="34"/>
        <v>182.2029938397186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0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6.8260073260073284</v>
      </c>
      <c r="AI53" s="13">
        <f>IF('Données projet'!$A$62&gt;35,AI52+AH53-AQ52,IF(A53&lt;'Données projet'!$A$62,$AF$205^A53,IF(A53='Données projet'!$A$62,'Données projet'!$B$62,AI52+AH53-AQ52)))</f>
        <v>138.96245421245416</v>
      </c>
      <c r="AJ53" s="13">
        <f>AI53*VLOOKUP('Données projet'!$B$10,Paramètres!$A$1:$I$89,3,0)*VLOOKUP('Données projet'!$B$10,Paramètres!$A$1:$I$89,5,0)</f>
        <v>125.73322857142851</v>
      </c>
      <c r="AK53" s="13">
        <f t="shared" si="35"/>
        <v>33.008527004415768</v>
      </c>
      <c r="AL53" s="20">
        <f t="shared" si="4"/>
        <v>276.47522429459542</v>
      </c>
      <c r="AM53" s="59">
        <f t="shared" si="5"/>
        <v>569.80855762792874</v>
      </c>
      <c r="AN53" s="59">
        <f ca="1">AVERAGE(OFFSET($AM$3,0,0,'Données projet'!$E$10+1,1))-AVERAGE(OFFSET($H$3,0,0,'Données projet'!$E$10+1,1))</f>
        <v>153.45079678708987</v>
      </c>
      <c r="AO53" s="59">
        <f t="shared" si="36"/>
        <v>115.4217868409637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14.668131868131875</v>
      </c>
      <c r="BD53" s="12">
        <f>IF('Données projet'!$A$88&gt;35,BD52+BC53-BL52,IF(A53&lt;'Données projet'!$A$88,$BA$205^A53,IF(A53='Données projet'!$A$88,'Données projet'!$B$88,BD52+BC53-BL52)))</f>
        <v>260.04505494505497</v>
      </c>
      <c r="BE53" s="13">
        <f>BD53*VLOOKUP('Données projet'!$B$11,Paramètres!$A$1:$I$89,3,0)*VLOOKUP('Données projet'!$B$11,Paramètres!$A$1:$I$89,5,0)</f>
        <v>121.70108571428571</v>
      </c>
      <c r="BF53" s="13">
        <f t="shared" si="37"/>
        <v>32.071423986344442</v>
      </c>
      <c r="BG53" s="20">
        <f t="shared" si="7"/>
        <v>267.82045439526422</v>
      </c>
      <c r="BH53" s="59">
        <f t="shared" si="8"/>
        <v>561.15378772859754</v>
      </c>
      <c r="BI53" s="59">
        <f ca="1">AVERAGE(OFFSET($BH$3,0,0,'Données projet'!$E$11+1,1))-AVERAGE(OFFSET($H$3,0,0,'Données projet'!$E$11+1,1))</f>
        <v>158.58786357608489</v>
      </c>
      <c r="BJ53" s="59">
        <f t="shared" si="38"/>
        <v>163.20074068819849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372</v>
      </c>
      <c r="BW53" s="12">
        <f>VLOOKUP(A53,'Données projet'!$A$113:$I$133,9,0)</f>
        <v>12.4</v>
      </c>
      <c r="BX53" s="12">
        <f t="array" ref="BX53">INDEX(BW:BW,MIN(IF(ISNUMBER(BW53:BW249),ROW(BW53:BW249),"")))</f>
        <v>12.4</v>
      </c>
      <c r="BY53" s="12">
        <f>IF('Données projet'!$A$114&gt;35,BY52+BX53-CG52,IF(A53&lt;'Données projet'!$A$114,$BV$205^A53,IF(A53='Données projet'!$A$114,'Données projet'!$B$114,BY52+BX53-CG52)))</f>
        <v>371.99999999999989</v>
      </c>
      <c r="BZ53" s="13">
        <f>BY53*VLOOKUP('Données projet'!$B$12,Paramètres!$A$1:$I$89,3,0)*VLOOKUP('Données projet'!$B$12,Paramètres!$A$1:$I$89,5,0)</f>
        <v>232.12799999999993</v>
      </c>
      <c r="CA53" s="13">
        <f t="shared" si="39"/>
        <v>56.742557967082398</v>
      </c>
      <c r="CB53" s="20">
        <f t="shared" si="10"/>
        <v>503.11622179266834</v>
      </c>
      <c r="CC53" s="59">
        <f t="shared" si="11"/>
        <v>796.44955512600166</v>
      </c>
      <c r="CD53" s="59">
        <f ca="1">AVERAGE(OFFSET($CC$3,0,0,'Données projet'!$E$12+1,1))-AVERAGE(OFFSET($H$3,0,0,'Données projet'!$E$12+1,1))</f>
        <v>255.41017495879987</v>
      </c>
      <c r="CE53" s="59">
        <f t="shared" si="40"/>
        <v>297.50513563712764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68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5.6150850380484121</v>
      </c>
      <c r="CL53" s="21">
        <f>EXP(-LN(2)/25)*CL52+(1-EXP(-LN(2)/25))/(LN(2)/25)*Calculateur!CG53*Calculateur!CI53*VLOOKUP('Données projet'!$B$12,Paramètres!$A$1:$I$89,3,0)*0.475*44/12</f>
        <v>16.007035596150246</v>
      </c>
      <c r="CM53" s="21">
        <f>EXP(-LN(2)/2)*CM52+(1-EXP(-LN(2)/2))/(LN(2)/2)*CG53*CJ53*VLOOKUP('Données projet'!$B$12,Paramètres!$A$1:$I$89,3,0)*0.475*44/12</f>
        <v>2.3829288219640508E-2</v>
      </c>
      <c r="CN53" s="22">
        <f t="shared" si="12"/>
        <v>21.6459499224183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8.3442307692307658</v>
      </c>
      <c r="CT53" s="12">
        <f>IF('Données projet'!$A$140&gt;35,CT52+CS53-DB52,IF(A53&lt;'Données projet'!$A$140,$CQ$205^A53,IF(A53='Données projet'!$A$140,'Données projet'!$B$140,CT52+CS53-DB52)))</f>
        <v>232.27307692307681</v>
      </c>
      <c r="CU53" s="17">
        <f>CT53*VLOOKUP('Données projet'!$B$13,Paramètres!$A$1:$I$89,3,0)*VLOOKUP('Données projet'!$B$13,Paramètres!$A$1:$I$89,5,0)</f>
        <v>132.86019999999994</v>
      </c>
      <c r="CV53" s="13">
        <f t="shared" si="41"/>
        <v>34.656428138122386</v>
      </c>
      <c r="CW53" s="20">
        <f t="shared" si="13"/>
        <v>291.75812734056302</v>
      </c>
      <c r="CX53" s="59">
        <f t="shared" si="14"/>
        <v>585.09146067389634</v>
      </c>
      <c r="CY53" s="59">
        <f ca="1">AVERAGE(OFFSET($CX$3,0,0,'Données projet'!$E$13+1,1))-AVERAGE(OFFSET($H$3,0,0,'Données projet'!$E$13+1,1))</f>
        <v>134.70214882504786</v>
      </c>
      <c r="CZ53" s="59">
        <f t="shared" si="42"/>
        <v>102.18553029667771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0.71534449264682898</v>
      </c>
      <c r="DG53" s="21">
        <f>EXP(-LN(2)/25)*DG52+(1-EXP(-LN(2)/25))/(LN(2)/25)*Calculateur!DB53*Calculateur!DD53*VLOOKUP('Données projet'!$B$13,Paramètres!$A$1:$I$89,3,0)*0.475*44/12</f>
        <v>7.2078799553779493</v>
      </c>
      <c r="DH53" s="21">
        <f>EXP(-LN(2)/2)*DH52+(1-EXP(-LN(2)/2))/(LN(2)/2)*DB53*DE53*VLOOKUP('Données projet'!$B$13,Paramètres!$A$1:$I$89,3,0)*0.475*44/12</f>
        <v>7.5252894736538177E-3</v>
      </c>
      <c r="DI53" s="22">
        <f t="shared" si="15"/>
        <v>7.9307497374984326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291.0846153846154</v>
      </c>
      <c r="DM53" s="12">
        <f>VLOOKUP(A53,'Données projet'!$A$165:$I$185,9,0)</f>
        <v>11.861538461538462</v>
      </c>
      <c r="DN53" s="12">
        <f t="array" ref="DN53">INDEX(DM:DM,MIN(IF(ISNUMBER(DM53:DM249),ROW(DM53:DM249),"")))</f>
        <v>11.861538461538462</v>
      </c>
      <c r="DO53" s="12">
        <f>IF('Données projet'!$A$166&gt;35,DO52+DN53-DW52,IF(A53&lt;'Données projet'!$A$166,$DL$205^A53,IF(A53='Données projet'!$A$166,'Données projet'!$B$166,DO52+DN53-DW52)))</f>
        <v>291.08461538461546</v>
      </c>
      <c r="DP53" s="17">
        <f>DO53*VLOOKUP('Données projet'!$B$14,Paramètres!$A$1:$I$89,3,0)*VLOOKUP('Données projet'!$B$14,Paramètres!$A$1:$I$89,5,0)</f>
        <v>174.06860000000006</v>
      </c>
      <c r="DQ53" s="13">
        <f t="shared" si="43"/>
        <v>43.999996552753878</v>
      </c>
      <c r="DR53" s="20">
        <f t="shared" si="16"/>
        <v>379.80280566271313</v>
      </c>
      <c r="DS53" s="59">
        <f t="shared" si="17"/>
        <v>673.13613899604638</v>
      </c>
      <c r="DT53" s="59">
        <f ca="1">AVERAGE(OFFSET($DS$3,0,0,'Données projet'!$E$14+1,1))-AVERAGE(OFFSET($H$3,0,0,'Données projet'!$E$14+1,1))</f>
        <v>179.32848817523677</v>
      </c>
      <c r="DU53" s="59">
        <f t="shared" si="44"/>
        <v>131.3292389103035</v>
      </c>
      <c r="DV53" s="15">
        <f>IF(ISNA(VLOOKUP(A53,'Données projet'!$A$165:$I$185,3,0)),0,VLOOKUP(A53,'Données projet'!$A$165:$I$185,3,0))</f>
        <v>5</v>
      </c>
      <c r="DW53" s="15">
        <f>IF(ISNA(VLOOKUP(A53,'Données projet'!$A$165:$I$185,4,0)),0,VLOOKUP(A53,'Données projet'!$A$165:$I$185,4,0))</f>
        <v>55.292307692307688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7.5699672390104613</v>
      </c>
      <c r="EC53" s="21">
        <f>EXP(-LN(2)/2)*EC52+(1-EXP(-LN(2)/2))/(LN(2)/2)*DW53*DZ53*VLOOKUP('Données projet'!$B$14,Paramètres!$A$1:$I$89,3,0)*0.475*44/12</f>
        <v>5.1395208762162478E-3</v>
      </c>
      <c r="ED53" s="22">
        <f t="shared" si="18"/>
        <v>7.5751067598866779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20.507692307692299</v>
      </c>
      <c r="EJ53" s="12">
        <f>IF('Données projet'!$A$192&gt;35,EJ52+EI53-ER52,IF(A53&lt;'Données projet'!$A$192,$EG$205^A53,IF(A53='Données projet'!$A$192,'Données projet'!$B$192,EJ52+EI53-ER52)))</f>
        <v>484.76923076923055</v>
      </c>
      <c r="EK53" s="17">
        <f>EJ53*VLOOKUP('Données projet'!$B$15,Paramètres!$A$1:$I$89,3,0)*VLOOKUP('Données projet'!$B$15,Paramètres!$A$1:$I$89,5,0)</f>
        <v>214.26799999999994</v>
      </c>
      <c r="EL53" s="13">
        <f t="shared" si="45"/>
        <v>52.867156135445967</v>
      </c>
      <c r="EM53" s="20">
        <f t="shared" si="19"/>
        <v>465.26039693590161</v>
      </c>
      <c r="EN53" s="59">
        <f t="shared" si="20"/>
        <v>758.59373026923492</v>
      </c>
      <c r="EO53" s="59">
        <f ca="1">AVERAGE(OFFSET($EN$3,0,0,'Données projet'!$E$15+1,1))-AVERAGE(OFFSET($H$3,0,0,'Données projet'!$E$15+1,1))</f>
        <v>191.932060106699</v>
      </c>
      <c r="EP53" s="59">
        <f t="shared" si="46"/>
        <v>260.28593152736903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1.6442109697797771</v>
      </c>
      <c r="EW53" s="21">
        <f>EXP(-LN(2)/25)*EW52+(1-EXP(-LN(2)/25))/(LN(2)/25)*Calculateur!ER53*Calculateur!ET53*VLOOKUP('Données projet'!$B$15,Paramètres!$A$1:$I$89,3,0)*0.475*44/12</f>
        <v>7.2481371614072012</v>
      </c>
      <c r="EX53" s="21">
        <f>EXP(-LN(2)/2)*EX52+(1-EXP(-LN(2)/2))/(LN(2)/2)*ER53*EU53*VLOOKUP('Données projet'!$B$15,Paramètres!$A$1:$I$89,3,0)*0.475*44/12</f>
        <v>1.3070078738517069E-3</v>
      </c>
      <c r="EY53" s="22">
        <f t="shared" si="21"/>
        <v>8.8936551390608294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104</v>
      </c>
      <c r="FC53" s="12">
        <f>VLOOKUP(A53,'Données projet'!$A$217:$I$237,9,0)</f>
        <v>3.8</v>
      </c>
      <c r="FD53" s="12">
        <f t="array" ref="FD53">INDEX(FC:FC,MIN(IF(ISNUMBER(FC53:FC249),ROW(FC53:FC249),"")))</f>
        <v>3.8</v>
      </c>
      <c r="FE53" s="12">
        <f>IF('Données projet'!$A$218&gt;35,FE52+FD53-FM52,IF(A53&lt;'Données projet'!$A$218,$FB$205^A53,IF(A53='Données projet'!$A$218,'Données projet'!$B$218,FE52+FD53-FM52)))</f>
        <v>103.99999999999993</v>
      </c>
      <c r="FF53" s="17">
        <f>FE53*VLOOKUP('Données projet'!$B$16,Paramètres!$A$1:$I$89,3,0)*VLOOKUP('Données projet'!$B$16,Paramètres!$A$1:$I$89,5,0)</f>
        <v>100.58879999999995</v>
      </c>
      <c r="FG53" s="13">
        <f t="shared" si="47"/>
        <v>27.102223064855114</v>
      </c>
      <c r="FH53" s="20">
        <f t="shared" si="22"/>
        <v>222.39519850462258</v>
      </c>
      <c r="FI53" s="59">
        <f t="shared" si="23"/>
        <v>515.72853183795587</v>
      </c>
      <c r="FJ53" s="59">
        <f ca="1">AVERAGE(OFFSET($FI$3,0,0,'Données projet'!$E$16+1,1))-AVERAGE(OFFSET($H$3,0,0,'Données projet'!$E$16+1,1))</f>
        <v>102.86738524979938</v>
      </c>
      <c r="FK53" s="59">
        <f t="shared" si="48"/>
        <v>56.347130462109817</v>
      </c>
      <c r="FL53" s="15">
        <f>IF(ISNA(VLOOKUP(A53,'Données projet'!$A$217:$I$237,3,0)),0,VLOOKUP(A53,'Données projet'!$A$217:$I$237,3,0))</f>
        <v>3</v>
      </c>
      <c r="FM53" s="15">
        <f>IF(ISNA(VLOOKUP(A53,'Données projet'!$A$217:$I$237,4,0)),0,VLOOKUP(A53,'Données projet'!$A$217:$I$237,4,0))</f>
        <v>18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0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0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>
        <f>VLOOKUP(A53,'Données projet'!$A$243:$I$263,2,0)</f>
        <v>220</v>
      </c>
      <c r="FX53" s="12">
        <f>VLOOKUP(A53,'Données projet'!$A$243:$I$263,9,0)</f>
        <v>8.8000000000000007</v>
      </c>
      <c r="FY53" s="12">
        <f t="array" ref="FY53">INDEX(FX:FX,MIN(IF(ISNUMBER(FX53:FX249),ROW(FX53:FX249),"")))</f>
        <v>8.8000000000000007</v>
      </c>
      <c r="FZ53" s="12">
        <f>IF('Données projet'!$A$244&gt;35,FZ52+FY53-GH52,IF(A53&lt;'Données projet'!$A$244,$FW$205^A53,IF(A53='Données projet'!$A$244,'Données projet'!$B$244,FZ52+FY53-GH52)))</f>
        <v>220.00000000000011</v>
      </c>
      <c r="GA53" s="17">
        <f>FZ53*VLOOKUP('Données projet'!$B$17,Paramètres!$A$1:$I$89,3,0)*VLOOKUP('Données projet'!$B$17,Paramètres!$A$1:$I$89,5,0)</f>
        <v>147.57600000000008</v>
      </c>
      <c r="GB53" s="13">
        <f t="shared" si="49"/>
        <v>38.027201687128112</v>
      </c>
      <c r="GC53" s="20">
        <f t="shared" si="25"/>
        <v>323.25890960508161</v>
      </c>
      <c r="GD53" s="59">
        <f t="shared" si="26"/>
        <v>616.59224293841498</v>
      </c>
      <c r="GE53" s="59">
        <f ca="1">AVERAGE(OFFSET($GD$3,0,0,'Données projet'!$E$17+1,1))-AVERAGE(OFFSET($H$3,0,0,'Données projet'!$E$17+1,1))</f>
        <v>168.00454652899231</v>
      </c>
      <c r="GF53" s="59">
        <f t="shared" si="50"/>
        <v>135.31958994080446</v>
      </c>
      <c r="GG53" s="15">
        <f>IF(ISNA(VLOOKUP(A53,'Données projet'!$A$243:$I$263,3,0)),0,VLOOKUP(A53,'Données projet'!$A$243:$I$263,3,0))</f>
        <v>4</v>
      </c>
      <c r="GH53" s="15">
        <f>IF(ISNA(VLOOKUP(A53,'Données projet'!$A$243:$I$263,4,0)),0,VLOOKUP(A53,'Données projet'!$A$243:$I$263,4,0))</f>
        <v>53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0</v>
      </c>
      <c r="GM53" s="21">
        <f>EXP(-LN(2)/25)*GM52+(1-EXP(-LN(2)/25))/(LN(2)/25)*Calculateur!GH53*Calculateur!GJ53*VLOOKUP('Données projet'!$B$17,Paramètres!$A$1:$I$89,3,0)*0.475*44/12</f>
        <v>0</v>
      </c>
      <c r="GN53" s="21">
        <f>EXP(-LN(2)/2)*GN52+(1-EXP(-LN(2)/2))/(LN(2)/2)*GH53*GK53*VLOOKUP('Données projet'!$B$17,Paramètres!$A$1:$I$89,3,0)*0.475*44/12</f>
        <v>0</v>
      </c>
      <c r="GO53" s="21">
        <f t="shared" si="27"/>
        <v>0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8.8736263736263741</v>
      </c>
      <c r="N54" s="13">
        <f>IF('Données projet'!$A$36&gt;35,N53+M54-V53,IF(A54&lt;'Données projet'!$A$36,$K$205^A54,IF(A54='Données projet'!$A$36,'Données projet'!$B$36,N53+M54-V53)))</f>
        <v>162.94780219780222</v>
      </c>
      <c r="O54" s="13">
        <f>N54*VLOOKUP('Données projet'!$B$9,Paramètres!$A$1:$I$89,3,0)*VLOOKUP('Données projet'!$B$9,Paramètres!$A$1:$I$89,5,0)</f>
        <v>147.43517142857144</v>
      </c>
      <c r="P54" s="13">
        <f t="shared" si="33"/>
        <v>37.995135358244994</v>
      </c>
      <c r="Q54" s="20">
        <f t="shared" si="53"/>
        <v>322.95778432037196</v>
      </c>
      <c r="R54" s="59">
        <f t="shared" si="0"/>
        <v>616.29111765370521</v>
      </c>
      <c r="S54" s="59">
        <f ca="1">AVERAGE(OFFSET($R$3,0,0,'Données projet'!$E$9+1,1))-AVERAGE(OFFSET($H$3,0,0,'Données projet'!$E$9+1,1))</f>
        <v>221.7429870520005</v>
      </c>
      <c r="T54" s="59">
        <f t="shared" si="34"/>
        <v>182.2029938397186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0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>
        <f>VLOOKUP(A54,'Données projet'!$A$61:$I$81,2,0)</f>
        <v>145.78846153846155</v>
      </c>
      <c r="AG54" s="12">
        <f>VLOOKUP(A54,'Données projet'!$A$61:$I$81,9,0)</f>
        <v>6.8260073260073284</v>
      </c>
      <c r="AH54" s="12">
        <f t="array" ref="AH54">INDEX(AG:AG,MIN(IF(ISNUMBER(AG54:AG250),ROW(AG54:AG250),"")))</f>
        <v>6.8260073260073284</v>
      </c>
      <c r="AI54" s="13">
        <f>IF('Données projet'!$A$62&gt;35,AI53+AH54-AQ53,IF(A54&lt;'Données projet'!$A$62,$AF$205^A54,IF(A54='Données projet'!$A$62,'Données projet'!$B$62,AI53+AH54-AQ53)))</f>
        <v>145.78846153846149</v>
      </c>
      <c r="AJ54" s="13">
        <f>AI54*VLOOKUP('Données projet'!$B$10,Paramètres!$A$1:$I$89,3,0)*VLOOKUP('Données projet'!$B$10,Paramètres!$A$1:$I$89,5,0)</f>
        <v>131.90939999999995</v>
      </c>
      <c r="AK54" s="13">
        <f t="shared" si="35"/>
        <v>34.437190502969557</v>
      </c>
      <c r="AL54" s="20">
        <f t="shared" si="4"/>
        <v>289.72031179267179</v>
      </c>
      <c r="AM54" s="59">
        <f t="shared" si="5"/>
        <v>583.05364512600511</v>
      </c>
      <c r="AN54" s="59">
        <f ca="1">AVERAGE(OFFSET($AM$3,0,0,'Données projet'!$E$10+1,1))-AVERAGE(OFFSET($H$3,0,0,'Données projet'!$E$10+1,1))</f>
        <v>153.45079678708987</v>
      </c>
      <c r="AO54" s="59">
        <f t="shared" si="36"/>
        <v>115.4217868409637</v>
      </c>
      <c r="AP54" s="15">
        <f>IF(ISNA(VLOOKUP(A54,'Données projet'!$A$61:$I$81,3,0)),0,VLOOKUP(A54,'Données projet'!$A$61:$I$81,3,0))</f>
        <v>2</v>
      </c>
      <c r="AQ54" s="15">
        <f>IF(ISNA(VLOOKUP(A54,'Données projet'!$A$61:$I$81,4,0)),0,VLOOKUP(A54,'Données projet'!$A$61:$I$81,4,0))</f>
        <v>37.685897435897431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14.668131868131875</v>
      </c>
      <c r="BD54" s="12">
        <f>IF('Données projet'!$A$88&gt;35,BD53+BC54-BL53,IF(A54&lt;'Données projet'!$A$88,$BA$205^A54,IF(A54='Données projet'!$A$88,'Données projet'!$B$88,BD53+BC54-BL53)))</f>
        <v>274.71318681318684</v>
      </c>
      <c r="BE54" s="13">
        <f>BD54*VLOOKUP('Données projet'!$B$11,Paramètres!$A$1:$I$89,3,0)*VLOOKUP('Données projet'!$B$11,Paramètres!$A$1:$I$89,5,0)</f>
        <v>128.56577142857145</v>
      </c>
      <c r="BF54" s="13">
        <f t="shared" si="37"/>
        <v>33.664737545838108</v>
      </c>
      <c r="BG54" s="20">
        <f t="shared" si="7"/>
        <v>282.55146979709662</v>
      </c>
      <c r="BH54" s="59">
        <f t="shared" si="8"/>
        <v>575.88480313042987</v>
      </c>
      <c r="BI54" s="59">
        <f ca="1">AVERAGE(OFFSET($BH$3,0,0,'Données projet'!$E$11+1,1))-AVERAGE(OFFSET($H$3,0,0,'Données projet'!$E$11+1,1))</f>
        <v>158.58786357608489</v>
      </c>
      <c r="BJ54" s="59">
        <f t="shared" si="38"/>
        <v>163.20074068819849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10</v>
      </c>
      <c r="BY54" s="12">
        <f>IF('Données projet'!$A$114&gt;35,BY53+BX54-CG53,IF(A54&lt;'Données projet'!$A$114,$BV$205^A54,IF(A54='Données projet'!$A$114,'Données projet'!$B$114,BY53+BX54-CG53)))</f>
        <v>313.99999999999989</v>
      </c>
      <c r="BZ54" s="13">
        <f>BY54*VLOOKUP('Données projet'!$B$12,Paramètres!$A$1:$I$89,3,0)*VLOOKUP('Données projet'!$B$12,Paramètres!$A$1:$I$89,5,0)</f>
        <v>195.93599999999992</v>
      </c>
      <c r="CA54" s="13">
        <f t="shared" si="39"/>
        <v>48.849959202565856</v>
      </c>
      <c r="CB54" s="20">
        <f t="shared" si="10"/>
        <v>426.33554561113533</v>
      </c>
      <c r="CC54" s="59">
        <f t="shared" si="11"/>
        <v>719.66887894446859</v>
      </c>
      <c r="CD54" s="59">
        <f ca="1">AVERAGE(OFFSET($CC$3,0,0,'Données projet'!$E$12+1,1))-AVERAGE(OFFSET($H$3,0,0,'Données projet'!$E$12+1,1))</f>
        <v>255.41017495879987</v>
      </c>
      <c r="CE54" s="59">
        <f t="shared" si="40"/>
        <v>297.50513563712764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5.5049766453159785</v>
      </c>
      <c r="CL54" s="21">
        <f>EXP(-LN(2)/25)*CL53+(1-EXP(-LN(2)/25))/(LN(2)/25)*Calculateur!CG54*Calculateur!CI54*VLOOKUP('Données projet'!$B$12,Paramètres!$A$1:$I$89,3,0)*0.475*44/12</f>
        <v>15.569322366000099</v>
      </c>
      <c r="CM54" s="21">
        <f>EXP(-LN(2)/2)*CM53+(1-EXP(-LN(2)/2))/(LN(2)/2)*CG54*CJ54*VLOOKUP('Données projet'!$B$12,Paramètres!$A$1:$I$89,3,0)*0.475*44/12</f>
        <v>1.6849851290956515E-2</v>
      </c>
      <c r="CN54" s="22">
        <f t="shared" si="12"/>
        <v>21.091148862607035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8.3442307692307658</v>
      </c>
      <c r="CT54" s="12">
        <f>IF('Données projet'!$A$140&gt;35,CT53+CS54-DB53,IF(A54&lt;'Données projet'!$A$140,$CQ$205^A54,IF(A54='Données projet'!$A$140,'Données projet'!$B$140,CT53+CS54-DB53)))</f>
        <v>240.61730769230758</v>
      </c>
      <c r="CU54" s="17">
        <f>CT54*VLOOKUP('Données projet'!$B$13,Paramètres!$A$1:$I$89,3,0)*VLOOKUP('Données projet'!$B$13,Paramètres!$A$1:$I$89,5,0)</f>
        <v>137.63309999999996</v>
      </c>
      <c r="CV54" s="13">
        <f t="shared" si="41"/>
        <v>35.754245032021451</v>
      </c>
      <c r="CW54" s="20">
        <f t="shared" si="13"/>
        <v>301.98295926410395</v>
      </c>
      <c r="CX54" s="59">
        <f t="shared" si="14"/>
        <v>595.31629259743727</v>
      </c>
      <c r="CY54" s="59">
        <f ca="1">AVERAGE(OFFSET($CX$3,0,0,'Données projet'!$E$13+1,1))-AVERAGE(OFFSET($H$3,0,0,'Données projet'!$E$13+1,1))</f>
        <v>134.70214882504786</v>
      </c>
      <c r="CZ54" s="59">
        <f t="shared" si="42"/>
        <v>102.18553029667771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0.70131702346308245</v>
      </c>
      <c r="DG54" s="21">
        <f>EXP(-LN(2)/25)*DG53+(1-EXP(-LN(2)/25))/(LN(2)/25)*Calculateur!DB54*Calculateur!DD54*VLOOKUP('Données projet'!$B$13,Paramètres!$A$1:$I$89,3,0)*0.475*44/12</f>
        <v>7.010780098952206</v>
      </c>
      <c r="DH54" s="21">
        <f>EXP(-LN(2)/2)*DH53+(1-EXP(-LN(2)/2))/(LN(2)/2)*DB54*DE54*VLOOKUP('Données projet'!$B$13,Paramètres!$A$1:$I$89,3,0)*0.475*44/12</f>
        <v>5.3211832172123594E-3</v>
      </c>
      <c r="DI54" s="22">
        <f t="shared" si="15"/>
        <v>7.717418305632501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10.66307692307692</v>
      </c>
      <c r="DO54" s="12">
        <f>IF('Données projet'!$A$166&gt;35,DO53+DN54-DW53,IF(A54&lt;'Données projet'!$A$166,$DL$205^A54,IF(A54='Données projet'!$A$166,'Données projet'!$B$166,DO53+DN54-DW53)))</f>
        <v>246.45538461538467</v>
      </c>
      <c r="DP54" s="17">
        <f>DO54*VLOOKUP('Données projet'!$B$14,Paramètres!$A$1:$I$89,3,0)*VLOOKUP('Données projet'!$B$14,Paramètres!$A$1:$I$89,5,0)</f>
        <v>147.38032000000004</v>
      </c>
      <c r="DQ54" s="13">
        <f t="shared" si="43"/>
        <v>37.982644854557613</v>
      </c>
      <c r="DR54" s="20">
        <f t="shared" si="16"/>
        <v>322.84049712168786</v>
      </c>
      <c r="DS54" s="59">
        <f t="shared" si="17"/>
        <v>616.17383045502118</v>
      </c>
      <c r="DT54" s="59">
        <f ca="1">AVERAGE(OFFSET($DS$3,0,0,'Données projet'!$E$14+1,1))-AVERAGE(OFFSET($H$3,0,0,'Données projet'!$E$14+1,1))</f>
        <v>179.32848817523677</v>
      </c>
      <c r="DU54" s="59">
        <f t="shared" si="44"/>
        <v>131.3292389103035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7.3629660867724445</v>
      </c>
      <c r="EC54" s="21">
        <f>EXP(-LN(2)/2)*EC53+(1-EXP(-LN(2)/2))/(LN(2)/2)*DW54*DZ54*VLOOKUP('Données projet'!$B$14,Paramètres!$A$1:$I$89,3,0)*0.475*44/12</f>
        <v>3.6341900636223355E-3</v>
      </c>
      <c r="ED54" s="22">
        <f t="shared" si="18"/>
        <v>7.366600276836067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20.507692307692299</v>
      </c>
      <c r="EJ54" s="12">
        <f>IF('Données projet'!$A$192&gt;35,EJ53+EI54-ER53,IF(A54&lt;'Données projet'!$A$192,$EG$205^A54,IF(A54='Données projet'!$A$192,'Données projet'!$B$192,EJ53+EI54-ER53)))</f>
        <v>505.27692307692286</v>
      </c>
      <c r="EK54" s="17">
        <f>EJ54*VLOOKUP('Données projet'!$B$15,Paramètres!$A$1:$I$89,3,0)*VLOOKUP('Données projet'!$B$15,Paramètres!$A$1:$I$89,5,0)</f>
        <v>223.33239999999992</v>
      </c>
      <c r="EL54" s="13">
        <f t="shared" si="45"/>
        <v>54.838531461370984</v>
      </c>
      <c r="EM54" s="20">
        <f t="shared" si="19"/>
        <v>484.48103896188763</v>
      </c>
      <c r="EN54" s="59">
        <f t="shared" si="20"/>
        <v>777.81437229522089</v>
      </c>
      <c r="EO54" s="59">
        <f ca="1">AVERAGE(OFFSET($EN$3,0,0,'Données projet'!$E$15+1,1))-AVERAGE(OFFSET($H$3,0,0,'Données projet'!$E$15+1,1))</f>
        <v>191.932060106699</v>
      </c>
      <c r="EP54" s="59">
        <f t="shared" si="46"/>
        <v>260.28593152736903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1.6119689955320622</v>
      </c>
      <c r="EW54" s="21">
        <f>EXP(-LN(2)/25)*EW53+(1-EXP(-LN(2)/25))/(LN(2)/25)*Calculateur!ER54*Calculateur!ET54*VLOOKUP('Données projet'!$B$15,Paramètres!$A$1:$I$89,3,0)*0.475*44/12</f>
        <v>7.0499364695655542</v>
      </c>
      <c r="EX54" s="21">
        <f>EXP(-LN(2)/2)*EX53+(1-EXP(-LN(2)/2))/(LN(2)/2)*ER54*EU54*VLOOKUP('Données projet'!$B$15,Paramètres!$A$1:$I$89,3,0)*0.475*44/12</f>
        <v>9.2419413066475368E-4</v>
      </c>
      <c r="EY54" s="22">
        <f t="shared" si="21"/>
        <v>8.6628296592282812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3.9</v>
      </c>
      <c r="FE54" s="12">
        <f>IF('Données projet'!$A$218&gt;35,FE53+FD54-FM53,IF(A54&lt;'Données projet'!$A$218,$FB$205^A54,IF(A54='Données projet'!$A$218,'Données projet'!$B$218,FE53+FD54-FM53)))</f>
        <v>89.899999999999935</v>
      </c>
      <c r="FF54" s="17">
        <f>FE54*VLOOKUP('Données projet'!$B$16,Paramètres!$A$1:$I$89,3,0)*VLOOKUP('Données projet'!$B$16,Paramètres!$A$1:$I$89,5,0)</f>
        <v>86.95127999999994</v>
      </c>
      <c r="FG54" s="13">
        <f t="shared" si="47"/>
        <v>23.828478930374033</v>
      </c>
      <c r="FH54" s="20">
        <f t="shared" si="22"/>
        <v>192.94141347040133</v>
      </c>
      <c r="FI54" s="59">
        <f t="shared" si="23"/>
        <v>486.27474680373462</v>
      </c>
      <c r="FJ54" s="59">
        <f ca="1">AVERAGE(OFFSET($FI$3,0,0,'Données projet'!$E$16+1,1))-AVERAGE(OFFSET($H$3,0,0,'Données projet'!$E$16+1,1))</f>
        <v>102.86738524979938</v>
      </c>
      <c r="FK54" s="59">
        <f t="shared" si="48"/>
        <v>56.347130462109817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0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0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8.4</v>
      </c>
      <c r="FZ54" s="12">
        <f>IF('Données projet'!$A$244&gt;35,FZ53+FY54-GH53,IF(A54&lt;'Données projet'!$A$244,$FW$205^A54,IF(A54='Données projet'!$A$244,'Données projet'!$B$244,FZ53+FY54-GH53)))</f>
        <v>175.40000000000012</v>
      </c>
      <c r="GA54" s="17">
        <f>FZ54*VLOOKUP('Données projet'!$B$17,Paramètres!$A$1:$I$89,3,0)*VLOOKUP('Données projet'!$B$17,Paramètres!$A$1:$I$89,5,0)</f>
        <v>117.65832000000009</v>
      </c>
      <c r="GB54" s="13">
        <f t="shared" si="49"/>
        <v>31.128216057253265</v>
      </c>
      <c r="GC54" s="20">
        <f t="shared" si="25"/>
        <v>259.13655029971625</v>
      </c>
      <c r="GD54" s="59">
        <f t="shared" si="26"/>
        <v>552.46988363304956</v>
      </c>
      <c r="GE54" s="59">
        <f ca="1">AVERAGE(OFFSET($GD$3,0,0,'Données projet'!$E$17+1,1))-AVERAGE(OFFSET($H$3,0,0,'Données projet'!$E$17+1,1))</f>
        <v>168.00454652899231</v>
      </c>
      <c r="GF54" s="59">
        <f t="shared" si="50"/>
        <v>135.31958994080446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0</v>
      </c>
      <c r="GM54" s="21">
        <f>EXP(-LN(2)/25)*GM53+(1-EXP(-LN(2)/25))/(LN(2)/25)*Calculateur!GH54*Calculateur!GJ54*VLOOKUP('Données projet'!$B$17,Paramètres!$A$1:$I$89,3,0)*0.475*44/12</f>
        <v>0</v>
      </c>
      <c r="GN54" s="21">
        <f>EXP(-LN(2)/2)*GN53+(1-EXP(-LN(2)/2))/(LN(2)/2)*GH54*GK54*VLOOKUP('Données projet'!$B$17,Paramètres!$A$1:$I$89,3,0)*0.475*44/12</f>
        <v>0</v>
      </c>
      <c r="GO54" s="21">
        <f t="shared" si="27"/>
        <v>0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8.8736263736263741</v>
      </c>
      <c r="N55" s="13">
        <f>IF('Données projet'!$A$36&gt;35,N54+M55-V54,IF(A55&lt;'Données projet'!$A$36,$K$205^A55,IF(A55='Données projet'!$A$36,'Données projet'!$B$36,N54+M55-V54)))</f>
        <v>171.82142857142858</v>
      </c>
      <c r="O55" s="13">
        <f>N55*VLOOKUP('Données projet'!$B$9,Paramètres!$A$1:$I$89,3,0)*VLOOKUP('Données projet'!$B$9,Paramètres!$A$1:$I$89,5,0)</f>
        <v>155.4640285714286</v>
      </c>
      <c r="P55" s="13">
        <f t="shared" si="33"/>
        <v>39.817708233223598</v>
      </c>
      <c r="Q55" s="20">
        <f t="shared" si="53"/>
        <v>340.11569160143591</v>
      </c>
      <c r="R55" s="59">
        <f t="shared" si="0"/>
        <v>633.44902493476923</v>
      </c>
      <c r="S55" s="59">
        <f ca="1">AVERAGE(OFFSET($R$3,0,0,'Données projet'!$E$9+1,1))-AVERAGE(OFFSET($H$3,0,0,'Données projet'!$E$9+1,1))</f>
        <v>221.7429870520005</v>
      </c>
      <c r="T55" s="59">
        <f t="shared" si="34"/>
        <v>182.2029938397186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0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6.3942307692307665</v>
      </c>
      <c r="AI55" s="13">
        <f>IF('Données projet'!$A$62&gt;35,AI54+AH55-AQ54,IF(A55&lt;'Données projet'!$A$62,$AF$205^A55,IF(A55='Données projet'!$A$62,'Données projet'!$B$62,AI54+AH55-AQ54)))</f>
        <v>114.49679487179483</v>
      </c>
      <c r="AJ55" s="13">
        <f>AI55*VLOOKUP('Données projet'!$B$10,Paramètres!$A$1:$I$89,3,0)*VLOOKUP('Données projet'!$B$10,Paramètres!$A$1:$I$89,5,0)</f>
        <v>103.59669999999997</v>
      </c>
      <c r="AK55" s="13">
        <f t="shared" si="35"/>
        <v>27.817091630299288</v>
      </c>
      <c r="AL55" s="20">
        <f t="shared" si="4"/>
        <v>228.87902042277122</v>
      </c>
      <c r="AM55" s="59">
        <f t="shared" si="5"/>
        <v>522.21235375610456</v>
      </c>
      <c r="AN55" s="59">
        <f ca="1">AVERAGE(OFFSET($AM$3,0,0,'Données projet'!$E$10+1,1))-AVERAGE(OFFSET($H$3,0,0,'Données projet'!$E$10+1,1))</f>
        <v>153.45079678708987</v>
      </c>
      <c r="AO55" s="59">
        <f t="shared" si="36"/>
        <v>115.4217868409637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14.668131868131875</v>
      </c>
      <c r="BD55" s="12">
        <f>IF('Données projet'!$A$88&gt;35,BD54+BC55-BL54,IF(A55&lt;'Données projet'!$A$88,$BA$205^A55,IF(A55='Données projet'!$A$88,'Données projet'!$B$88,BD54+BC55-BL54)))</f>
        <v>289.3813186813187</v>
      </c>
      <c r="BE55" s="13">
        <f>BD55*VLOOKUP('Données projet'!$B$11,Paramètres!$A$1:$I$89,3,0)*VLOOKUP('Données projet'!$B$11,Paramètres!$A$1:$I$89,5,0)</f>
        <v>135.43045714285716</v>
      </c>
      <c r="BF55" s="13">
        <f t="shared" si="37"/>
        <v>35.248174253598229</v>
      </c>
      <c r="BG55" s="20">
        <f t="shared" si="7"/>
        <v>297.26528301549314</v>
      </c>
      <c r="BH55" s="59">
        <f t="shared" si="8"/>
        <v>590.59861634882645</v>
      </c>
      <c r="BI55" s="59">
        <f ca="1">AVERAGE(OFFSET($BH$3,0,0,'Données projet'!$E$11+1,1))-AVERAGE(OFFSET($H$3,0,0,'Données projet'!$E$11+1,1))</f>
        <v>158.58786357608489</v>
      </c>
      <c r="BJ55" s="59">
        <f t="shared" si="38"/>
        <v>163.20074068819849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10</v>
      </c>
      <c r="BY55" s="12">
        <f>IF('Données projet'!$A$114&gt;35,BY54+BX55-CG54,IF(A55&lt;'Données projet'!$A$114,$BV$205^A55,IF(A55='Données projet'!$A$114,'Données projet'!$B$114,BY54+BX55-CG54)))</f>
        <v>323.99999999999989</v>
      </c>
      <c r="BZ55" s="13">
        <f>BY55*VLOOKUP('Données projet'!$B$12,Paramètres!$A$1:$I$89,3,0)*VLOOKUP('Données projet'!$B$12,Paramètres!$A$1:$I$89,5,0)</f>
        <v>202.17599999999996</v>
      </c>
      <c r="CA55" s="13">
        <f t="shared" si="39"/>
        <v>50.22208506756467</v>
      </c>
      <c r="CB55" s="20">
        <f t="shared" si="10"/>
        <v>439.59333149267508</v>
      </c>
      <c r="CC55" s="59">
        <f t="shared" si="11"/>
        <v>732.92666482600839</v>
      </c>
      <c r="CD55" s="59">
        <f ca="1">AVERAGE(OFFSET($CC$3,0,0,'Données projet'!$E$12+1,1))-AVERAGE(OFFSET($H$3,0,0,'Données projet'!$E$12+1,1))</f>
        <v>255.41017495879987</v>
      </c>
      <c r="CE55" s="59">
        <f t="shared" si="40"/>
        <v>297.50513563712764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5.3970274110055403</v>
      </c>
      <c r="CL55" s="21">
        <f>EXP(-LN(2)/25)*CL54+(1-EXP(-LN(2)/25))/(LN(2)/25)*Calculateur!CG55*Calculateur!CI55*VLOOKUP('Données projet'!$B$12,Paramètres!$A$1:$I$89,3,0)*0.475*44/12</f>
        <v>15.143578427146748</v>
      </c>
      <c r="CM55" s="21">
        <f>EXP(-LN(2)/2)*CM54+(1-EXP(-LN(2)/2))/(LN(2)/2)*CG55*CJ55*VLOOKUP('Données projet'!$B$12,Paramètres!$A$1:$I$89,3,0)*0.475*44/12</f>
        <v>1.1914644109820254E-2</v>
      </c>
      <c r="CN55" s="22">
        <f t="shared" si="12"/>
        <v>20.552520482262107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>
        <f>VLOOKUP(A55,'Données projet'!$A$139:$I$159,2,0)</f>
        <v>248.96153846153842</v>
      </c>
      <c r="CR55" s="12">
        <f>VLOOKUP(A55,'Données projet'!$A$139:$I$159,9,0)</f>
        <v>8.3442307692307658</v>
      </c>
      <c r="CS55" s="12">
        <f t="array" ref="CS55">INDEX(CR:CR,MIN(IF(ISNUMBER(CR55:CR251),ROW(CR55:CR251),"")))</f>
        <v>8.3442307692307658</v>
      </c>
      <c r="CT55" s="12">
        <f>IF('Données projet'!$A$140&gt;35,CT54+CS55-DB54,IF(A55&lt;'Données projet'!$A$140,$CQ$205^A55,IF(A55='Données projet'!$A$140,'Données projet'!$B$140,CT54+CS55-DB54)))</f>
        <v>248.96153846153834</v>
      </c>
      <c r="CU55" s="17">
        <f>CT55*VLOOKUP('Données projet'!$B$13,Paramètres!$A$1:$I$89,3,0)*VLOOKUP('Données projet'!$B$13,Paramètres!$A$1:$I$89,5,0)</f>
        <v>142.40599999999992</v>
      </c>
      <c r="CV55" s="13">
        <f t="shared" si="41"/>
        <v>36.847638507095525</v>
      </c>
      <c r="CW55" s="20">
        <f t="shared" si="13"/>
        <v>312.20008706652453</v>
      </c>
      <c r="CX55" s="59">
        <f t="shared" si="14"/>
        <v>605.53342039985785</v>
      </c>
      <c r="CY55" s="59">
        <f ca="1">AVERAGE(OFFSET($CX$3,0,0,'Données projet'!$E$13+1,1))-AVERAGE(OFFSET($H$3,0,0,'Données projet'!$E$13+1,1))</f>
        <v>134.70214882504786</v>
      </c>
      <c r="CZ55" s="59">
        <f t="shared" si="42"/>
        <v>102.18553029667771</v>
      </c>
      <c r="DA55" s="15">
        <f>IF(ISNA(VLOOKUP(A55,'Données projet'!$A$139:$I$159,3,0)),0,VLOOKUP(A55,'Données projet'!$A$139:$I$159,3,0))</f>
        <v>5</v>
      </c>
      <c r="DB55" s="15">
        <f>IF(ISNA(VLOOKUP(A55,'Données projet'!$A$139:$I$159,4,0)),0,VLOOKUP(A55,'Données projet'!$A$139:$I$159,4,0))</f>
        <v>42.030769230769231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0.68756462439411781</v>
      </c>
      <c r="DG55" s="21">
        <f>EXP(-LN(2)/25)*DG54+(1-EXP(-LN(2)/25))/(LN(2)/25)*Calculateur!DB55*Calculateur!DD55*VLOOKUP('Données projet'!$B$13,Paramètres!$A$1:$I$89,3,0)*0.475*44/12</f>
        <v>6.8190699484654562</v>
      </c>
      <c r="DH55" s="21">
        <f>EXP(-LN(2)/2)*DH54+(1-EXP(-LN(2)/2))/(LN(2)/2)*DB55*DE55*VLOOKUP('Données projet'!$B$13,Paramètres!$A$1:$I$89,3,0)*0.475*44/12</f>
        <v>3.7626447368269088E-3</v>
      </c>
      <c r="DI55" s="22">
        <f t="shared" si="15"/>
        <v>7.5103972175964007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10.66307692307692</v>
      </c>
      <c r="DO55" s="12">
        <f>IF('Données projet'!$A$166&gt;35,DO54+DN55-DW54,IF(A55&lt;'Données projet'!$A$166,$DL$205^A55,IF(A55='Données projet'!$A$166,'Données projet'!$B$166,DO54+DN55-DW54)))</f>
        <v>257.11846153846159</v>
      </c>
      <c r="DP55" s="17">
        <f>DO55*VLOOKUP('Données projet'!$B$14,Paramètres!$A$1:$I$89,3,0)*VLOOKUP('Données projet'!$B$14,Paramètres!$A$1:$I$89,5,0)</f>
        <v>153.75684000000004</v>
      </c>
      <c r="DQ55" s="13">
        <f t="shared" si="43"/>
        <v>39.431107959482766</v>
      </c>
      <c r="DR55" s="20">
        <f t="shared" si="16"/>
        <v>336.46900936276592</v>
      </c>
      <c r="DS55" s="59">
        <f t="shared" si="17"/>
        <v>629.80234269609923</v>
      </c>
      <c r="DT55" s="59">
        <f ca="1">AVERAGE(OFFSET($DS$3,0,0,'Données projet'!$E$14+1,1))-AVERAGE(OFFSET($H$3,0,0,'Données projet'!$E$14+1,1))</f>
        <v>179.32848817523677</v>
      </c>
      <c r="DU55" s="59">
        <f t="shared" si="44"/>
        <v>131.3292389103035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7.1616253919280934</v>
      </c>
      <c r="EC55" s="21">
        <f>EXP(-LN(2)/2)*EC54+(1-EXP(-LN(2)/2))/(LN(2)/2)*DW55*DZ55*VLOOKUP('Données projet'!$B$14,Paramètres!$A$1:$I$89,3,0)*0.475*44/12</f>
        <v>2.5697604381081244E-3</v>
      </c>
      <c r="ED55" s="22">
        <f t="shared" si="18"/>
        <v>7.1641951523662017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20.507692307692299</v>
      </c>
      <c r="EJ55" s="12">
        <f>IF('Données projet'!$A$192&gt;35,EJ54+EI55-ER54,IF(A55&lt;'Données projet'!$A$192,$EG$205^A55,IF(A55='Données projet'!$A$192,'Données projet'!$B$192,EJ54+EI55-ER54)))</f>
        <v>525.78461538461511</v>
      </c>
      <c r="EK55" s="17">
        <f>EJ55*VLOOKUP('Données projet'!$B$15,Paramètres!$A$1:$I$89,3,0)*VLOOKUP('Données projet'!$B$15,Paramètres!$A$1:$I$89,5,0)</f>
        <v>232.3967999999999</v>
      </c>
      <c r="EL55" s="13">
        <f t="shared" si="45"/>
        <v>56.800612628234077</v>
      </c>
      <c r="EM55" s="20">
        <f t="shared" si="19"/>
        <v>503.68549366084079</v>
      </c>
      <c r="EN55" s="59">
        <f t="shared" si="20"/>
        <v>797.01882699417411</v>
      </c>
      <c r="EO55" s="59">
        <f ca="1">AVERAGE(OFFSET($EN$3,0,0,'Données projet'!$E$15+1,1))-AVERAGE(OFFSET($H$3,0,0,'Données projet'!$E$15+1,1))</f>
        <v>191.932060106699</v>
      </c>
      <c r="EP55" s="59">
        <f t="shared" si="46"/>
        <v>260.28593152736903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1.5803592667336823</v>
      </c>
      <c r="EW55" s="21">
        <f>EXP(-LN(2)/25)*EW54+(1-EXP(-LN(2)/25))/(LN(2)/25)*Calculateur!ER55*Calculateur!ET55*VLOOKUP('Données projet'!$B$15,Paramètres!$A$1:$I$89,3,0)*0.475*44/12</f>
        <v>6.8571555860652378</v>
      </c>
      <c r="EX55" s="21">
        <f>EXP(-LN(2)/2)*EX54+(1-EXP(-LN(2)/2))/(LN(2)/2)*ER55*EU55*VLOOKUP('Données projet'!$B$15,Paramètres!$A$1:$I$89,3,0)*0.475*44/12</f>
        <v>6.5350393692585357E-4</v>
      </c>
      <c r="EY55" s="22">
        <f t="shared" si="21"/>
        <v>8.4381683567358454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3.9</v>
      </c>
      <c r="FE55" s="12">
        <f>IF('Données projet'!$A$218&gt;35,FE54+FD55-FM54,IF(A55&lt;'Données projet'!$A$218,$FB$205^A55,IF(A55='Données projet'!$A$218,'Données projet'!$B$218,FE54+FD55-FM54)))</f>
        <v>93.79999999999994</v>
      </c>
      <c r="FF55" s="17">
        <f>FE55*VLOOKUP('Données projet'!$B$16,Paramètres!$A$1:$I$89,3,0)*VLOOKUP('Données projet'!$B$16,Paramètres!$A$1:$I$89,5,0)</f>
        <v>90.723359999999943</v>
      </c>
      <c r="FG55" s="13">
        <f t="shared" si="47"/>
        <v>24.73960064424023</v>
      </c>
      <c r="FH55" s="20">
        <f t="shared" si="22"/>
        <v>201.09798978871825</v>
      </c>
      <c r="FI55" s="59">
        <f t="shared" si="23"/>
        <v>494.43132312205159</v>
      </c>
      <c r="FJ55" s="59">
        <f ca="1">AVERAGE(OFFSET($FI$3,0,0,'Données projet'!$E$16+1,1))-AVERAGE(OFFSET($H$3,0,0,'Données projet'!$E$16+1,1))</f>
        <v>102.86738524979938</v>
      </c>
      <c r="FK55" s="59">
        <f t="shared" si="48"/>
        <v>56.347130462109817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0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0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8.4</v>
      </c>
      <c r="FZ55" s="12">
        <f>IF('Données projet'!$A$244&gt;35,FZ54+FY55-GH54,IF(A55&lt;'Données projet'!$A$244,$FW$205^A55,IF(A55='Données projet'!$A$244,'Données projet'!$B$244,FZ54+FY55-GH54)))</f>
        <v>183.80000000000013</v>
      </c>
      <c r="GA55" s="17">
        <f>FZ55*VLOOKUP('Données projet'!$B$17,Paramètres!$A$1:$I$89,3,0)*VLOOKUP('Données projet'!$B$17,Paramètres!$A$1:$I$89,5,0)</f>
        <v>123.29304000000008</v>
      </c>
      <c r="GB55" s="13">
        <f t="shared" si="49"/>
        <v>32.441832476859872</v>
      </c>
      <c r="GC55" s="20">
        <f t="shared" si="25"/>
        <v>271.23823623053107</v>
      </c>
      <c r="GD55" s="59">
        <f t="shared" si="26"/>
        <v>564.57156956386439</v>
      </c>
      <c r="GE55" s="59">
        <f ca="1">AVERAGE(OFFSET($GD$3,0,0,'Données projet'!$E$17+1,1))-AVERAGE(OFFSET($H$3,0,0,'Données projet'!$E$17+1,1))</f>
        <v>168.00454652899231</v>
      </c>
      <c r="GF55" s="59">
        <f t="shared" si="50"/>
        <v>135.31958994080446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0</v>
      </c>
      <c r="GM55" s="21">
        <f>EXP(-LN(2)/25)*GM54+(1-EXP(-LN(2)/25))/(LN(2)/25)*Calculateur!GH55*Calculateur!GJ55*VLOOKUP('Données projet'!$B$17,Paramètres!$A$1:$I$89,3,0)*0.475*44/12</f>
        <v>0</v>
      </c>
      <c r="GN55" s="21">
        <f>EXP(-LN(2)/2)*GN54+(1-EXP(-LN(2)/2))/(LN(2)/2)*GH55*GK55*VLOOKUP('Données projet'!$B$17,Paramètres!$A$1:$I$89,3,0)*0.475*44/12</f>
        <v>0</v>
      </c>
      <c r="GO55" s="21">
        <f t="shared" si="27"/>
        <v>0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8.8736263736263741</v>
      </c>
      <c r="N56" s="13">
        <f>IF('Données projet'!$A$36&gt;35,N55+M56-V55,IF(A56&lt;'Données projet'!$A$36,$K$205^A56,IF(A56='Données projet'!$A$36,'Données projet'!$B$36,N55+M56-V55)))</f>
        <v>180.69505494505495</v>
      </c>
      <c r="O56" s="13">
        <f>N56*VLOOKUP('Données projet'!$B$9,Paramètres!$A$1:$I$89,3,0)*VLOOKUP('Données projet'!$B$9,Paramètres!$A$1:$I$89,5,0)</f>
        <v>163.49288571428571</v>
      </c>
      <c r="P56" s="13">
        <f t="shared" si="33"/>
        <v>41.629352600963429</v>
      </c>
      <c r="Q56" s="20">
        <f t="shared" si="53"/>
        <v>357.25456506572556</v>
      </c>
      <c r="R56" s="59">
        <f t="shared" si="0"/>
        <v>650.58789839905887</v>
      </c>
      <c r="S56" s="59">
        <f ca="1">AVERAGE(OFFSET($R$3,0,0,'Données projet'!$E$9+1,1))-AVERAGE(OFFSET($H$3,0,0,'Données projet'!$E$9+1,1))</f>
        <v>221.7429870520005</v>
      </c>
      <c r="T56" s="59">
        <f t="shared" si="34"/>
        <v>182.2029938397186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0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6.3942307692307665</v>
      </c>
      <c r="AI56" s="13">
        <f>IF('Données projet'!$A$62&gt;35,AI55+AH56-AQ55,IF(A56&lt;'Données projet'!$A$62,$AF$205^A56,IF(A56='Données projet'!$A$62,'Données projet'!$B$62,AI55+AH56-AQ55)))</f>
        <v>120.89102564102561</v>
      </c>
      <c r="AJ56" s="13">
        <f>AI56*VLOOKUP('Données projet'!$B$10,Paramètres!$A$1:$I$89,3,0)*VLOOKUP('Données projet'!$B$10,Paramètres!$A$1:$I$89,5,0)</f>
        <v>109.38219999999997</v>
      </c>
      <c r="AK56" s="13">
        <f t="shared" si="35"/>
        <v>29.185378395108014</v>
      </c>
      <c r="AL56" s="20">
        <f t="shared" si="4"/>
        <v>241.33853237147972</v>
      </c>
      <c r="AM56" s="59">
        <f t="shared" si="5"/>
        <v>534.67186570481306</v>
      </c>
      <c r="AN56" s="59">
        <f ca="1">AVERAGE(OFFSET($AM$3,0,0,'Données projet'!$E$10+1,1))-AVERAGE(OFFSET($H$3,0,0,'Données projet'!$E$10+1,1))</f>
        <v>153.45079678708987</v>
      </c>
      <c r="AO56" s="59">
        <f t="shared" si="36"/>
        <v>115.4217868409637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14.668131868131875</v>
      </c>
      <c r="BD56" s="12">
        <f>IF('Données projet'!$A$88&gt;35,BD55+BC56-BL55,IF(A56&lt;'Données projet'!$A$88,$BA$205^A56,IF(A56='Données projet'!$A$88,'Données projet'!$B$88,BD55+BC56-BL55)))</f>
        <v>304.04945054945057</v>
      </c>
      <c r="BE56" s="13">
        <f>BD56*VLOOKUP('Données projet'!$B$11,Paramètres!$A$1:$I$89,3,0)*VLOOKUP('Données projet'!$B$11,Paramètres!$A$1:$I$89,5,0)</f>
        <v>142.29514285714285</v>
      </c>
      <c r="BF56" s="13">
        <f t="shared" si="37"/>
        <v>36.822291864436032</v>
      </c>
      <c r="BG56" s="20">
        <f t="shared" si="7"/>
        <v>311.96286547341651</v>
      </c>
      <c r="BH56" s="59">
        <f t="shared" si="8"/>
        <v>605.29619880674977</v>
      </c>
      <c r="BI56" s="59">
        <f ca="1">AVERAGE(OFFSET($BH$3,0,0,'Données projet'!$E$11+1,1))-AVERAGE(OFFSET($H$3,0,0,'Données projet'!$E$11+1,1))</f>
        <v>158.58786357608489</v>
      </c>
      <c r="BJ56" s="59">
        <f t="shared" si="38"/>
        <v>163.20074068819849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10</v>
      </c>
      <c r="BY56" s="12">
        <f>IF('Données projet'!$A$114&gt;35,BY55+BX56-CG55,IF(A56&lt;'Données projet'!$A$114,$BV$205^A56,IF(A56='Données projet'!$A$114,'Données projet'!$B$114,BY55+BX56-CG55)))</f>
        <v>333.99999999999989</v>
      </c>
      <c r="BZ56" s="13">
        <f>BY56*VLOOKUP('Données projet'!$B$12,Paramètres!$A$1:$I$89,3,0)*VLOOKUP('Données projet'!$B$12,Paramètres!$A$1:$I$89,5,0)</f>
        <v>208.41599999999991</v>
      </c>
      <c r="CA56" s="13">
        <f t="shared" si="39"/>
        <v>51.589289462027516</v>
      </c>
      <c r="CB56" s="20">
        <f t="shared" si="10"/>
        <v>452.84254581303099</v>
      </c>
      <c r="CC56" s="59">
        <f t="shared" si="11"/>
        <v>746.17587914636431</v>
      </c>
      <c r="CD56" s="59">
        <f ca="1">AVERAGE(OFFSET($CC$3,0,0,'Données projet'!$E$12+1,1))-AVERAGE(OFFSET($H$3,0,0,'Données projet'!$E$12+1,1))</f>
        <v>255.41017495879987</v>
      </c>
      <c r="CE56" s="59">
        <f t="shared" si="40"/>
        <v>297.50513563712764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5.2911949953373982</v>
      </c>
      <c r="CL56" s="21">
        <f>EXP(-LN(2)/25)*CL55+(1-EXP(-LN(2)/25))/(LN(2)/25)*Calculateur!CG56*Calculateur!CI56*VLOOKUP('Données projet'!$B$12,Paramètres!$A$1:$I$89,3,0)*0.475*44/12</f>
        <v>14.729476478690241</v>
      </c>
      <c r="CM56" s="21">
        <f>EXP(-LN(2)/2)*CM55+(1-EXP(-LN(2)/2))/(LN(2)/2)*CG56*CJ56*VLOOKUP('Données projet'!$B$12,Paramètres!$A$1:$I$89,3,0)*0.475*44/12</f>
        <v>8.4249256454782574E-3</v>
      </c>
      <c r="CN56" s="22">
        <f t="shared" si="12"/>
        <v>20.029096399673119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7.361538461538462</v>
      </c>
      <c r="CT56" s="12">
        <f>IF('Données projet'!$A$140&gt;35,CT55+CS56-DB55,IF(A56&lt;'Données projet'!$A$140,$CQ$205^A56,IF(A56='Données projet'!$A$140,'Données projet'!$B$140,CT55+CS56-DB55)))</f>
        <v>214.29230769230759</v>
      </c>
      <c r="CU56" s="17">
        <f>CT56*VLOOKUP('Données projet'!$B$13,Paramètres!$A$1:$I$89,3,0)*VLOOKUP('Données projet'!$B$13,Paramètres!$A$1:$I$89,5,0)</f>
        <v>122.57519999999995</v>
      </c>
      <c r="CV56" s="13">
        <f t="shared" si="41"/>
        <v>32.274878166740493</v>
      </c>
      <c r="CW56" s="20">
        <f t="shared" si="13"/>
        <v>269.69721947373961</v>
      </c>
      <c r="CX56" s="59">
        <f t="shared" si="14"/>
        <v>563.03055280707292</v>
      </c>
      <c r="CY56" s="59">
        <f ca="1">AVERAGE(OFFSET($CX$3,0,0,'Données projet'!$E$13+1,1))-AVERAGE(OFFSET($H$3,0,0,'Données projet'!$E$13+1,1))</f>
        <v>134.70214882504786</v>
      </c>
      <c r="CZ56" s="59">
        <f t="shared" si="42"/>
        <v>102.18553029667771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0.67408190148276037</v>
      </c>
      <c r="DG56" s="21">
        <f>EXP(-LN(2)/25)*DG55+(1-EXP(-LN(2)/25))/(LN(2)/25)*Calculateur!DB56*Calculateur!DD56*VLOOKUP('Données projet'!$B$13,Paramètres!$A$1:$I$89,3,0)*0.475*44/12</f>
        <v>6.6326021221253653</v>
      </c>
      <c r="DH56" s="21">
        <f>EXP(-LN(2)/2)*DH55+(1-EXP(-LN(2)/2))/(LN(2)/2)*DB56*DE56*VLOOKUP('Données projet'!$B$13,Paramètres!$A$1:$I$89,3,0)*0.475*44/12</f>
        <v>2.6605916086061797E-3</v>
      </c>
      <c r="DI56" s="22">
        <f t="shared" si="15"/>
        <v>7.3093446152167321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10.66307692307692</v>
      </c>
      <c r="DO56" s="12">
        <f>IF('Données projet'!$A$166&gt;35,DO55+DN56-DW55,IF(A56&lt;'Données projet'!$A$166,$DL$205^A56,IF(A56='Données projet'!$A$166,'Données projet'!$B$166,DO55+DN56-DW55)))</f>
        <v>267.7815384615385</v>
      </c>
      <c r="DP56" s="17">
        <f>DO56*VLOOKUP('Données projet'!$B$14,Paramètres!$A$1:$I$89,3,0)*VLOOKUP('Données projet'!$B$14,Paramètres!$A$1:$I$89,5,0)</f>
        <v>160.13336000000004</v>
      </c>
      <c r="DQ56" s="13">
        <f t="shared" si="43"/>
        <v>40.872593668242253</v>
      </c>
      <c r="DR56" s="20">
        <f t="shared" si="16"/>
        <v>350.08536930552197</v>
      </c>
      <c r="DS56" s="59">
        <f t="shared" si="17"/>
        <v>643.41870263885528</v>
      </c>
      <c r="DT56" s="59">
        <f ca="1">AVERAGE(OFFSET($DS$3,0,0,'Données projet'!$E$14+1,1))-AVERAGE(OFFSET($H$3,0,0,'Données projet'!$E$14+1,1))</f>
        <v>179.32848817523677</v>
      </c>
      <c r="DU56" s="59">
        <f t="shared" si="44"/>
        <v>131.3292389103035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6.9657903689723089</v>
      </c>
      <c r="EC56" s="21">
        <f>EXP(-LN(2)/2)*EC55+(1-EXP(-LN(2)/2))/(LN(2)/2)*DW56*DZ56*VLOOKUP('Données projet'!$B$14,Paramètres!$A$1:$I$89,3,0)*0.475*44/12</f>
        <v>1.8170950318111682E-3</v>
      </c>
      <c r="ED56" s="22">
        <f t="shared" si="18"/>
        <v>6.9676074640041197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20.507692307692299</v>
      </c>
      <c r="EJ56" s="12">
        <f>IF('Données projet'!$A$192&gt;35,EJ55+EI56-ER55,IF(A56&lt;'Données projet'!$A$192,$EG$205^A56,IF(A56='Données projet'!$A$192,'Données projet'!$B$192,EJ55+EI56-ER55)))</f>
        <v>546.29230769230742</v>
      </c>
      <c r="EK56" s="17">
        <f>EJ56*VLOOKUP('Données projet'!$B$15,Paramètres!$A$1:$I$89,3,0)*VLOOKUP('Données projet'!$B$15,Paramètres!$A$1:$I$89,5,0)</f>
        <v>241.46119999999988</v>
      </c>
      <c r="EL56" s="13">
        <f t="shared" si="45"/>
        <v>58.75380363263011</v>
      </c>
      <c r="EM56" s="20">
        <f t="shared" si="19"/>
        <v>522.87446466016388</v>
      </c>
      <c r="EN56" s="59">
        <f t="shared" si="20"/>
        <v>816.20779799349725</v>
      </c>
      <c r="EO56" s="59">
        <f ca="1">AVERAGE(OFFSET($EN$3,0,0,'Données projet'!$E$15+1,1))-AVERAGE(OFFSET($H$3,0,0,'Données projet'!$E$15+1,1))</f>
        <v>191.932060106699</v>
      </c>
      <c r="EP56" s="59">
        <f t="shared" si="46"/>
        <v>260.28593152736903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1.5493693854370079</v>
      </c>
      <c r="EW56" s="21">
        <f>EXP(-LN(2)/25)*EW55+(1-EXP(-LN(2)/25))/(LN(2)/25)*Calculateur!ER56*Calculateur!ET56*VLOOKUP('Données projet'!$B$15,Paramètres!$A$1:$I$89,3,0)*0.475*44/12</f>
        <v>6.6696463059621438</v>
      </c>
      <c r="EX56" s="21">
        <f>EXP(-LN(2)/2)*EX55+(1-EXP(-LN(2)/2))/(LN(2)/2)*ER56*EU56*VLOOKUP('Données projet'!$B$15,Paramètres!$A$1:$I$89,3,0)*0.475*44/12</f>
        <v>4.6209706533237695E-4</v>
      </c>
      <c r="EY56" s="22">
        <f t="shared" si="21"/>
        <v>8.2194777884644843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3.9</v>
      </c>
      <c r="FE56" s="12">
        <f>IF('Données projet'!$A$218&gt;35,FE55+FD56-FM55,IF(A56&lt;'Données projet'!$A$218,$FB$205^A56,IF(A56='Données projet'!$A$218,'Données projet'!$B$218,FE55+FD56-FM55)))</f>
        <v>97.699999999999946</v>
      </c>
      <c r="FF56" s="17">
        <f>FE56*VLOOKUP('Données projet'!$B$16,Paramètres!$A$1:$I$89,3,0)*VLOOKUP('Données projet'!$B$16,Paramètres!$A$1:$I$89,5,0)</f>
        <v>94.495439999999945</v>
      </c>
      <c r="FG56" s="13">
        <f t="shared" si="47"/>
        <v>25.646322154045109</v>
      </c>
      <c r="FH56" s="20">
        <f t="shared" si="22"/>
        <v>209.24690241829512</v>
      </c>
      <c r="FI56" s="59">
        <f t="shared" si="23"/>
        <v>502.58023575162844</v>
      </c>
      <c r="FJ56" s="59">
        <f ca="1">AVERAGE(OFFSET($FI$3,0,0,'Données projet'!$E$16+1,1))-AVERAGE(OFFSET($H$3,0,0,'Données projet'!$E$16+1,1))</f>
        <v>102.86738524979938</v>
      </c>
      <c r="FK56" s="59">
        <f t="shared" si="48"/>
        <v>56.347130462109817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0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0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8.4</v>
      </c>
      <c r="FZ56" s="12">
        <f>IF('Données projet'!$A$244&gt;35,FZ55+FY56-GH55,IF(A56&lt;'Données projet'!$A$244,$FW$205^A56,IF(A56='Données projet'!$A$244,'Données projet'!$B$244,FZ55+FY56-GH55)))</f>
        <v>192.20000000000013</v>
      </c>
      <c r="GA56" s="17">
        <f>FZ56*VLOOKUP('Données projet'!$B$17,Paramètres!$A$1:$I$89,3,0)*VLOOKUP('Données projet'!$B$17,Paramètres!$A$1:$I$89,5,0)</f>
        <v>128.92776000000009</v>
      </c>
      <c r="GB56" s="13">
        <f t="shared" si="49"/>
        <v>33.748476848784549</v>
      </c>
      <c r="GC56" s="20">
        <f t="shared" si="25"/>
        <v>283.32777917829992</v>
      </c>
      <c r="GD56" s="59">
        <f t="shared" si="26"/>
        <v>576.66111251163329</v>
      </c>
      <c r="GE56" s="59">
        <f ca="1">AVERAGE(OFFSET($GD$3,0,0,'Données projet'!$E$17+1,1))-AVERAGE(OFFSET($H$3,0,0,'Données projet'!$E$17+1,1))</f>
        <v>168.00454652899231</v>
      </c>
      <c r="GF56" s="59">
        <f t="shared" si="50"/>
        <v>135.31958994080446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0</v>
      </c>
      <c r="GM56" s="21">
        <f>EXP(-LN(2)/25)*GM55+(1-EXP(-LN(2)/25))/(LN(2)/25)*Calculateur!GH56*Calculateur!GJ56*VLOOKUP('Données projet'!$B$17,Paramètres!$A$1:$I$89,3,0)*0.475*44/12</f>
        <v>0</v>
      </c>
      <c r="GN56" s="21">
        <f>EXP(-LN(2)/2)*GN55+(1-EXP(-LN(2)/2))/(LN(2)/2)*GH56*GK56*VLOOKUP('Données projet'!$B$17,Paramètres!$A$1:$I$89,3,0)*0.475*44/12</f>
        <v>0</v>
      </c>
      <c r="GO56" s="21">
        <f t="shared" si="27"/>
        <v>0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8.8736263736263741</v>
      </c>
      <c r="N57" s="13">
        <f>IF('Données projet'!$A$36&gt;35,N56+M57-V56,IF(A57&lt;'Données projet'!$A$36,$K$205^A57,IF(A57='Données projet'!$A$36,'Données projet'!$B$36,N56+M57-V56)))</f>
        <v>189.56868131868131</v>
      </c>
      <c r="O57" s="13">
        <f>N57*VLOOKUP('Données projet'!$B$9,Paramètres!$A$1:$I$89,3,0)*VLOOKUP('Données projet'!$B$9,Paramètres!$A$1:$I$89,5,0)</f>
        <v>171.52174285714284</v>
      </c>
      <c r="P57" s="13">
        <f t="shared" si="33"/>
        <v>43.430666394282092</v>
      </c>
      <c r="Q57" s="20">
        <f t="shared" si="53"/>
        <v>374.37544611289837</v>
      </c>
      <c r="R57" s="59">
        <f t="shared" si="0"/>
        <v>667.70877944623169</v>
      </c>
      <c r="S57" s="59">
        <f ca="1">AVERAGE(OFFSET($R$3,0,0,'Données projet'!$E$9+1,1))-AVERAGE(OFFSET($H$3,0,0,'Données projet'!$E$9+1,1))</f>
        <v>221.7429870520005</v>
      </c>
      <c r="T57" s="59">
        <f t="shared" si="34"/>
        <v>182.2029938397186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0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6.3942307692307665</v>
      </c>
      <c r="AI57" s="13">
        <f>IF('Données projet'!$A$62&gt;35,AI56+AH57-AQ56,IF(A57&lt;'Données projet'!$A$62,$AF$205^A57,IF(A57='Données projet'!$A$62,'Données projet'!$B$62,AI56+AH57-AQ56)))</f>
        <v>127.28525641025638</v>
      </c>
      <c r="AJ57" s="13">
        <f>AI57*VLOOKUP('Données projet'!$B$10,Paramètres!$A$1:$I$89,3,0)*VLOOKUP('Données projet'!$B$10,Paramètres!$A$1:$I$89,5,0)</f>
        <v>115.16769999999995</v>
      </c>
      <c r="AK57" s="13">
        <f t="shared" si="35"/>
        <v>30.545262787038261</v>
      </c>
      <c r="AL57" s="20">
        <f t="shared" si="4"/>
        <v>253.78341018742489</v>
      </c>
      <c r="AM57" s="59">
        <f t="shared" si="5"/>
        <v>547.11674352075818</v>
      </c>
      <c r="AN57" s="59">
        <f ca="1">AVERAGE(OFFSET($AM$3,0,0,'Données projet'!$E$10+1,1))-AVERAGE(OFFSET($H$3,0,0,'Données projet'!$E$10+1,1))</f>
        <v>153.45079678708987</v>
      </c>
      <c r="AO57" s="59">
        <f t="shared" si="36"/>
        <v>115.4217868409637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14.668131868131875</v>
      </c>
      <c r="BD57" s="12">
        <f>IF('Données projet'!$A$88&gt;35,BD56+BC57-BL56,IF(A57&lt;'Données projet'!$A$88,$BA$205^A57,IF(A57='Données projet'!$A$88,'Données projet'!$B$88,BD56+BC57-BL56)))</f>
        <v>318.71758241758243</v>
      </c>
      <c r="BE57" s="13">
        <f>BD57*VLOOKUP('Données projet'!$B$11,Paramètres!$A$1:$I$89,3,0)*VLOOKUP('Données projet'!$B$11,Paramètres!$A$1:$I$89,5,0)</f>
        <v>149.15982857142859</v>
      </c>
      <c r="BF57" s="13">
        <f t="shared" si="37"/>
        <v>38.387591277502224</v>
      </c>
      <c r="BG57" s="20">
        <f t="shared" si="7"/>
        <v>326.64508957022116</v>
      </c>
      <c r="BH57" s="59">
        <f t="shared" si="8"/>
        <v>619.97842290355447</v>
      </c>
      <c r="BI57" s="59">
        <f ca="1">AVERAGE(OFFSET($BH$3,0,0,'Données projet'!$E$11+1,1))-AVERAGE(OFFSET($H$3,0,0,'Données projet'!$E$11+1,1))</f>
        <v>158.58786357608489</v>
      </c>
      <c r="BJ57" s="59">
        <f t="shared" si="38"/>
        <v>163.20074068819849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10</v>
      </c>
      <c r="BY57" s="12">
        <f>IF('Données projet'!$A$114&gt;35,BY56+BX57-CG56,IF(A57&lt;'Données projet'!$A$114,$BV$205^A57,IF(A57='Données projet'!$A$114,'Données projet'!$B$114,BY56+BX57-CG56)))</f>
        <v>343.99999999999989</v>
      </c>
      <c r="BZ57" s="13">
        <f>BY57*VLOOKUP('Données projet'!$B$12,Paramètres!$A$1:$I$89,3,0)*VLOOKUP('Données projet'!$B$12,Paramètres!$A$1:$I$89,5,0)</f>
        <v>214.65599999999995</v>
      </c>
      <c r="CA57" s="13">
        <f t="shared" si="39"/>
        <v>52.951736650296546</v>
      </c>
      <c r="CB57" s="20">
        <f t="shared" si="10"/>
        <v>466.08347466593301</v>
      </c>
      <c r="CC57" s="59">
        <f t="shared" si="11"/>
        <v>759.41680799926633</v>
      </c>
      <c r="CD57" s="59">
        <f ca="1">AVERAGE(OFFSET($CC$3,0,0,'Données projet'!$E$12+1,1))-AVERAGE(OFFSET($H$3,0,0,'Données projet'!$E$12+1,1))</f>
        <v>255.41017495879987</v>
      </c>
      <c r="CE57" s="59">
        <f t="shared" si="40"/>
        <v>297.50513563712764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5.1874378887891082</v>
      </c>
      <c r="CL57" s="21">
        <f>EXP(-LN(2)/25)*CL56+(1-EXP(-LN(2)/25))/(LN(2)/25)*Calculateur!CG57*Calculateur!CI57*VLOOKUP('Données projet'!$B$12,Paramètres!$A$1:$I$89,3,0)*0.475*44/12</f>
        <v>14.326698169790953</v>
      </c>
      <c r="CM57" s="21">
        <f>EXP(-LN(2)/2)*CM56+(1-EXP(-LN(2)/2))/(LN(2)/2)*CG57*CJ57*VLOOKUP('Données projet'!$B$12,Paramètres!$A$1:$I$89,3,0)*0.475*44/12</f>
        <v>5.9573220549101269E-3</v>
      </c>
      <c r="CN57" s="22">
        <f t="shared" si="12"/>
        <v>19.520093380634972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7.361538461538462</v>
      </c>
      <c r="CT57" s="12">
        <f>IF('Données projet'!$A$140&gt;35,CT56+CS57-DB56,IF(A57&lt;'Données projet'!$A$140,$CQ$205^A57,IF(A57='Données projet'!$A$140,'Données projet'!$B$140,CT56+CS57-DB56)))</f>
        <v>221.65384615384605</v>
      </c>
      <c r="CU57" s="17">
        <f>CT57*VLOOKUP('Données projet'!$B$13,Paramètres!$A$1:$I$89,3,0)*VLOOKUP('Données projet'!$B$13,Paramètres!$A$1:$I$89,5,0)</f>
        <v>126.78599999999994</v>
      </c>
      <c r="CV57" s="13">
        <f t="shared" si="41"/>
        <v>33.252619733254313</v>
      </c>
      <c r="CW57" s="20">
        <f t="shared" si="13"/>
        <v>278.73392936875115</v>
      </c>
      <c r="CX57" s="59">
        <f t="shared" si="14"/>
        <v>572.06726270208446</v>
      </c>
      <c r="CY57" s="59">
        <f ca="1">AVERAGE(OFFSET($CX$3,0,0,'Données projet'!$E$13+1,1))-AVERAGE(OFFSET($H$3,0,0,'Données projet'!$E$13+1,1))</f>
        <v>134.70214882504786</v>
      </c>
      <c r="CZ57" s="59">
        <f t="shared" si="42"/>
        <v>102.18553029667771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0.66086356654404577</v>
      </c>
      <c r="DG57" s="21">
        <f>EXP(-LN(2)/25)*DG56+(1-EXP(-LN(2)/25))/(LN(2)/25)*Calculateur!DB57*Calculateur!DD57*VLOOKUP('Données projet'!$B$13,Paramètres!$A$1:$I$89,3,0)*0.475*44/12</f>
        <v>6.4512332683024605</v>
      </c>
      <c r="DH57" s="21">
        <f>EXP(-LN(2)/2)*DH56+(1-EXP(-LN(2)/2))/(LN(2)/2)*DB57*DE57*VLOOKUP('Données projet'!$B$13,Paramètres!$A$1:$I$89,3,0)*0.475*44/12</f>
        <v>1.8813223684134544E-3</v>
      </c>
      <c r="DI57" s="22">
        <f t="shared" si="15"/>
        <v>7.1139781572149197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10.66307692307692</v>
      </c>
      <c r="DO57" s="12">
        <f>IF('Données projet'!$A$166&gt;35,DO56+DN57-DW56,IF(A57&lt;'Données projet'!$A$166,$DL$205^A57,IF(A57='Données projet'!$A$166,'Données projet'!$B$166,DO56+DN57-DW56)))</f>
        <v>278.44461538461542</v>
      </c>
      <c r="DP57" s="17">
        <f>DO57*VLOOKUP('Données projet'!$B$14,Paramètres!$A$1:$I$89,3,0)*VLOOKUP('Données projet'!$B$14,Paramètres!$A$1:$I$89,5,0)</f>
        <v>166.50988000000001</v>
      </c>
      <c r="DQ57" s="13">
        <f t="shared" si="43"/>
        <v>42.307411610776938</v>
      </c>
      <c r="DR57" s="20">
        <f t="shared" si="16"/>
        <v>363.69011622210314</v>
      </c>
      <c r="DS57" s="59">
        <f t="shared" si="17"/>
        <v>657.0234495554364</v>
      </c>
      <c r="DT57" s="59">
        <f ca="1">AVERAGE(OFFSET($DS$3,0,0,'Données projet'!$E$14+1,1))-AVERAGE(OFFSET($H$3,0,0,'Données projet'!$E$14+1,1))</f>
        <v>179.32848817523677</v>
      </c>
      <c r="DU57" s="59">
        <f t="shared" si="44"/>
        <v>131.3292389103035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6.7753104650177658</v>
      </c>
      <c r="EC57" s="21">
        <f>EXP(-LN(2)/2)*EC56+(1-EXP(-LN(2)/2))/(LN(2)/2)*DW57*DZ57*VLOOKUP('Données projet'!$B$14,Paramètres!$A$1:$I$89,3,0)*0.475*44/12</f>
        <v>1.2848802190540624E-3</v>
      </c>
      <c r="ED57" s="22">
        <f t="shared" si="18"/>
        <v>6.7765953452368199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>
        <f>VLOOKUP(A57,'Données projet'!$A$191:$I$211,2,0)</f>
        <v>566.79999999999995</v>
      </c>
      <c r="EH57" s="12">
        <f>VLOOKUP(A57,'Données projet'!$A$191:$I$211,9,0)</f>
        <v>20.507692307692299</v>
      </c>
      <c r="EI57" s="12">
        <f t="array" ref="EI57">INDEX(EH:EH,MIN(IF(ISNUMBER(EH57:EH253),ROW(EH57:EH253),"")))</f>
        <v>20.507692307692299</v>
      </c>
      <c r="EJ57" s="12">
        <f>IF('Données projet'!$A$192&gt;35,EJ56+EI57-ER56,IF(A57&lt;'Données projet'!$A$192,$EG$205^A57,IF(A57='Données projet'!$A$192,'Données projet'!$B$192,EJ56+EI57-ER56)))</f>
        <v>566.79999999999973</v>
      </c>
      <c r="EK57" s="17">
        <f>EJ57*VLOOKUP('Données projet'!$B$15,Paramètres!$A$1:$I$89,3,0)*VLOOKUP('Données projet'!$B$15,Paramètres!$A$1:$I$89,5,0)</f>
        <v>250.52559999999991</v>
      </c>
      <c r="EL57" s="13">
        <f t="shared" si="45"/>
        <v>60.698476420984861</v>
      </c>
      <c r="EM57" s="20">
        <f t="shared" si="19"/>
        <v>542.04859976654836</v>
      </c>
      <c r="EN57" s="59">
        <f t="shared" si="20"/>
        <v>835.38193309988173</v>
      </c>
      <c r="EO57" s="59">
        <f ca="1">AVERAGE(OFFSET($EN$3,0,0,'Données projet'!$E$15+1,1))-AVERAGE(OFFSET($H$3,0,0,'Données projet'!$E$15+1,1))</f>
        <v>191.932060106699</v>
      </c>
      <c r="EP57" s="59">
        <f t="shared" si="46"/>
        <v>260.28593152736903</v>
      </c>
      <c r="EQ57" s="15">
        <f>IF(ISNA(VLOOKUP(A57,'Données projet'!$A$191:$I$211,3,0)),0,VLOOKUP(A57,'Données projet'!$A$191:$I$211,3,0))</f>
        <v>7</v>
      </c>
      <c r="ER57" s="15">
        <f>IF(ISNA(VLOOKUP(A57,'Données projet'!$A$191:$I$211,4,0)),0,VLOOKUP(A57,'Données projet'!$A$191:$I$211,4,0))</f>
        <v>566.79999999999995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1.5189871968106001</v>
      </c>
      <c r="EW57" s="21">
        <f>EXP(-LN(2)/25)*EW56+(1-EXP(-LN(2)/25))/(LN(2)/25)*Calculateur!ER57*Calculateur!ET57*VLOOKUP('Données projet'!$B$15,Paramètres!$A$1:$I$89,3,0)*0.475*44/12</f>
        <v>6.4872644769841532</v>
      </c>
      <c r="EX57" s="21">
        <f>EXP(-LN(2)/2)*EX56+(1-EXP(-LN(2)/2))/(LN(2)/2)*ER57*EU57*VLOOKUP('Données projet'!$B$15,Paramètres!$A$1:$I$89,3,0)*0.475*44/12</f>
        <v>3.2675196846292684E-4</v>
      </c>
      <c r="EY57" s="22">
        <f t="shared" si="21"/>
        <v>8.0065784257632178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3.9</v>
      </c>
      <c r="FE57" s="12">
        <f>IF('Données projet'!$A$218&gt;35,FE56+FD57-FM56,IF(A57&lt;'Données projet'!$A$218,$FB$205^A57,IF(A57='Données projet'!$A$218,'Données projet'!$B$218,FE56+FD57-FM56)))</f>
        <v>101.59999999999995</v>
      </c>
      <c r="FF57" s="17">
        <f>FE57*VLOOKUP('Données projet'!$B$16,Paramètres!$A$1:$I$89,3,0)*VLOOKUP('Données projet'!$B$16,Paramètres!$A$1:$I$89,5,0)</f>
        <v>98.267519999999948</v>
      </c>
      <c r="FG57" s="13">
        <f t="shared" si="47"/>
        <v>26.548839204125994</v>
      </c>
      <c r="FH57" s="20">
        <f t="shared" si="22"/>
        <v>217.38849228051936</v>
      </c>
      <c r="FI57" s="59">
        <f t="shared" si="23"/>
        <v>510.72182561385267</v>
      </c>
      <c r="FJ57" s="59">
        <f ca="1">AVERAGE(OFFSET($FI$3,0,0,'Données projet'!$E$16+1,1))-AVERAGE(OFFSET($H$3,0,0,'Données projet'!$E$16+1,1))</f>
        <v>102.86738524979938</v>
      </c>
      <c r="FK57" s="59">
        <f t="shared" si="48"/>
        <v>56.347130462109817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0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0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8.4</v>
      </c>
      <c r="FZ57" s="12">
        <f>IF('Données projet'!$A$244&gt;35,FZ56+FY57-GH56,IF(A57&lt;'Données projet'!$A$244,$FW$205^A57,IF(A57='Données projet'!$A$244,'Données projet'!$B$244,FZ56+FY57-GH56)))</f>
        <v>200.60000000000014</v>
      </c>
      <c r="GA57" s="17">
        <f>FZ57*VLOOKUP('Données projet'!$B$17,Paramètres!$A$1:$I$89,3,0)*VLOOKUP('Données projet'!$B$17,Paramètres!$A$1:$I$89,5,0)</f>
        <v>134.56248000000008</v>
      </c>
      <c r="GB57" s="13">
        <f t="shared" si="49"/>
        <v>35.048488707783271</v>
      </c>
      <c r="GC57" s="20">
        <f t="shared" si="25"/>
        <v>295.40577049938929</v>
      </c>
      <c r="GD57" s="59">
        <f t="shared" si="26"/>
        <v>588.73910383272255</v>
      </c>
      <c r="GE57" s="59">
        <f ca="1">AVERAGE(OFFSET($GD$3,0,0,'Données projet'!$E$17+1,1))-AVERAGE(OFFSET($H$3,0,0,'Données projet'!$E$17+1,1))</f>
        <v>168.00454652899231</v>
      </c>
      <c r="GF57" s="59">
        <f t="shared" si="50"/>
        <v>135.31958994080446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0</v>
      </c>
      <c r="GM57" s="21">
        <f>EXP(-LN(2)/25)*GM56+(1-EXP(-LN(2)/25))/(LN(2)/25)*Calculateur!GH57*Calculateur!GJ57*VLOOKUP('Données projet'!$B$17,Paramètres!$A$1:$I$89,3,0)*0.475*44/12</f>
        <v>0</v>
      </c>
      <c r="GN57" s="21">
        <f>EXP(-LN(2)/2)*GN56+(1-EXP(-LN(2)/2))/(LN(2)/2)*GH57*GK57*VLOOKUP('Données projet'!$B$17,Paramètres!$A$1:$I$89,3,0)*0.475*44/12</f>
        <v>0</v>
      </c>
      <c r="GO57" s="21">
        <f t="shared" si="27"/>
        <v>0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198.44230769230768</v>
      </c>
      <c r="L58" s="12">
        <f>VLOOKUP(A58,'Données projet'!$A$35:$I$55,9,0)</f>
        <v>8.8736263736263741</v>
      </c>
      <c r="M58" s="12">
        <f t="array" ref="M58">INDEX(L:L,MIN(IF(ISNUMBER(L58:L254),ROW(L58:L254),"")))</f>
        <v>8.8736263736263741</v>
      </c>
      <c r="N58" s="13">
        <f>IF('Données projet'!$A$36&gt;35,N57+M58-V57,IF(A58&lt;'Données projet'!$A$36,$K$205^A58,IF(A58='Données projet'!$A$36,'Données projet'!$B$36,N57+M58-V57)))</f>
        <v>198.44230769230768</v>
      </c>
      <c r="O58" s="13">
        <f>N58*VLOOKUP('Données projet'!$B$9,Paramètres!$A$1:$I$89,3,0)*VLOOKUP('Données projet'!$B$9,Paramètres!$A$1:$I$89,5,0)</f>
        <v>179.55059999999997</v>
      </c>
      <c r="P58" s="13">
        <f t="shared" si="33"/>
        <v>45.22218840459005</v>
      </c>
      <c r="Q58" s="20">
        <f t="shared" si="53"/>
        <v>391.47927313799431</v>
      </c>
      <c r="R58" s="59">
        <f t="shared" si="0"/>
        <v>684.81260647132763</v>
      </c>
      <c r="S58" s="59">
        <f ca="1">AVERAGE(OFFSET($R$3,0,0,'Données projet'!$E$9+1,1))-AVERAGE(OFFSET($H$3,0,0,'Données projet'!$E$9+1,1))</f>
        <v>221.7429870520005</v>
      </c>
      <c r="T58" s="59">
        <f t="shared" si="34"/>
        <v>182.2029938397186</v>
      </c>
      <c r="U58" s="15">
        <f>IF(ISNA(VLOOKUP(A58,'Données projet'!$A$35:$I$55,3,0)),0,VLOOKUP(A58,'Données projet'!$A$35:$I$55,3,0))</f>
        <v>4</v>
      </c>
      <c r="V58" s="15">
        <f>IF(ISNA(VLOOKUP(A58,'Données projet'!$A$35:$I$55,4,0)),0,VLOOKUP(A58,'Données projet'!$A$35:$I$55,4,0))</f>
        <v>45.147435897435898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0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6.3942307692307665</v>
      </c>
      <c r="AI58" s="13">
        <f>IF('Données projet'!$A$62&gt;35,AI57+AH58-AQ57,IF(A58&lt;'Données projet'!$A$62,$AF$205^A58,IF(A58='Données projet'!$A$62,'Données projet'!$B$62,AI57+AH58-AQ57)))</f>
        <v>133.67948717948715</v>
      </c>
      <c r="AJ58" s="13">
        <f>AI58*VLOOKUP('Données projet'!$B$10,Paramètres!$A$1:$I$89,3,0)*VLOOKUP('Données projet'!$B$10,Paramètres!$A$1:$I$89,5,0)</f>
        <v>120.95319999999997</v>
      </c>
      <c r="AK58" s="13">
        <f t="shared" si="35"/>
        <v>31.897215065171491</v>
      </c>
      <c r="AL58" s="20">
        <f t="shared" si="4"/>
        <v>266.21447290517364</v>
      </c>
      <c r="AM58" s="59">
        <f t="shared" si="5"/>
        <v>559.54780623850695</v>
      </c>
      <c r="AN58" s="59">
        <f ca="1">AVERAGE(OFFSET($AM$3,0,0,'Données projet'!$E$10+1,1))-AVERAGE(OFFSET($H$3,0,0,'Données projet'!$E$10+1,1))</f>
        <v>153.45079678708987</v>
      </c>
      <c r="AO58" s="59">
        <f t="shared" si="36"/>
        <v>115.4217868409637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14.668131868131875</v>
      </c>
      <c r="BD58" s="12">
        <f>IF('Données projet'!$A$88&gt;35,BD57+BC58-BL57,IF(A58&lt;'Données projet'!$A$88,$BA$205^A58,IF(A58='Données projet'!$A$88,'Données projet'!$B$88,BD57+BC58-BL57)))</f>
        <v>333.3857142857143</v>
      </c>
      <c r="BE58" s="13">
        <f>BD58*VLOOKUP('Données projet'!$B$11,Paramètres!$A$1:$I$89,3,0)*VLOOKUP('Données projet'!$B$11,Paramètres!$A$1:$I$89,5,0)</f>
        <v>156.0245142857143</v>
      </c>
      <c r="BF58" s="13">
        <f t="shared" si="37"/>
        <v>39.944524680961258</v>
      </c>
      <c r="BG58" s="20">
        <f t="shared" si="7"/>
        <v>341.31274286695992</v>
      </c>
      <c r="BH58" s="59">
        <f t="shared" si="8"/>
        <v>634.64607620029324</v>
      </c>
      <c r="BI58" s="59">
        <f ca="1">AVERAGE(OFFSET($BH$3,0,0,'Données projet'!$E$11+1,1))-AVERAGE(OFFSET($H$3,0,0,'Données projet'!$E$11+1,1))</f>
        <v>158.58786357608489</v>
      </c>
      <c r="BJ58" s="59">
        <f t="shared" si="38"/>
        <v>163.20074068819849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10</v>
      </c>
      <c r="BY58" s="12">
        <f>IF('Données projet'!$A$114&gt;35,BY57+BX58-CG57,IF(A58&lt;'Données projet'!$A$114,$BV$205^A58,IF(A58='Données projet'!$A$114,'Données projet'!$B$114,BY57+BX58-CG57)))</f>
        <v>353.99999999999989</v>
      </c>
      <c r="BZ58" s="13">
        <f>BY58*VLOOKUP('Données projet'!$B$12,Paramètres!$A$1:$I$89,3,0)*VLOOKUP('Données projet'!$B$12,Paramètres!$A$1:$I$89,5,0)</f>
        <v>220.89599999999993</v>
      </c>
      <c r="CA58" s="13">
        <f t="shared" si="39"/>
        <v>54.309580803412238</v>
      </c>
      <c r="CB58" s="20">
        <f t="shared" si="10"/>
        <v>479.31638656594276</v>
      </c>
      <c r="CC58" s="59">
        <f t="shared" si="11"/>
        <v>772.64971989927608</v>
      </c>
      <c r="CD58" s="59">
        <f ca="1">AVERAGE(OFFSET($CC$3,0,0,'Données projet'!$E$12+1,1))-AVERAGE(OFFSET($H$3,0,0,'Données projet'!$E$12+1,1))</f>
        <v>255.41017495879987</v>
      </c>
      <c r="CE58" s="59">
        <f t="shared" si="40"/>
        <v>297.50513563712764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5.0857153958146446</v>
      </c>
      <c r="CL58" s="21">
        <f>EXP(-LN(2)/25)*CL57+(1-EXP(-LN(2)/25))/(LN(2)/25)*Calculateur!CG58*Calculateur!CI58*VLOOKUP('Données projet'!$B$12,Paramètres!$A$1:$I$89,3,0)*0.475*44/12</f>
        <v>13.934933854929707</v>
      </c>
      <c r="CM58" s="21">
        <f>EXP(-LN(2)/2)*CM57+(1-EXP(-LN(2)/2))/(LN(2)/2)*CG58*CJ58*VLOOKUP('Données projet'!$B$12,Paramètres!$A$1:$I$89,3,0)*0.475*44/12</f>
        <v>4.2124628227391287E-3</v>
      </c>
      <c r="CN58" s="22">
        <f t="shared" si="12"/>
        <v>19.024861713567091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7.361538461538462</v>
      </c>
      <c r="CT58" s="12">
        <f>IF('Données projet'!$A$140&gt;35,CT57+CS58-DB57,IF(A58&lt;'Données projet'!$A$140,$CQ$205^A58,IF(A58='Données projet'!$A$140,'Données projet'!$B$140,CT57+CS58-DB57)))</f>
        <v>229.01538461538451</v>
      </c>
      <c r="CU58" s="17">
        <f>CT58*VLOOKUP('Données projet'!$B$13,Paramètres!$A$1:$I$89,3,0)*VLOOKUP('Données projet'!$B$13,Paramètres!$A$1:$I$89,5,0)</f>
        <v>130.99679999999995</v>
      </c>
      <c r="CV58" s="13">
        <f t="shared" si="41"/>
        <v>34.226588050155257</v>
      </c>
      <c r="CW58" s="20">
        <f t="shared" si="13"/>
        <v>287.76406752068698</v>
      </c>
      <c r="CX58" s="59">
        <f t="shared" si="14"/>
        <v>581.09740085402029</v>
      </c>
      <c r="CY58" s="59">
        <f ca="1">AVERAGE(OFFSET($CX$3,0,0,'Données projet'!$E$13+1,1))-AVERAGE(OFFSET($H$3,0,0,'Données projet'!$E$13+1,1))</f>
        <v>134.70214882504786</v>
      </c>
      <c r="CZ58" s="59">
        <f t="shared" si="42"/>
        <v>102.18553029667771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0.64790443509109108</v>
      </c>
      <c r="DG58" s="21">
        <f>EXP(-LN(2)/25)*DG57+(1-EXP(-LN(2)/25))/(LN(2)/25)*Calculateur!DB58*Calculateur!DD58*VLOOKUP('Données projet'!$B$13,Paramètres!$A$1:$I$89,3,0)*0.475*44/12</f>
        <v>6.2748239553251164</v>
      </c>
      <c r="DH58" s="21">
        <f>EXP(-LN(2)/2)*DH57+(1-EXP(-LN(2)/2))/(LN(2)/2)*DB58*DE58*VLOOKUP('Données projet'!$B$13,Paramètres!$A$1:$I$89,3,0)*0.475*44/12</f>
        <v>1.3302958043030898E-3</v>
      </c>
      <c r="DI58" s="22">
        <f t="shared" si="15"/>
        <v>6.9240586862205102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10.66307692307692</v>
      </c>
      <c r="DO58" s="12">
        <f>IF('Données projet'!$A$166&gt;35,DO57+DN58-DW57,IF(A58&lt;'Données projet'!$A$166,$DL$205^A58,IF(A58='Données projet'!$A$166,'Données projet'!$B$166,DO57+DN58-DW57)))</f>
        <v>289.10769230769233</v>
      </c>
      <c r="DP58" s="17">
        <f>DO58*VLOOKUP('Données projet'!$B$14,Paramètres!$A$1:$I$89,3,0)*VLOOKUP('Données projet'!$B$14,Paramètres!$A$1:$I$89,5,0)</f>
        <v>172.88640000000001</v>
      </c>
      <c r="DQ58" s="13">
        <f t="shared" si="43"/>
        <v>43.735846359314351</v>
      </c>
      <c r="DR58" s="20">
        <f t="shared" si="16"/>
        <v>377.28374574247255</v>
      </c>
      <c r="DS58" s="59">
        <f t="shared" si="17"/>
        <v>670.6170790758058</v>
      </c>
      <c r="DT58" s="59">
        <f ca="1">AVERAGE(OFFSET($DS$3,0,0,'Données projet'!$E$14+1,1))-AVERAGE(OFFSET($H$3,0,0,'Données projet'!$E$14+1,1))</f>
        <v>179.32848817523677</v>
      </c>
      <c r="DU58" s="59">
        <f t="shared" si="44"/>
        <v>131.3292389103035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6.590039244053763</v>
      </c>
      <c r="EC58" s="21">
        <f>EXP(-LN(2)/2)*EC57+(1-EXP(-LN(2)/2))/(LN(2)/2)*DW58*DZ58*VLOOKUP('Données projet'!$B$14,Paramètres!$A$1:$I$89,3,0)*0.475*44/12</f>
        <v>9.085475159055842E-4</v>
      </c>
      <c r="ED58" s="22">
        <f t="shared" si="18"/>
        <v>6.5909477915696684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-2.2737367544323206E-13</v>
      </c>
      <c r="EK58" s="17">
        <f>EJ58*VLOOKUP('Données projet'!$B$15,Paramètres!$A$1:$I$89,3,0)*VLOOKUP('Données projet'!$B$15,Paramètres!$A$1:$I$89,5,0)</f>
        <v>-1.0049916454590858E-13</v>
      </c>
      <c r="EL58" s="13" t="e">
        <f t="shared" si="45"/>
        <v>#NUM!</v>
      </c>
      <c r="EM58" s="20" t="e">
        <f t="shared" si="19"/>
        <v>#NUM!</v>
      </c>
      <c r="EN58" s="59" t="e">
        <f t="shared" si="20"/>
        <v>#NUM!</v>
      </c>
      <c r="EO58" s="59">
        <f ca="1">AVERAGE(OFFSET($EN$3,0,0,'Données projet'!$E$15+1,1))-AVERAGE(OFFSET($H$3,0,0,'Données projet'!$E$15+1,1))</f>
        <v>191.932060106699</v>
      </c>
      <c r="EP58" s="59">
        <f t="shared" si="46"/>
        <v>260.28593152736903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1.4892007843718509</v>
      </c>
      <c r="EW58" s="21">
        <f>EXP(-LN(2)/25)*EW57+(1-EXP(-LN(2)/25))/(LN(2)/25)*Calculateur!ER58*Calculateur!ET58*VLOOKUP('Données projet'!$B$15,Paramètres!$A$1:$I$89,3,0)*0.475*44/12</f>
        <v>6.3098698887106099</v>
      </c>
      <c r="EX58" s="21">
        <f>EXP(-LN(2)/2)*EX57+(1-EXP(-LN(2)/2))/(LN(2)/2)*ER58*EU58*VLOOKUP('Données projet'!$B$15,Paramètres!$A$1:$I$89,3,0)*0.475*44/12</f>
        <v>2.310485326661885E-4</v>
      </c>
      <c r="EY58" s="22">
        <f t="shared" si="21"/>
        <v>7.7993017216151275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3.9</v>
      </c>
      <c r="FE58" s="12">
        <f>IF('Données projet'!$A$218&gt;35,FE57+FD58-FM57,IF(A58&lt;'Données projet'!$A$218,$FB$205^A58,IF(A58='Données projet'!$A$218,'Données projet'!$B$218,FE57+FD58-FM57)))</f>
        <v>105.49999999999996</v>
      </c>
      <c r="FF58" s="17">
        <f>FE58*VLOOKUP('Données projet'!$B$16,Paramètres!$A$1:$I$89,3,0)*VLOOKUP('Données projet'!$B$16,Paramètres!$A$1:$I$89,5,0)</f>
        <v>102.03959999999995</v>
      </c>
      <c r="FG58" s="13">
        <f t="shared" si="47"/>
        <v>27.447331660149093</v>
      </c>
      <c r="FH58" s="20">
        <f t="shared" si="22"/>
        <v>225.52307264142624</v>
      </c>
      <c r="FI58" s="59">
        <f t="shared" si="23"/>
        <v>518.85640597475958</v>
      </c>
      <c r="FJ58" s="59">
        <f ca="1">AVERAGE(OFFSET($FI$3,0,0,'Données projet'!$E$16+1,1))-AVERAGE(OFFSET($H$3,0,0,'Données projet'!$E$16+1,1))</f>
        <v>102.86738524979938</v>
      </c>
      <c r="FK58" s="59">
        <f t="shared" si="48"/>
        <v>56.347130462109817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0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0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8.4</v>
      </c>
      <c r="FZ58" s="12">
        <f>IF('Données projet'!$A$244&gt;35,FZ57+FY58-GH57,IF(A58&lt;'Données projet'!$A$244,$FW$205^A58,IF(A58='Données projet'!$A$244,'Données projet'!$B$244,FZ57+FY58-GH57)))</f>
        <v>209.00000000000014</v>
      </c>
      <c r="GA58" s="17">
        <f>FZ58*VLOOKUP('Données projet'!$B$17,Paramètres!$A$1:$I$89,3,0)*VLOOKUP('Données projet'!$B$17,Paramètres!$A$1:$I$89,5,0)</f>
        <v>140.19720000000009</v>
      </c>
      <c r="GB58" s="13">
        <f t="shared" si="49"/>
        <v>36.342177544317998</v>
      </c>
      <c r="GC58" s="20">
        <f t="shared" si="25"/>
        <v>307.47274922302068</v>
      </c>
      <c r="GD58" s="59">
        <f t="shared" si="26"/>
        <v>600.806082556354</v>
      </c>
      <c r="GE58" s="59">
        <f ca="1">AVERAGE(OFFSET($GD$3,0,0,'Données projet'!$E$17+1,1))-AVERAGE(OFFSET($H$3,0,0,'Données projet'!$E$17+1,1))</f>
        <v>168.00454652899231</v>
      </c>
      <c r="GF58" s="59">
        <f t="shared" si="50"/>
        <v>135.31958994080446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0</v>
      </c>
      <c r="GM58" s="21">
        <f>EXP(-LN(2)/25)*GM57+(1-EXP(-LN(2)/25))/(LN(2)/25)*Calculateur!GH58*Calculateur!GJ58*VLOOKUP('Données projet'!$B$17,Paramètres!$A$1:$I$89,3,0)*0.475*44/12</f>
        <v>0</v>
      </c>
      <c r="GN58" s="21">
        <f>EXP(-LN(2)/2)*GN57+(1-EXP(-LN(2)/2))/(LN(2)/2)*GH58*GK58*VLOOKUP('Données projet'!$B$17,Paramètres!$A$1:$I$89,3,0)*0.475*44/12</f>
        <v>0</v>
      </c>
      <c r="GO58" s="21">
        <f t="shared" si="27"/>
        <v>0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8.374198717948719</v>
      </c>
      <c r="N59" s="13">
        <f>IF('Données projet'!$A$36&gt;35,N58+M59-V58,IF(A59&lt;'Données projet'!$A$36,$K$205^A59,IF(A59='Données projet'!$A$36,'Données projet'!$B$36,N58+M59-V58)))</f>
        <v>161.6690705128205</v>
      </c>
      <c r="O59" s="13">
        <f>N59*VLOOKUP('Données projet'!$B$9,Paramètres!$A$1:$I$89,3,0)*VLOOKUP('Données projet'!$B$9,Paramètres!$A$1:$I$89,5,0)</f>
        <v>146.27817499999998</v>
      </c>
      <c r="P59" s="13">
        <f t="shared" si="33"/>
        <v>37.731554716297467</v>
      </c>
      <c r="Q59" s="20">
        <f t="shared" si="53"/>
        <v>320.48361258921801</v>
      </c>
      <c r="R59" s="59">
        <f t="shared" si="0"/>
        <v>613.81694592255133</v>
      </c>
      <c r="S59" s="59">
        <f ca="1">AVERAGE(OFFSET($R$3,0,0,'Données projet'!$E$9+1,1))-AVERAGE(OFFSET($H$3,0,0,'Données projet'!$E$9+1,1))</f>
        <v>221.7429870520005</v>
      </c>
      <c r="T59" s="59">
        <f t="shared" si="34"/>
        <v>182.2029938397186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0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6.3942307692307665</v>
      </c>
      <c r="AI59" s="13">
        <f>IF('Données projet'!$A$62&gt;35,AI58+AH59-AQ58,IF(A59&lt;'Données projet'!$A$62,$AF$205^A59,IF(A59='Données projet'!$A$62,'Données projet'!$B$62,AI58+AH59-AQ58)))</f>
        <v>140.07371794871793</v>
      </c>
      <c r="AJ59" s="13">
        <f>AI59*VLOOKUP('Données projet'!$B$10,Paramètres!$A$1:$I$89,3,0)*VLOOKUP('Données projet'!$B$10,Paramètres!$A$1:$I$89,5,0)</f>
        <v>126.73869999999998</v>
      </c>
      <c r="AK59" s="13">
        <f t="shared" si="35"/>
        <v>33.241657959244336</v>
      </c>
      <c r="AL59" s="20">
        <f t="shared" si="4"/>
        <v>278.63245677901716</v>
      </c>
      <c r="AM59" s="59">
        <f t="shared" si="5"/>
        <v>571.96579011235053</v>
      </c>
      <c r="AN59" s="59">
        <f ca="1">AVERAGE(OFFSET($AM$3,0,0,'Données projet'!$E$10+1,1))-AVERAGE(OFFSET($H$3,0,0,'Données projet'!$E$10+1,1))</f>
        <v>153.45079678708987</v>
      </c>
      <c r="AO59" s="59">
        <f t="shared" si="36"/>
        <v>115.4217868409637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>
        <f>VLOOKUP(A59,'Données projet'!$A$87:$I$107,2,0)</f>
        <v>348.05384615384617</v>
      </c>
      <c r="BB59" s="12">
        <f>VLOOKUP(A59,'Données projet'!$A$87:$I$107,9,0)</f>
        <v>14.668131868131875</v>
      </c>
      <c r="BC59" s="12">
        <f t="array" ref="BC59">INDEX(BB:BB,MIN(IF(ISNUMBER(BB59:BB255),ROW(BB59:BB255),"")))</f>
        <v>14.668131868131875</v>
      </c>
      <c r="BD59" s="12">
        <f>IF('Données projet'!$A$88&gt;35,BD58+BC59-BL58,IF(A59&lt;'Données projet'!$A$88,$BA$205^A59,IF(A59='Données projet'!$A$88,'Données projet'!$B$88,BD58+BC59-BL58)))</f>
        <v>348.05384615384617</v>
      </c>
      <c r="BE59" s="13">
        <f>BD59*VLOOKUP('Données projet'!$B$11,Paramètres!$A$1:$I$89,3,0)*VLOOKUP('Données projet'!$B$11,Paramètres!$A$1:$I$89,5,0)</f>
        <v>162.88919999999999</v>
      </c>
      <c r="BF59" s="13">
        <f t="shared" si="37"/>
        <v>41.493502222820894</v>
      </c>
      <c r="BG59" s="20">
        <f t="shared" si="7"/>
        <v>355.96653970474637</v>
      </c>
      <c r="BH59" s="59">
        <f t="shared" si="8"/>
        <v>649.29987303807968</v>
      </c>
      <c r="BI59" s="59">
        <f ca="1">AVERAGE(OFFSET($BH$3,0,0,'Données projet'!$E$11+1,1))-AVERAGE(OFFSET($H$3,0,0,'Données projet'!$E$11+1,1))</f>
        <v>158.58786357608489</v>
      </c>
      <c r="BJ59" s="59">
        <f t="shared" si="38"/>
        <v>163.20074068819849</v>
      </c>
      <c r="BK59" s="15">
        <f>IF(ISNA(VLOOKUP(A59,'Données projet'!$A$87:$I$107,3,0)),0,VLOOKUP(A59,'Données projet'!$A$87:$I$107,3,0))</f>
        <v>3</v>
      </c>
      <c r="BL59" s="15">
        <f>IF(ISNA(VLOOKUP(A59,'Données projet'!$A$87:$I$107,4,0)),0,VLOOKUP(A59,'Données projet'!$A$87:$I$107,4,0))</f>
        <v>72.769230769230759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10</v>
      </c>
      <c r="BY59" s="12">
        <f>IF('Données projet'!$A$114&gt;35,BY58+BX59-CG58,IF(A59&lt;'Données projet'!$A$114,$BV$205^A59,IF(A59='Données projet'!$A$114,'Données projet'!$B$114,BY58+BX59-CG58)))</f>
        <v>363.99999999999989</v>
      </c>
      <c r="BZ59" s="13">
        <f>BY59*VLOOKUP('Données projet'!$B$12,Paramètres!$A$1:$I$89,3,0)*VLOOKUP('Données projet'!$B$12,Paramètres!$A$1:$I$89,5,0)</f>
        <v>227.13599999999994</v>
      </c>
      <c r="CA59" s="13">
        <f t="shared" si="39"/>
        <v>55.662966886685133</v>
      </c>
      <c r="CB59" s="20">
        <f t="shared" si="10"/>
        <v>492.54153399430987</v>
      </c>
      <c r="CC59" s="59">
        <f t="shared" si="11"/>
        <v>785.87486732764319</v>
      </c>
      <c r="CD59" s="59">
        <f ca="1">AVERAGE(OFFSET($CC$3,0,0,'Données projet'!$E$12+1,1))-AVERAGE(OFFSET($H$3,0,0,'Données projet'!$E$12+1,1))</f>
        <v>255.41017495879987</v>
      </c>
      <c r="CE59" s="59">
        <f t="shared" si="40"/>
        <v>297.50513563712764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4.9859876188828158</v>
      </c>
      <c r="CL59" s="21">
        <f>EXP(-LN(2)/25)*CL58+(1-EXP(-LN(2)/25))/(LN(2)/25)*Calculateur!CG59*Calculateur!CI59*VLOOKUP('Données projet'!$B$12,Paramètres!$A$1:$I$89,3,0)*0.475*44/12</f>
        <v>13.553882355860331</v>
      </c>
      <c r="CM59" s="21">
        <f>EXP(-LN(2)/2)*CM58+(1-EXP(-LN(2)/2))/(LN(2)/2)*CG59*CJ59*VLOOKUP('Données projet'!$B$12,Paramètres!$A$1:$I$89,3,0)*0.475*44/12</f>
        <v>2.9786610274550635E-3</v>
      </c>
      <c r="CN59" s="22">
        <f t="shared" si="12"/>
        <v>18.542848635770603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7.361538461538462</v>
      </c>
      <c r="CT59" s="12">
        <f>IF('Données projet'!$A$140&gt;35,CT58+CS59-DB58,IF(A59&lt;'Données projet'!$A$140,$CQ$205^A59,IF(A59='Données projet'!$A$140,'Données projet'!$B$140,CT58+CS59-DB58)))</f>
        <v>236.37692307692296</v>
      </c>
      <c r="CU59" s="17">
        <f>CT59*VLOOKUP('Données projet'!$B$13,Paramètres!$A$1:$I$89,3,0)*VLOOKUP('Données projet'!$B$13,Paramètres!$A$1:$I$89,5,0)</f>
        <v>135.20759999999996</v>
      </c>
      <c r="CV59" s="13">
        <f t="shared" si="41"/>
        <v>35.196918318135666</v>
      </c>
      <c r="CW59" s="20">
        <f t="shared" si="13"/>
        <v>296.78786940408617</v>
      </c>
      <c r="CX59" s="59">
        <f t="shared" si="14"/>
        <v>590.12120273741948</v>
      </c>
      <c r="CY59" s="59">
        <f ca="1">AVERAGE(OFFSET($CX$3,0,0,'Données projet'!$E$13+1,1))-AVERAGE(OFFSET($H$3,0,0,'Données projet'!$E$13+1,1))</f>
        <v>134.70214882504786</v>
      </c>
      <c r="CZ59" s="59">
        <f t="shared" si="42"/>
        <v>102.18553029667771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0.63519942430163912</v>
      </c>
      <c r="DG59" s="21">
        <f>EXP(-LN(2)/25)*DG58+(1-EXP(-LN(2)/25))/(LN(2)/25)*Calculateur!DB59*Calculateur!DD59*VLOOKUP('Données projet'!$B$13,Paramètres!$A$1:$I$89,3,0)*0.475*44/12</f>
        <v>6.1032385642881009</v>
      </c>
      <c r="DH59" s="21">
        <f>EXP(-LN(2)/2)*DH58+(1-EXP(-LN(2)/2))/(LN(2)/2)*DB59*DE59*VLOOKUP('Données projet'!$B$13,Paramètres!$A$1:$I$89,3,0)*0.475*44/12</f>
        <v>9.4066118420672721E-4</v>
      </c>
      <c r="DI59" s="22">
        <f t="shared" si="15"/>
        <v>6.739378649773947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10.66307692307692</v>
      </c>
      <c r="DO59" s="12">
        <f>IF('Données projet'!$A$166&gt;35,DO58+DN59-DW58,IF(A59&lt;'Données projet'!$A$166,$DL$205^A59,IF(A59='Données projet'!$A$166,'Données projet'!$B$166,DO58+DN59-DW58)))</f>
        <v>299.77076923076925</v>
      </c>
      <c r="DP59" s="17">
        <f>DO59*VLOOKUP('Données projet'!$B$14,Paramètres!$A$1:$I$89,3,0)*VLOOKUP('Données projet'!$B$14,Paramètres!$A$1:$I$89,5,0)</f>
        <v>179.26292000000001</v>
      </c>
      <c r="DQ59" s="13">
        <f t="shared" si="43"/>
        <v>45.158160305042841</v>
      </c>
      <c r="DR59" s="20">
        <f t="shared" si="16"/>
        <v>390.8667148646162</v>
      </c>
      <c r="DS59" s="59">
        <f t="shared" si="17"/>
        <v>684.20004819794951</v>
      </c>
      <c r="DT59" s="59">
        <f ca="1">AVERAGE(OFFSET($DS$3,0,0,'Données projet'!$E$14+1,1))-AVERAGE(OFFSET($H$3,0,0,'Données projet'!$E$14+1,1))</f>
        <v>179.32848817523677</v>
      </c>
      <c r="DU59" s="59">
        <f t="shared" si="44"/>
        <v>131.3292389103035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6.4098342743700103</v>
      </c>
      <c r="EC59" s="21">
        <f>EXP(-LN(2)/2)*EC58+(1-EXP(-LN(2)/2))/(LN(2)/2)*DW59*DZ59*VLOOKUP('Données projet'!$B$14,Paramètres!$A$1:$I$89,3,0)*0.475*44/12</f>
        <v>6.4244010952703131E-4</v>
      </c>
      <c r="ED59" s="22">
        <f t="shared" si="18"/>
        <v>6.4104767144795369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-2.2737367544323206E-13</v>
      </c>
      <c r="EK59" s="17">
        <f>EJ59*VLOOKUP('Données projet'!$B$15,Paramètres!$A$1:$I$89,3,0)*VLOOKUP('Données projet'!$B$15,Paramètres!$A$1:$I$89,5,0)</f>
        <v>-1.0049916454590858E-13</v>
      </c>
      <c r="EL59" s="13" t="e">
        <f t="shared" si="45"/>
        <v>#NUM!</v>
      </c>
      <c r="EM59" s="20" t="e">
        <f t="shared" si="19"/>
        <v>#NUM!</v>
      </c>
      <c r="EN59" s="59" t="e">
        <f t="shared" si="20"/>
        <v>#NUM!</v>
      </c>
      <c r="EO59" s="59">
        <f ca="1">AVERAGE(OFFSET($EN$3,0,0,'Données projet'!$E$15+1,1))-AVERAGE(OFFSET($H$3,0,0,'Données projet'!$E$15+1,1))</f>
        <v>191.932060106699</v>
      </c>
      <c r="EP59" s="59">
        <f t="shared" si="46"/>
        <v>260.28593152736903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1.459998465313108</v>
      </c>
      <c r="EW59" s="21">
        <f>EXP(-LN(2)/25)*EW58+(1-EXP(-LN(2)/25))/(LN(2)/25)*Calculateur!ER59*Calculateur!ET59*VLOOKUP('Données projet'!$B$15,Paramètres!$A$1:$I$89,3,0)*0.475*44/12</f>
        <v>6.1373261647821824</v>
      </c>
      <c r="EX59" s="21">
        <f>EXP(-LN(2)/2)*EX58+(1-EXP(-LN(2)/2))/(LN(2)/2)*ER59*EU59*VLOOKUP('Données projet'!$B$15,Paramètres!$A$1:$I$89,3,0)*0.475*44/12</f>
        <v>1.6337598423146345E-4</v>
      </c>
      <c r="EY59" s="22">
        <f t="shared" si="21"/>
        <v>7.597488006079522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3.9</v>
      </c>
      <c r="FE59" s="12">
        <f>IF('Données projet'!$A$218&gt;35,FE58+FD59-FM58,IF(A59&lt;'Données projet'!$A$218,$FB$205^A59,IF(A59='Données projet'!$A$218,'Données projet'!$B$218,FE58+FD59-FM58)))</f>
        <v>109.39999999999996</v>
      </c>
      <c r="FF59" s="17">
        <f>FE59*VLOOKUP('Données projet'!$B$16,Paramètres!$A$1:$I$89,3,0)*VLOOKUP('Données projet'!$B$16,Paramètres!$A$1:$I$89,5,0)</f>
        <v>105.81167999999997</v>
      </c>
      <c r="FG59" s="13">
        <f t="shared" si="47"/>
        <v>28.341965336167817</v>
      </c>
      <c r="FH59" s="20">
        <f t="shared" si="22"/>
        <v>233.65093229382555</v>
      </c>
      <c r="FI59" s="59">
        <f t="shared" si="23"/>
        <v>526.98426562715883</v>
      </c>
      <c r="FJ59" s="59">
        <f ca="1">AVERAGE(OFFSET($FI$3,0,0,'Données projet'!$E$16+1,1))-AVERAGE(OFFSET($H$3,0,0,'Données projet'!$E$16+1,1))</f>
        <v>102.86738524979938</v>
      </c>
      <c r="FK59" s="59">
        <f t="shared" si="48"/>
        <v>56.347130462109817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0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0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8.4</v>
      </c>
      <c r="FZ59" s="12">
        <f>IF('Données projet'!$A$244&gt;35,FZ58+FY59-GH58,IF(A59&lt;'Données projet'!$A$244,$FW$205^A59,IF(A59='Données projet'!$A$244,'Données projet'!$B$244,FZ58+FY59-GH58)))</f>
        <v>217.40000000000015</v>
      </c>
      <c r="GA59" s="17">
        <f>FZ59*VLOOKUP('Données projet'!$B$17,Paramètres!$A$1:$I$89,3,0)*VLOOKUP('Données projet'!$B$17,Paramètres!$A$1:$I$89,5,0)</f>
        <v>145.83192000000008</v>
      </c>
      <c r="GB59" s="13">
        <f t="shared" si="49"/>
        <v>37.629826563073102</v>
      </c>
      <c r="GC59" s="20">
        <f t="shared" si="25"/>
        <v>319.52920859735246</v>
      </c>
      <c r="GD59" s="59">
        <f t="shared" si="26"/>
        <v>612.86254193068578</v>
      </c>
      <c r="GE59" s="59">
        <f ca="1">AVERAGE(OFFSET($GD$3,0,0,'Données projet'!$E$17+1,1))-AVERAGE(OFFSET($H$3,0,0,'Données projet'!$E$17+1,1))</f>
        <v>168.00454652899231</v>
      </c>
      <c r="GF59" s="59">
        <f t="shared" si="50"/>
        <v>135.31958994080446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0</v>
      </c>
      <c r="GM59" s="21">
        <f>EXP(-LN(2)/25)*GM58+(1-EXP(-LN(2)/25))/(LN(2)/25)*Calculateur!GH59*Calculateur!GJ59*VLOOKUP('Données projet'!$B$17,Paramètres!$A$1:$I$89,3,0)*0.475*44/12</f>
        <v>0</v>
      </c>
      <c r="GN59" s="21">
        <f>EXP(-LN(2)/2)*GN58+(1-EXP(-LN(2)/2))/(LN(2)/2)*GH59*GK59*VLOOKUP('Données projet'!$B$17,Paramètres!$A$1:$I$89,3,0)*0.475*44/12</f>
        <v>0</v>
      </c>
      <c r="GO59" s="21">
        <f t="shared" si="27"/>
        <v>0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8.374198717948719</v>
      </c>
      <c r="N60" s="13">
        <f>IF('Données projet'!$A$36&gt;35,N59+M60-V59,IF(A60&lt;'Données projet'!$A$36,$K$205^A60,IF(A60='Données projet'!$A$36,'Données projet'!$B$36,N59+M60-V59)))</f>
        <v>170.04326923076923</v>
      </c>
      <c r="O60" s="13">
        <f>N60*VLOOKUP('Données projet'!$B$9,Paramètres!$A$1:$I$89,3,0)*VLOOKUP('Données projet'!$B$9,Paramètres!$A$1:$I$89,5,0)</f>
        <v>153.85514999999998</v>
      </c>
      <c r="P60" s="13">
        <f t="shared" si="33"/>
        <v>39.453384193994481</v>
      </c>
      <c r="Q60" s="20">
        <f t="shared" si="53"/>
        <v>336.67903038787364</v>
      </c>
      <c r="R60" s="59">
        <f t="shared" si="0"/>
        <v>630.01236372120695</v>
      </c>
      <c r="S60" s="59">
        <f ca="1">AVERAGE(OFFSET($R$3,0,0,'Données projet'!$E$9+1,1))-AVERAGE(OFFSET($H$3,0,0,'Données projet'!$E$9+1,1))</f>
        <v>221.7429870520005</v>
      </c>
      <c r="T60" s="59">
        <f t="shared" si="34"/>
        <v>182.2029938397186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0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6.3942307692307665</v>
      </c>
      <c r="AI60" s="13">
        <f>IF('Données projet'!$A$62&gt;35,AI59+AH60-AQ59,IF(A60&lt;'Données projet'!$A$62,$AF$205^A60,IF(A60='Données projet'!$A$62,'Données projet'!$B$62,AI59+AH60-AQ59)))</f>
        <v>146.4679487179487</v>
      </c>
      <c r="AJ60" s="13">
        <f>AI60*VLOOKUP('Données projet'!$B$10,Paramètres!$A$1:$I$89,3,0)*VLOOKUP('Données projet'!$B$10,Paramètres!$A$1:$I$89,5,0)</f>
        <v>132.52419999999998</v>
      </c>
      <c r="AK60" s="13">
        <f t="shared" si="35"/>
        <v>34.578973423062216</v>
      </c>
      <c r="AL60" s="20">
        <f t="shared" si="4"/>
        <v>291.03802704516664</v>
      </c>
      <c r="AM60" s="59">
        <f t="shared" si="5"/>
        <v>584.37136037849996</v>
      </c>
      <c r="AN60" s="59">
        <f ca="1">AVERAGE(OFFSET($AM$3,0,0,'Données projet'!$E$10+1,1))-AVERAGE(OFFSET($H$3,0,0,'Données projet'!$E$10+1,1))</f>
        <v>153.45079678708987</v>
      </c>
      <c r="AO60" s="59">
        <f t="shared" si="36"/>
        <v>115.4217868409637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14.270329670329668</v>
      </c>
      <c r="BD60" s="12">
        <f>IF('Données projet'!$A$88&gt;35,BD59+BC60-BL59,IF(A60&lt;'Données projet'!$A$88,$BA$205^A60,IF(A60='Données projet'!$A$88,'Données projet'!$B$88,BD59+BC60-BL59)))</f>
        <v>289.55494505494505</v>
      </c>
      <c r="BE60" s="13">
        <f>BD60*VLOOKUP('Données projet'!$B$11,Paramètres!$A$1:$I$89,3,0)*VLOOKUP('Données projet'!$B$11,Paramètres!$A$1:$I$89,5,0)</f>
        <v>135.51171428571428</v>
      </c>
      <c r="BF60" s="13">
        <f t="shared" si="37"/>
        <v>35.26686051307076</v>
      </c>
      <c r="BG60" s="20">
        <f t="shared" si="7"/>
        <v>297.43935110788397</v>
      </c>
      <c r="BH60" s="59">
        <f t="shared" si="8"/>
        <v>590.77268444121728</v>
      </c>
      <c r="BI60" s="59">
        <f ca="1">AVERAGE(OFFSET($BH$3,0,0,'Données projet'!$E$11+1,1))-AVERAGE(OFFSET($H$3,0,0,'Données projet'!$E$11+1,1))</f>
        <v>158.58786357608489</v>
      </c>
      <c r="BJ60" s="59">
        <f t="shared" si="38"/>
        <v>163.20074068819849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10</v>
      </c>
      <c r="BY60" s="12">
        <f>IF('Données projet'!$A$114&gt;35,BY59+BX60-CG59,IF(A60&lt;'Données projet'!$A$114,$BV$205^A60,IF(A60='Données projet'!$A$114,'Données projet'!$B$114,BY59+BX60-CG59)))</f>
        <v>373.99999999999989</v>
      </c>
      <c r="BZ60" s="13">
        <f>BY60*VLOOKUP('Données projet'!$B$12,Paramètres!$A$1:$I$89,3,0)*VLOOKUP('Données projet'!$B$12,Paramètres!$A$1:$I$89,5,0)</f>
        <v>233.37599999999992</v>
      </c>
      <c r="CA60" s="13">
        <f t="shared" si="39"/>
        <v>57.012031446990107</v>
      </c>
      <c r="CB60" s="20">
        <f t="shared" si="10"/>
        <v>505.75915477017423</v>
      </c>
      <c r="CC60" s="59">
        <f t="shared" si="11"/>
        <v>799.09248810350755</v>
      </c>
      <c r="CD60" s="59">
        <f ca="1">AVERAGE(OFFSET($CC$3,0,0,'Données projet'!$E$12+1,1))-AVERAGE(OFFSET($H$3,0,0,'Données projet'!$E$12+1,1))</f>
        <v>255.41017495879987</v>
      </c>
      <c r="CE60" s="59">
        <f t="shared" si="40"/>
        <v>297.50513563712764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4.8882154428286828</v>
      </c>
      <c r="CL60" s="21">
        <f>EXP(-LN(2)/25)*CL59+(1-EXP(-LN(2)/25))/(LN(2)/25)*Calculateur!CG60*Calculateur!CI60*VLOOKUP('Données projet'!$B$12,Paramètres!$A$1:$I$89,3,0)*0.475*44/12</f>
        <v>13.183250730071634</v>
      </c>
      <c r="CM60" s="21">
        <f>EXP(-LN(2)/2)*CM59+(1-EXP(-LN(2)/2))/(LN(2)/2)*CG60*CJ60*VLOOKUP('Données projet'!$B$12,Paramètres!$A$1:$I$89,3,0)*0.475*44/12</f>
        <v>2.1062314113695644E-3</v>
      </c>
      <c r="CN60" s="22">
        <f t="shared" si="12"/>
        <v>18.073572404311683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7.361538461538462</v>
      </c>
      <c r="CT60" s="12">
        <f>IF('Données projet'!$A$140&gt;35,CT59+CS60-DB59,IF(A60&lt;'Données projet'!$A$140,$CQ$205^A60,IF(A60='Données projet'!$A$140,'Données projet'!$B$140,CT59+CS60-DB59)))</f>
        <v>243.73846153846142</v>
      </c>
      <c r="CU60" s="17">
        <f>CT60*VLOOKUP('Données projet'!$B$13,Paramètres!$A$1:$I$89,3,0)*VLOOKUP('Données projet'!$B$13,Paramètres!$A$1:$I$89,5,0)</f>
        <v>139.41839999999993</v>
      </c>
      <c r="CV60" s="13">
        <f t="shared" si="41"/>
        <v>36.163736838374014</v>
      </c>
      <c r="CW60" s="20">
        <f t="shared" si="13"/>
        <v>305.80555499350123</v>
      </c>
      <c r="CX60" s="59">
        <f t="shared" si="14"/>
        <v>599.1388883268346</v>
      </c>
      <c r="CY60" s="59">
        <f ca="1">AVERAGE(OFFSET($CX$3,0,0,'Données projet'!$E$13+1,1))-AVERAGE(OFFSET($H$3,0,0,'Données projet'!$E$13+1,1))</f>
        <v>134.70214882504786</v>
      </c>
      <c r="CZ60" s="59">
        <f t="shared" si="42"/>
        <v>102.18553029667771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0.62274355102447687</v>
      </c>
      <c r="DG60" s="21">
        <f>EXP(-LN(2)/25)*DG59+(1-EXP(-LN(2)/25))/(LN(2)/25)*Calculateur!DB60*Calculateur!DD60*VLOOKUP('Données projet'!$B$13,Paramètres!$A$1:$I$89,3,0)*0.475*44/12</f>
        <v>5.9363451847922759</v>
      </c>
      <c r="DH60" s="21">
        <f>EXP(-LN(2)/2)*DH59+(1-EXP(-LN(2)/2))/(LN(2)/2)*DB60*DE60*VLOOKUP('Données projet'!$B$13,Paramètres!$A$1:$I$89,3,0)*0.475*44/12</f>
        <v>6.6514790215154492E-4</v>
      </c>
      <c r="DI60" s="22">
        <f t="shared" si="15"/>
        <v>6.559753883718904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10.66307692307692</v>
      </c>
      <c r="DO60" s="12">
        <f>IF('Données projet'!$A$166&gt;35,DO59+DN60-DW59,IF(A60&lt;'Données projet'!$A$166,$DL$205^A60,IF(A60='Données projet'!$A$166,'Données projet'!$B$166,DO59+DN60-DW59)))</f>
        <v>310.43384615384616</v>
      </c>
      <c r="DP60" s="17">
        <f>DO60*VLOOKUP('Données projet'!$B$14,Paramètres!$A$1:$I$89,3,0)*VLOOKUP('Données projet'!$B$14,Paramètres!$A$1:$I$89,5,0)</f>
        <v>185.63944000000001</v>
      </c>
      <c r="DQ60" s="13">
        <f t="shared" si="43"/>
        <v>46.574596113982338</v>
      </c>
      <c r="DR60" s="20">
        <f t="shared" si="16"/>
        <v>404.43944623185251</v>
      </c>
      <c r="DS60" s="59">
        <f t="shared" si="17"/>
        <v>697.77277956518583</v>
      </c>
      <c r="DT60" s="59">
        <f ca="1">AVERAGE(OFFSET($DS$3,0,0,'Données projet'!$E$14+1,1))-AVERAGE(OFFSET($H$3,0,0,'Données projet'!$E$14+1,1))</f>
        <v>179.32848817523677</v>
      </c>
      <c r="DU60" s="59">
        <f t="shared" si="44"/>
        <v>131.3292389103035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6.234557019058828</v>
      </c>
      <c r="EC60" s="21">
        <f>EXP(-LN(2)/2)*EC59+(1-EXP(-LN(2)/2))/(LN(2)/2)*DW60*DZ60*VLOOKUP('Données projet'!$B$14,Paramètres!$A$1:$I$89,3,0)*0.475*44/12</f>
        <v>4.5427375795279216E-4</v>
      </c>
      <c r="ED60" s="22">
        <f t="shared" si="18"/>
        <v>6.2350112928167807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-2.2737367544323206E-13</v>
      </c>
      <c r="EK60" s="17">
        <f>EJ60*VLOOKUP('Données projet'!$B$15,Paramètres!$A$1:$I$89,3,0)*VLOOKUP('Données projet'!$B$15,Paramètres!$A$1:$I$89,5,0)</f>
        <v>-1.0049916454590858E-13</v>
      </c>
      <c r="EL60" s="13" t="e">
        <f t="shared" si="45"/>
        <v>#NUM!</v>
      </c>
      <c r="EM60" s="20" t="e">
        <f t="shared" si="19"/>
        <v>#NUM!</v>
      </c>
      <c r="EN60" s="59" t="e">
        <f t="shared" si="20"/>
        <v>#NUM!</v>
      </c>
      <c r="EO60" s="59">
        <f ca="1">AVERAGE(OFFSET($EN$3,0,0,'Données projet'!$E$15+1,1))-AVERAGE(OFFSET($H$3,0,0,'Données projet'!$E$15+1,1))</f>
        <v>191.932060106699</v>
      </c>
      <c r="EP60" s="59">
        <f t="shared" si="46"/>
        <v>260.28593152736903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1.431368785919451</v>
      </c>
      <c r="EW60" s="21">
        <f>EXP(-LN(2)/25)*EW59+(1-EXP(-LN(2)/25))/(LN(2)/25)*Calculateur!ER60*Calculateur!ET60*VLOOKUP('Données projet'!$B$15,Paramètres!$A$1:$I$89,3,0)*0.475*44/12</f>
        <v>5.9695006580582577</v>
      </c>
      <c r="EX60" s="21">
        <f>EXP(-LN(2)/2)*EX59+(1-EXP(-LN(2)/2))/(LN(2)/2)*ER60*EU60*VLOOKUP('Données projet'!$B$15,Paramètres!$A$1:$I$89,3,0)*0.475*44/12</f>
        <v>1.1552426633309426E-4</v>
      </c>
      <c r="EY60" s="22">
        <f t="shared" si="21"/>
        <v>7.4009849682440416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3.9</v>
      </c>
      <c r="FE60" s="12">
        <f>IF('Données projet'!$A$218&gt;35,FE59+FD60-FM59,IF(A60&lt;'Données projet'!$A$218,$FB$205^A60,IF(A60='Données projet'!$A$218,'Données projet'!$B$218,FE59+FD60-FM59)))</f>
        <v>113.29999999999997</v>
      </c>
      <c r="FF60" s="17">
        <f>FE60*VLOOKUP('Données projet'!$B$16,Paramètres!$A$1:$I$89,3,0)*VLOOKUP('Données projet'!$B$16,Paramètres!$A$1:$I$89,5,0)</f>
        <v>109.58375999999997</v>
      </c>
      <c r="FG60" s="13">
        <f t="shared" si="47"/>
        <v>29.23289355382882</v>
      </c>
      <c r="FH60" s="20">
        <f t="shared" si="22"/>
        <v>241.77233827291846</v>
      </c>
      <c r="FI60" s="59">
        <f t="shared" si="23"/>
        <v>535.1056716062518</v>
      </c>
      <c r="FJ60" s="59">
        <f ca="1">AVERAGE(OFFSET($FI$3,0,0,'Données projet'!$E$16+1,1))-AVERAGE(OFFSET($H$3,0,0,'Données projet'!$E$16+1,1))</f>
        <v>102.86738524979938</v>
      </c>
      <c r="FK60" s="59">
        <f t="shared" si="48"/>
        <v>56.347130462109817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0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0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8.4</v>
      </c>
      <c r="FZ60" s="12">
        <f>IF('Données projet'!$A$244&gt;35,FZ59+FY60-GH59,IF(A60&lt;'Données projet'!$A$244,$FW$205^A60,IF(A60='Données projet'!$A$244,'Données projet'!$B$244,FZ59+FY60-GH59)))</f>
        <v>225.80000000000015</v>
      </c>
      <c r="GA60" s="17">
        <f>FZ60*VLOOKUP('Données projet'!$B$17,Paramètres!$A$1:$I$89,3,0)*VLOOKUP('Données projet'!$B$17,Paramètres!$A$1:$I$89,5,0)</f>
        <v>151.4666400000001</v>
      </c>
      <c r="GB60" s="13">
        <f t="shared" si="49"/>
        <v>38.911695844238608</v>
      </c>
      <c r="GC60" s="20">
        <f t="shared" si="25"/>
        <v>331.57560159538241</v>
      </c>
      <c r="GD60" s="59">
        <f t="shared" si="26"/>
        <v>624.90893492871578</v>
      </c>
      <c r="GE60" s="59">
        <f ca="1">AVERAGE(OFFSET($GD$3,0,0,'Données projet'!$E$17+1,1))-AVERAGE(OFFSET($H$3,0,0,'Données projet'!$E$17+1,1))</f>
        <v>168.00454652899231</v>
      </c>
      <c r="GF60" s="59">
        <f t="shared" si="50"/>
        <v>135.31958994080446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0</v>
      </c>
      <c r="GM60" s="21">
        <f>EXP(-LN(2)/25)*GM59+(1-EXP(-LN(2)/25))/(LN(2)/25)*Calculateur!GH60*Calculateur!GJ60*VLOOKUP('Données projet'!$B$17,Paramètres!$A$1:$I$89,3,0)*0.475*44/12</f>
        <v>0</v>
      </c>
      <c r="GN60" s="21">
        <f>EXP(-LN(2)/2)*GN59+(1-EXP(-LN(2)/2))/(LN(2)/2)*GH60*GK60*VLOOKUP('Données projet'!$B$17,Paramètres!$A$1:$I$89,3,0)*0.475*44/12</f>
        <v>0</v>
      </c>
      <c r="GO60" s="21">
        <f t="shared" si="27"/>
        <v>0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8.374198717948719</v>
      </c>
      <c r="N61" s="13">
        <f>IF('Données projet'!$A$36&gt;35,N60+M61-V60,IF(A61&lt;'Données projet'!$A$36,$K$205^A61,IF(A61='Données projet'!$A$36,'Données projet'!$B$36,N60+M61-V60)))</f>
        <v>178.41746794871796</v>
      </c>
      <c r="O61" s="13">
        <f>N61*VLOOKUP('Données projet'!$B$9,Paramètres!$A$1:$I$89,3,0)*VLOOKUP('Données projet'!$B$9,Paramètres!$A$1:$I$89,5,0)</f>
        <v>161.43212499999998</v>
      </c>
      <c r="P61" s="13">
        <f t="shared" si="33"/>
        <v>41.165367483374254</v>
      </c>
      <c r="Q61" s="20">
        <f t="shared" si="53"/>
        <v>352.85729940854344</v>
      </c>
      <c r="R61" s="59">
        <f t="shared" si="0"/>
        <v>646.1906327418767</v>
      </c>
      <c r="S61" s="59">
        <f ca="1">AVERAGE(OFFSET($R$3,0,0,'Données projet'!$E$9+1,1))-AVERAGE(OFFSET($H$3,0,0,'Données projet'!$E$9+1,1))</f>
        <v>221.7429870520005</v>
      </c>
      <c r="T61" s="59">
        <f t="shared" si="34"/>
        <v>182.2029938397186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0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6.3942307692307665</v>
      </c>
      <c r="AI61" s="13">
        <f>IF('Données projet'!$A$62&gt;35,AI60+AH61-AQ60,IF(A61&lt;'Données projet'!$A$62,$AF$205^A61,IF(A61='Données projet'!$A$62,'Données projet'!$B$62,AI60+AH61-AQ60)))</f>
        <v>152.86217948717947</v>
      </c>
      <c r="AJ61" s="13">
        <f>AI61*VLOOKUP('Données projet'!$B$10,Paramètres!$A$1:$I$89,3,0)*VLOOKUP('Données projet'!$B$10,Paramètres!$A$1:$I$89,5,0)</f>
        <v>138.30969999999999</v>
      </c>
      <c r="AK61" s="13">
        <f t="shared" si="35"/>
        <v>35.909508175318372</v>
      </c>
      <c r="AL61" s="20">
        <f t="shared" si="4"/>
        <v>303.43178757201281</v>
      </c>
      <c r="AM61" s="59">
        <f t="shared" si="5"/>
        <v>596.76512090534607</v>
      </c>
      <c r="AN61" s="59">
        <f ca="1">AVERAGE(OFFSET($AM$3,0,0,'Données projet'!$E$10+1,1))-AVERAGE(OFFSET($H$3,0,0,'Données projet'!$E$10+1,1))</f>
        <v>153.45079678708987</v>
      </c>
      <c r="AO61" s="59">
        <f t="shared" si="36"/>
        <v>115.4217868409637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14.270329670329668</v>
      </c>
      <c r="BD61" s="12">
        <f>IF('Données projet'!$A$88&gt;35,BD60+BC61-BL60,IF(A61&lt;'Données projet'!$A$88,$BA$205^A61,IF(A61='Données projet'!$A$88,'Données projet'!$B$88,BD60+BC61-BL60)))</f>
        <v>303.82527472527471</v>
      </c>
      <c r="BE61" s="13">
        <f>BD61*VLOOKUP('Données projet'!$B$11,Paramètres!$A$1:$I$89,3,0)*VLOOKUP('Données projet'!$B$11,Paramètres!$A$1:$I$89,5,0)</f>
        <v>142.19022857142855</v>
      </c>
      <c r="BF61" s="13">
        <f t="shared" si="37"/>
        <v>36.798301893816983</v>
      </c>
      <c r="BG61" s="20">
        <f t="shared" si="7"/>
        <v>311.7383572269693</v>
      </c>
      <c r="BH61" s="59">
        <f t="shared" si="8"/>
        <v>605.07169056030261</v>
      </c>
      <c r="BI61" s="59">
        <f ca="1">AVERAGE(OFFSET($BH$3,0,0,'Données projet'!$E$11+1,1))-AVERAGE(OFFSET($H$3,0,0,'Données projet'!$E$11+1,1))</f>
        <v>158.58786357608489</v>
      </c>
      <c r="BJ61" s="59">
        <f t="shared" si="38"/>
        <v>163.20074068819849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10</v>
      </c>
      <c r="BY61" s="12">
        <f>IF('Données projet'!$A$114&gt;35,BY60+BX61-CG60,IF(A61&lt;'Données projet'!$A$114,$BV$205^A61,IF(A61='Données projet'!$A$114,'Données projet'!$B$114,BY60+BX61-CG60)))</f>
        <v>383.99999999999989</v>
      </c>
      <c r="BZ61" s="13">
        <f>BY61*VLOOKUP('Données projet'!$B$12,Paramètres!$A$1:$I$89,3,0)*VLOOKUP('Données projet'!$B$12,Paramètres!$A$1:$I$89,5,0)</f>
        <v>239.61599999999993</v>
      </c>
      <c r="CA61" s="13">
        <f t="shared" si="39"/>
        <v>58.356903313490157</v>
      </c>
      <c r="CB61" s="20">
        <f t="shared" si="10"/>
        <v>518.96947327099519</v>
      </c>
      <c r="CC61" s="59">
        <f t="shared" si="11"/>
        <v>812.30280660432845</v>
      </c>
      <c r="CD61" s="59">
        <f ca="1">AVERAGE(OFFSET($CC$3,0,0,'Données projet'!$E$12+1,1))-AVERAGE(OFFSET($H$3,0,0,'Données projet'!$E$12+1,1))</f>
        <v>255.41017495879987</v>
      </c>
      <c r="CE61" s="59">
        <f t="shared" si="40"/>
        <v>297.50513563712764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4.7923605195118322</v>
      </c>
      <c r="CL61" s="21">
        <f>EXP(-LN(2)/25)*CL60+(1-EXP(-LN(2)/25))/(LN(2)/25)*Calculateur!CG61*Calculateur!CI61*VLOOKUP('Données projet'!$B$12,Paramètres!$A$1:$I$89,3,0)*0.475*44/12</f>
        <v>12.822754045580801</v>
      </c>
      <c r="CM61" s="21">
        <f>EXP(-LN(2)/2)*CM60+(1-EXP(-LN(2)/2))/(LN(2)/2)*CG61*CJ61*VLOOKUP('Données projet'!$B$12,Paramètres!$A$1:$I$89,3,0)*0.475*44/12</f>
        <v>1.4893305137275317E-3</v>
      </c>
      <c r="CN61" s="22">
        <f t="shared" si="12"/>
        <v>17.61660389560636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7.361538461538462</v>
      </c>
      <c r="CT61" s="12">
        <f>IF('Données projet'!$A$140&gt;35,CT60+CS61-DB60,IF(A61&lt;'Données projet'!$A$140,$CQ$205^A61,IF(A61='Données projet'!$A$140,'Données projet'!$B$140,CT60+CS61-DB60)))</f>
        <v>251.09999999999988</v>
      </c>
      <c r="CU61" s="17">
        <f>CT61*VLOOKUP('Données projet'!$B$13,Paramètres!$A$1:$I$89,3,0)*VLOOKUP('Données projet'!$B$13,Paramètres!$A$1:$I$89,5,0)</f>
        <v>143.62919999999994</v>
      </c>
      <c r="CV61" s="13">
        <f t="shared" si="41"/>
        <v>37.127161849234348</v>
      </c>
      <c r="CW61" s="20">
        <f t="shared" si="13"/>
        <v>314.81733022074968</v>
      </c>
      <c r="CX61" s="59">
        <f t="shared" si="14"/>
        <v>608.15066355408294</v>
      </c>
      <c r="CY61" s="59">
        <f ca="1">AVERAGE(OFFSET($CX$3,0,0,'Données projet'!$E$13+1,1))-AVERAGE(OFFSET($H$3,0,0,'Données projet'!$E$13+1,1))</f>
        <v>134.70214882504786</v>
      </c>
      <c r="CZ61" s="59">
        <f t="shared" si="42"/>
        <v>102.18553029667771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0.61053192982494731</v>
      </c>
      <c r="DG61" s="21">
        <f>EXP(-LN(2)/25)*DG60+(1-EXP(-LN(2)/25))/(LN(2)/25)*Calculateur!DB61*Calculateur!DD61*VLOOKUP('Données projet'!$B$13,Paramètres!$A$1:$I$89,3,0)*0.475*44/12</f>
        <v>5.7740155135353053</v>
      </c>
      <c r="DH61" s="21">
        <f>EXP(-LN(2)/2)*DH60+(1-EXP(-LN(2)/2))/(LN(2)/2)*DB61*DE61*VLOOKUP('Données projet'!$B$13,Paramètres!$A$1:$I$89,3,0)*0.475*44/12</f>
        <v>4.703305921033636E-4</v>
      </c>
      <c r="DI61" s="22">
        <f t="shared" si="15"/>
        <v>6.3850177739523559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10.66307692307692</v>
      </c>
      <c r="DO61" s="12">
        <f>IF('Données projet'!$A$166&gt;35,DO60+DN61-DW60,IF(A61&lt;'Données projet'!$A$166,$DL$205^A61,IF(A61='Données projet'!$A$166,'Données projet'!$B$166,DO60+DN61-DW60)))</f>
        <v>321.09692307692308</v>
      </c>
      <c r="DP61" s="17">
        <f>DO61*VLOOKUP('Données projet'!$B$14,Paramètres!$A$1:$I$89,3,0)*VLOOKUP('Données projet'!$B$14,Paramètres!$A$1:$I$89,5,0)</f>
        <v>192.01596000000001</v>
      </c>
      <c r="DQ61" s="13">
        <f t="shared" si="43"/>
        <v>47.985378835949042</v>
      </c>
      <c r="DR61" s="20">
        <f t="shared" si="16"/>
        <v>418.00233180594455</v>
      </c>
      <c r="DS61" s="59">
        <f t="shared" si="17"/>
        <v>711.33566513927781</v>
      </c>
      <c r="DT61" s="59">
        <f ca="1">AVERAGE(OFFSET($DS$3,0,0,'Données projet'!$E$14+1,1))-AVERAGE(OFFSET($H$3,0,0,'Données projet'!$E$14+1,1))</f>
        <v>179.32848817523677</v>
      </c>
      <c r="DU61" s="59">
        <f t="shared" si="44"/>
        <v>131.3292389103035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6.06407272951156</v>
      </c>
      <c r="EC61" s="21">
        <f>EXP(-LN(2)/2)*EC60+(1-EXP(-LN(2)/2))/(LN(2)/2)*DW61*DZ61*VLOOKUP('Données projet'!$B$14,Paramètres!$A$1:$I$89,3,0)*0.475*44/12</f>
        <v>3.2122005476351565E-4</v>
      </c>
      <c r="ED61" s="22">
        <f t="shared" si="18"/>
        <v>6.0643939495663233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-2.2737367544323206E-13</v>
      </c>
      <c r="EK61" s="17">
        <f>EJ61*VLOOKUP('Données projet'!$B$15,Paramètres!$A$1:$I$89,3,0)*VLOOKUP('Données projet'!$B$15,Paramètres!$A$1:$I$89,5,0)</f>
        <v>-1.0049916454590858E-13</v>
      </c>
      <c r="EL61" s="13" t="e">
        <f t="shared" si="45"/>
        <v>#NUM!</v>
      </c>
      <c r="EM61" s="20" t="e">
        <f t="shared" si="19"/>
        <v>#NUM!</v>
      </c>
      <c r="EN61" s="59" t="e">
        <f t="shared" si="20"/>
        <v>#NUM!</v>
      </c>
      <c r="EO61" s="59">
        <f ca="1">AVERAGE(OFFSET($EN$3,0,0,'Données projet'!$E$15+1,1))-AVERAGE(OFFSET($H$3,0,0,'Données projet'!$E$15+1,1))</f>
        <v>191.932060106699</v>
      </c>
      <c r="EP61" s="59">
        <f t="shared" si="46"/>
        <v>260.28593152736903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1.4033005170763235</v>
      </c>
      <c r="EW61" s="21">
        <f>EXP(-LN(2)/25)*EW60+(1-EXP(-LN(2)/25))/(LN(2)/25)*Calculateur!ER61*Calculateur!ET61*VLOOKUP('Données projet'!$B$15,Paramètres!$A$1:$I$89,3,0)*0.475*44/12</f>
        <v>5.8062643486412586</v>
      </c>
      <c r="EX61" s="21">
        <f>EXP(-LN(2)/2)*EX60+(1-EXP(-LN(2)/2))/(LN(2)/2)*ER61*EU61*VLOOKUP('Données projet'!$B$15,Paramètres!$A$1:$I$89,3,0)*0.475*44/12</f>
        <v>8.1687992115731737E-5</v>
      </c>
      <c r="EY61" s="22">
        <f t="shared" si="21"/>
        <v>7.2096465537096979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3.9</v>
      </c>
      <c r="FE61" s="12">
        <f>IF('Données projet'!$A$218&gt;35,FE60+FD61-FM60,IF(A61&lt;'Données projet'!$A$218,$FB$205^A61,IF(A61='Données projet'!$A$218,'Données projet'!$B$218,FE60+FD61-FM60)))</f>
        <v>117.19999999999997</v>
      </c>
      <c r="FF61" s="17">
        <f>FE61*VLOOKUP('Données projet'!$B$16,Paramètres!$A$1:$I$89,3,0)*VLOOKUP('Données projet'!$B$16,Paramètres!$A$1:$I$89,5,0)</f>
        <v>113.35583999999999</v>
      </c>
      <c r="FG61" s="13">
        <f t="shared" si="47"/>
        <v>30.120258480863807</v>
      </c>
      <c r="FH61" s="20">
        <f t="shared" si="22"/>
        <v>249.88753818750442</v>
      </c>
      <c r="FI61" s="59">
        <f t="shared" si="23"/>
        <v>543.2208715208377</v>
      </c>
      <c r="FJ61" s="59">
        <f ca="1">AVERAGE(OFFSET($FI$3,0,0,'Données projet'!$E$16+1,1))-AVERAGE(OFFSET($H$3,0,0,'Données projet'!$E$16+1,1))</f>
        <v>102.86738524979938</v>
      </c>
      <c r="FK61" s="59">
        <f t="shared" si="48"/>
        <v>56.347130462109817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0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0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8.4</v>
      </c>
      <c r="FZ61" s="12">
        <f>IF('Données projet'!$A$244&gt;35,FZ60+FY61-GH60,IF(A61&lt;'Données projet'!$A$244,$FW$205^A61,IF(A61='Données projet'!$A$244,'Données projet'!$B$244,FZ60+FY61-GH60)))</f>
        <v>234.20000000000016</v>
      </c>
      <c r="GA61" s="17">
        <f>FZ61*VLOOKUP('Données projet'!$B$17,Paramètres!$A$1:$I$89,3,0)*VLOOKUP('Données projet'!$B$17,Paramètres!$A$1:$I$89,5,0)</f>
        <v>157.10136000000008</v>
      </c>
      <c r="GB61" s="13">
        <f t="shared" si="49"/>
        <v>40.188025021155923</v>
      </c>
      <c r="GC61" s="20">
        <f t="shared" si="25"/>
        <v>343.61234557851338</v>
      </c>
      <c r="GD61" s="59">
        <f t="shared" si="26"/>
        <v>636.9456789118467</v>
      </c>
      <c r="GE61" s="59">
        <f ca="1">AVERAGE(OFFSET($GD$3,0,0,'Données projet'!$E$17+1,1))-AVERAGE(OFFSET($H$3,0,0,'Données projet'!$E$17+1,1))</f>
        <v>168.00454652899231</v>
      </c>
      <c r="GF61" s="59">
        <f t="shared" si="50"/>
        <v>135.31958994080446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0</v>
      </c>
      <c r="GM61" s="21">
        <f>EXP(-LN(2)/25)*GM60+(1-EXP(-LN(2)/25))/(LN(2)/25)*Calculateur!GH61*Calculateur!GJ61*VLOOKUP('Données projet'!$B$17,Paramètres!$A$1:$I$89,3,0)*0.475*44/12</f>
        <v>0</v>
      </c>
      <c r="GN61" s="21">
        <f>EXP(-LN(2)/2)*GN60+(1-EXP(-LN(2)/2))/(LN(2)/2)*GH61*GK61*VLOOKUP('Données projet'!$B$17,Paramètres!$A$1:$I$89,3,0)*0.475*44/12</f>
        <v>0</v>
      </c>
      <c r="GO61" s="21">
        <f t="shared" si="27"/>
        <v>0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8.374198717948719</v>
      </c>
      <c r="N62" s="13">
        <f>IF('Données projet'!$A$36&gt;35,N61+M62-V61,IF(A62&lt;'Données projet'!$A$36,$K$205^A62,IF(A62='Données projet'!$A$36,'Données projet'!$B$36,N61+M62-V61)))</f>
        <v>186.79166666666669</v>
      </c>
      <c r="O62" s="13">
        <f>N62*VLOOKUP('Données projet'!$B$9,Paramètres!$A$1:$I$89,3,0)*VLOOKUP('Données projet'!$B$9,Paramètres!$A$1:$I$89,5,0)</f>
        <v>169.00910000000002</v>
      </c>
      <c r="P62" s="13">
        <f t="shared" si="33"/>
        <v>42.868019497909927</v>
      </c>
      <c r="Q62" s="20">
        <f t="shared" si="53"/>
        <v>369.01931645885975</v>
      </c>
      <c r="R62" s="59">
        <f t="shared" si="0"/>
        <v>662.35264979219301</v>
      </c>
      <c r="S62" s="59">
        <f ca="1">AVERAGE(OFFSET($R$3,0,0,'Données projet'!$E$9+1,1))-AVERAGE(OFFSET($H$3,0,0,'Données projet'!$E$9+1,1))</f>
        <v>221.7429870520005</v>
      </c>
      <c r="T62" s="59">
        <f t="shared" si="34"/>
        <v>182.2029938397186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0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>
        <f>VLOOKUP(A62,'Données projet'!$A$61:$I$81,2,0)</f>
        <v>159.25641025641025</v>
      </c>
      <c r="AG62" s="12">
        <f>VLOOKUP(A62,'Données projet'!$A$61:$I$81,9,0)</f>
        <v>6.3942307692307665</v>
      </c>
      <c r="AH62" s="12">
        <f t="array" ref="AH62">INDEX(AG:AG,MIN(IF(ISNUMBER(AG62:AG258),ROW(AG62:AG258),"")))</f>
        <v>6.3942307692307665</v>
      </c>
      <c r="AI62" s="13">
        <f>IF('Données projet'!$A$62&gt;35,AI61+AH62-AQ61,IF(A62&lt;'Données projet'!$A$62,$AF$205^A62,IF(A62='Données projet'!$A$62,'Données projet'!$B$62,AI61+AH62-AQ61)))</f>
        <v>159.25641025641025</v>
      </c>
      <c r="AJ62" s="13">
        <f>AI62*VLOOKUP('Données projet'!$B$10,Paramètres!$A$1:$I$89,3,0)*VLOOKUP('Données projet'!$B$10,Paramètres!$A$1:$I$89,5,0)</f>
        <v>144.09520000000001</v>
      </c>
      <c r="AK62" s="13">
        <f t="shared" si="35"/>
        <v>37.23357828719589</v>
      </c>
      <c r="AL62" s="20">
        <f t="shared" si="4"/>
        <v>315.81428885019949</v>
      </c>
      <c r="AM62" s="59">
        <f t="shared" si="5"/>
        <v>609.1476221835328</v>
      </c>
      <c r="AN62" s="59">
        <f ca="1">AVERAGE(OFFSET($AM$3,0,0,'Données projet'!$E$10+1,1))-AVERAGE(OFFSET($H$3,0,0,'Données projet'!$E$10+1,1))</f>
        <v>153.45079678708987</v>
      </c>
      <c r="AO62" s="59">
        <f t="shared" si="36"/>
        <v>115.4217868409637</v>
      </c>
      <c r="AP62" s="15">
        <f>IF(ISNA(VLOOKUP(A62,'Données projet'!$A$61:$I$81,3,0)),0,VLOOKUP(A62,'Données projet'!$A$61:$I$81,3,0))</f>
        <v>3</v>
      </c>
      <c r="AQ62" s="15">
        <f>IF(ISNA(VLOOKUP(A62,'Données projet'!$A$61:$I$81,4,0)),0,VLOOKUP(A62,'Données projet'!$A$61:$I$81,4,0))</f>
        <v>38.942307692307693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14.270329670329668</v>
      </c>
      <c r="BD62" s="12">
        <f>IF('Données projet'!$A$88&gt;35,BD61+BC62-BL61,IF(A62&lt;'Données projet'!$A$88,$BA$205^A62,IF(A62='Données projet'!$A$88,'Données projet'!$B$88,BD61+BC62-BL61)))</f>
        <v>318.09560439560437</v>
      </c>
      <c r="BE62" s="13">
        <f>BD62*VLOOKUP('Données projet'!$B$11,Paramètres!$A$1:$I$89,3,0)*VLOOKUP('Données projet'!$B$11,Paramètres!$A$1:$I$89,5,0)</f>
        <v>148.86874285714285</v>
      </c>
      <c r="BF62" s="13">
        <f t="shared" si="37"/>
        <v>38.321390217280914</v>
      </c>
      <c r="BG62" s="20">
        <f t="shared" si="7"/>
        <v>326.02281510462137</v>
      </c>
      <c r="BH62" s="59">
        <f t="shared" si="8"/>
        <v>619.35614843795474</v>
      </c>
      <c r="BI62" s="59">
        <f ca="1">AVERAGE(OFFSET($BH$3,0,0,'Données projet'!$E$11+1,1))-AVERAGE(OFFSET($H$3,0,0,'Données projet'!$E$11+1,1))</f>
        <v>158.58786357608489</v>
      </c>
      <c r="BJ62" s="59">
        <f t="shared" si="38"/>
        <v>163.20074068819849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10</v>
      </c>
      <c r="BY62" s="12">
        <f>IF('Données projet'!$A$114&gt;35,BY61+BX62-CG61,IF(A62&lt;'Données projet'!$A$114,$BV$205^A62,IF(A62='Données projet'!$A$114,'Données projet'!$B$114,BY61+BX62-CG61)))</f>
        <v>393.99999999999989</v>
      </c>
      <c r="BZ62" s="13">
        <f>BY62*VLOOKUP('Données projet'!$B$12,Paramètres!$A$1:$I$89,3,0)*VLOOKUP('Données projet'!$B$12,Paramètres!$A$1:$I$89,5,0)</f>
        <v>245.85599999999994</v>
      </c>
      <c r="CA62" s="13">
        <f t="shared" si="39"/>
        <v>59.697704223313963</v>
      </c>
      <c r="CB62" s="20">
        <f t="shared" si="10"/>
        <v>532.17270152227172</v>
      </c>
      <c r="CC62" s="59">
        <f t="shared" si="11"/>
        <v>825.50603485560509</v>
      </c>
      <c r="CD62" s="59">
        <f ca="1">AVERAGE(OFFSET($CC$3,0,0,'Données projet'!$E$12+1,1))-AVERAGE(OFFSET($H$3,0,0,'Données projet'!$E$12+1,1))</f>
        <v>255.41017495879987</v>
      </c>
      <c r="CE62" s="59">
        <f t="shared" si="40"/>
        <v>297.50513563712764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4.6983852527754948</v>
      </c>
      <c r="CL62" s="21">
        <f>EXP(-LN(2)/25)*CL61+(1-EXP(-LN(2)/25))/(LN(2)/25)*Calculateur!CG62*Calculateur!CI62*VLOOKUP('Données projet'!$B$12,Paramètres!$A$1:$I$89,3,0)*0.475*44/12</f>
        <v>12.472115161885066</v>
      </c>
      <c r="CM62" s="21">
        <f>EXP(-LN(2)/2)*CM61+(1-EXP(-LN(2)/2))/(LN(2)/2)*CG62*CJ62*VLOOKUP('Données projet'!$B$12,Paramètres!$A$1:$I$89,3,0)*0.475*44/12</f>
        <v>1.0531157056847822E-3</v>
      </c>
      <c r="CN62" s="22">
        <f t="shared" si="12"/>
        <v>17.171553530366243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7.361538461538462</v>
      </c>
      <c r="CT62" s="12">
        <f>IF('Données projet'!$A$140&gt;35,CT61+CS62-DB61,IF(A62&lt;'Données projet'!$A$140,$CQ$205^A62,IF(A62='Données projet'!$A$140,'Données projet'!$B$140,CT61+CS62-DB61)))</f>
        <v>258.46153846153834</v>
      </c>
      <c r="CU62" s="17">
        <f>CT62*VLOOKUP('Données projet'!$B$13,Paramètres!$A$1:$I$89,3,0)*VLOOKUP('Données projet'!$B$13,Paramètres!$A$1:$I$89,5,0)</f>
        <v>147.83999999999995</v>
      </c>
      <c r="CV62" s="13">
        <f t="shared" si="41"/>
        <v>38.087304262089752</v>
      </c>
      <c r="CW62" s="20">
        <f t="shared" si="13"/>
        <v>323.82338825647292</v>
      </c>
      <c r="CX62" s="59">
        <f t="shared" si="14"/>
        <v>617.15672158980624</v>
      </c>
      <c r="CY62" s="59">
        <f ca="1">AVERAGE(OFFSET($CX$3,0,0,'Données projet'!$E$13+1,1))-AVERAGE(OFFSET($H$3,0,0,'Données projet'!$E$13+1,1))</f>
        <v>134.70214882504786</v>
      </c>
      <c r="CZ62" s="59">
        <f t="shared" si="42"/>
        <v>102.18553029667771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0.59855977106878711</v>
      </c>
      <c r="DG62" s="21">
        <f>EXP(-LN(2)/25)*DG61+(1-EXP(-LN(2)/25))/(LN(2)/25)*Calculateur!DB62*Calculateur!DD62*VLOOKUP('Données projet'!$B$13,Paramètres!$A$1:$I$89,3,0)*0.475*44/12</f>
        <v>5.6161247556754033</v>
      </c>
      <c r="DH62" s="21">
        <f>EXP(-LN(2)/2)*DH61+(1-EXP(-LN(2)/2))/(LN(2)/2)*DB62*DE62*VLOOKUP('Données projet'!$B$13,Paramètres!$A$1:$I$89,3,0)*0.475*44/12</f>
        <v>3.3257395107577246E-4</v>
      </c>
      <c r="DI62" s="22">
        <f t="shared" si="15"/>
        <v>6.2150171006952659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10.66307692307692</v>
      </c>
      <c r="DO62" s="12">
        <f>IF('Données projet'!$A$166&gt;35,DO61+DN62-DW61,IF(A62&lt;'Données projet'!$A$166,$DL$205^A62,IF(A62='Données projet'!$A$166,'Données projet'!$B$166,DO61+DN62-DW61)))</f>
        <v>331.76</v>
      </c>
      <c r="DP62" s="17">
        <f>DO62*VLOOKUP('Données projet'!$B$14,Paramètres!$A$1:$I$89,3,0)*VLOOKUP('Données projet'!$B$14,Paramètres!$A$1:$I$89,5,0)</f>
        <v>198.39248000000001</v>
      </c>
      <c r="DQ62" s="13">
        <f t="shared" si="43"/>
        <v>49.39071772551025</v>
      </c>
      <c r="DR62" s="20">
        <f t="shared" si="16"/>
        <v>431.55573603859699</v>
      </c>
      <c r="DS62" s="59">
        <f t="shared" si="17"/>
        <v>724.8890693719303</v>
      </c>
      <c r="DT62" s="59">
        <f ca="1">AVERAGE(OFFSET($DS$3,0,0,'Données projet'!$E$14+1,1))-AVERAGE(OFFSET($H$3,0,0,'Données projet'!$E$14+1,1))</f>
        <v>179.32848817523677</v>
      </c>
      <c r="DU62" s="59">
        <f t="shared" si="44"/>
        <v>131.3292389103035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5.8982503418273415</v>
      </c>
      <c r="EC62" s="21">
        <f>EXP(-LN(2)/2)*EC61+(1-EXP(-LN(2)/2))/(LN(2)/2)*DW62*DZ62*VLOOKUP('Données projet'!$B$14,Paramètres!$A$1:$I$89,3,0)*0.475*44/12</f>
        <v>2.2713687897639608E-4</v>
      </c>
      <c r="ED62" s="22">
        <f t="shared" si="18"/>
        <v>5.8984774787063179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-2.2737367544323206E-13</v>
      </c>
      <c r="EK62" s="17">
        <f>EJ62*VLOOKUP('Données projet'!$B$15,Paramètres!$A$1:$I$89,3,0)*VLOOKUP('Données projet'!$B$15,Paramètres!$A$1:$I$89,5,0)</f>
        <v>-1.0049916454590858E-13</v>
      </c>
      <c r="EL62" s="13" t="e">
        <f t="shared" si="45"/>
        <v>#NUM!</v>
      </c>
      <c r="EM62" s="20" t="e">
        <f t="shared" si="19"/>
        <v>#NUM!</v>
      </c>
      <c r="EN62" s="59" t="e">
        <f t="shared" si="20"/>
        <v>#NUM!</v>
      </c>
      <c r="EO62" s="59">
        <f ca="1">AVERAGE(OFFSET($EN$3,0,0,'Données projet'!$E$15+1,1))-AVERAGE(OFFSET($H$3,0,0,'Données projet'!$E$15+1,1))</f>
        <v>191.932060106699</v>
      </c>
      <c r="EP62" s="59">
        <f t="shared" si="46"/>
        <v>260.28593152736903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1.3757826498652563</v>
      </c>
      <c r="EW62" s="21">
        <f>EXP(-LN(2)/25)*EW61+(1-EXP(-LN(2)/25))/(LN(2)/25)*Calculateur!ER62*Calculateur!ET62*VLOOKUP('Données projet'!$B$15,Paramètres!$A$1:$I$89,3,0)*0.475*44/12</f>
        <v>5.6474917446894919</v>
      </c>
      <c r="EX62" s="21">
        <f>EXP(-LN(2)/2)*EX61+(1-EXP(-LN(2)/2))/(LN(2)/2)*ER62*EU62*VLOOKUP('Données projet'!$B$15,Paramètres!$A$1:$I$89,3,0)*0.475*44/12</f>
        <v>5.7762133166547146E-5</v>
      </c>
      <c r="EY62" s="22">
        <f t="shared" si="21"/>
        <v>7.023332156687915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3.9</v>
      </c>
      <c r="FE62" s="12">
        <f>IF('Données projet'!$A$218&gt;35,FE61+FD62-FM61,IF(A62&lt;'Données projet'!$A$218,$FB$205^A62,IF(A62='Données projet'!$A$218,'Données projet'!$B$218,FE61+FD62-FM61)))</f>
        <v>121.09999999999998</v>
      </c>
      <c r="FF62" s="17">
        <f>FE62*VLOOKUP('Données projet'!$B$16,Paramètres!$A$1:$I$89,3,0)*VLOOKUP('Données projet'!$B$16,Paramètres!$A$1:$I$89,5,0)</f>
        <v>117.12791999999999</v>
      </c>
      <c r="FG62" s="13">
        <f t="shared" si="47"/>
        <v>31.004192286414842</v>
      </c>
      <c r="FH62" s="20">
        <f t="shared" si="22"/>
        <v>257.9967622321725</v>
      </c>
      <c r="FI62" s="59">
        <f t="shared" si="23"/>
        <v>551.33009556550587</v>
      </c>
      <c r="FJ62" s="59">
        <f ca="1">AVERAGE(OFFSET($FI$3,0,0,'Données projet'!$E$16+1,1))-AVERAGE(OFFSET($H$3,0,0,'Données projet'!$E$16+1,1))</f>
        <v>102.86738524979938</v>
      </c>
      <c r="FK62" s="59">
        <f t="shared" si="48"/>
        <v>56.347130462109817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0</v>
      </c>
      <c r="FR62" s="21">
        <f>EXP(-LN(2)/25)*FR61+(1-EXP(-LN(2)/25))/(LN(2)/25)*Calculateur!FM62*Calculateur!FO62*VLOOKUP('Données projet'!$B$16,Paramètres!$A$1:$I$89,3,0)*0.475*44/12</f>
        <v>0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0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8.4</v>
      </c>
      <c r="FZ62" s="12">
        <f>IF('Données projet'!$A$244&gt;35,FZ61+FY62-GH61,IF(A62&lt;'Données projet'!$A$244,$FW$205^A62,IF(A62='Données projet'!$A$244,'Données projet'!$B$244,FZ61+FY62-GH61)))</f>
        <v>242.60000000000016</v>
      </c>
      <c r="GA62" s="17">
        <f>FZ62*VLOOKUP('Données projet'!$B$17,Paramètres!$A$1:$I$89,3,0)*VLOOKUP('Données projet'!$B$17,Paramètres!$A$1:$I$89,5,0)</f>
        <v>162.7360800000001</v>
      </c>
      <c r="GB62" s="13">
        <f t="shared" si="49"/>
        <v>41.459035563014382</v>
      </c>
      <c r="GC62" s="20">
        <f t="shared" si="25"/>
        <v>355.63982627225022</v>
      </c>
      <c r="GD62" s="59">
        <f t="shared" si="26"/>
        <v>648.97315960558353</v>
      </c>
      <c r="GE62" s="59">
        <f ca="1">AVERAGE(OFFSET($GD$3,0,0,'Données projet'!$E$17+1,1))-AVERAGE(OFFSET($H$3,0,0,'Données projet'!$E$17+1,1))</f>
        <v>168.00454652899231</v>
      </c>
      <c r="GF62" s="59">
        <f t="shared" si="50"/>
        <v>135.31958994080446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0</v>
      </c>
      <c r="GM62" s="21">
        <f>EXP(-LN(2)/25)*GM61+(1-EXP(-LN(2)/25))/(LN(2)/25)*Calculateur!GH62*Calculateur!GJ62*VLOOKUP('Données projet'!$B$17,Paramètres!$A$1:$I$89,3,0)*0.475*44/12</f>
        <v>0</v>
      </c>
      <c r="GN62" s="21">
        <f>EXP(-LN(2)/2)*GN61+(1-EXP(-LN(2)/2))/(LN(2)/2)*GH62*GK62*VLOOKUP('Données projet'!$B$17,Paramètres!$A$1:$I$89,3,0)*0.475*44/12</f>
        <v>0</v>
      </c>
      <c r="GO62" s="21">
        <f t="shared" si="27"/>
        <v>0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8.374198717948719</v>
      </c>
      <c r="N63" s="13">
        <f>IF('Données projet'!$A$36&gt;35,N62+M63-V62,IF(A63&lt;'Données projet'!$A$36,$K$205^A63,IF(A63='Données projet'!$A$36,'Données projet'!$B$36,N62+M63-V62)))</f>
        <v>195.16586538461542</v>
      </c>
      <c r="O63" s="13">
        <f>N63*VLOOKUP('Données projet'!$B$9,Paramètres!$A$1:$I$89,3,0)*VLOOKUP('Données projet'!$B$9,Paramètres!$A$1:$I$89,5,0)</f>
        <v>176.58607500000002</v>
      </c>
      <c r="P63" s="13">
        <f t="shared" si="33"/>
        <v>44.561806372041332</v>
      </c>
      <c r="Q63" s="20">
        <f t="shared" si="53"/>
        <v>385.16589338963871</v>
      </c>
      <c r="R63" s="59">
        <f t="shared" si="0"/>
        <v>678.49922672297203</v>
      </c>
      <c r="S63" s="59">
        <f ca="1">AVERAGE(OFFSET($R$3,0,0,'Données projet'!$E$9+1,1))-AVERAGE(OFFSET($H$3,0,0,'Données projet'!$E$9+1,1))</f>
        <v>221.7429870520005</v>
      </c>
      <c r="T63" s="59">
        <f t="shared" si="34"/>
        <v>182.2029938397186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0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5.9431089743589762</v>
      </c>
      <c r="AI63" s="13">
        <f>IF('Données projet'!$A$62&gt;35,AI62+AH63-AQ62,IF(A63&lt;'Données projet'!$A$62,$AF$205^A63,IF(A63='Données projet'!$A$62,'Données projet'!$B$62,AI62+AH63-AQ62)))</f>
        <v>126.25721153846153</v>
      </c>
      <c r="AJ63" s="13">
        <f>AI63*VLOOKUP('Données projet'!$B$10,Paramètres!$A$1:$I$89,3,0)*VLOOKUP('Données projet'!$B$10,Paramètres!$A$1:$I$89,5,0)</f>
        <v>114.23752499999999</v>
      </c>
      <c r="AK63" s="13">
        <f t="shared" si="35"/>
        <v>30.327171529636239</v>
      </c>
      <c r="AL63" s="20">
        <f t="shared" si="4"/>
        <v>251.78351312244976</v>
      </c>
      <c r="AM63" s="59">
        <f t="shared" si="5"/>
        <v>545.11684645578305</v>
      </c>
      <c r="AN63" s="59">
        <f ca="1">AVERAGE(OFFSET($AM$3,0,0,'Données projet'!$E$10+1,1))-AVERAGE(OFFSET($H$3,0,0,'Données projet'!$E$10+1,1))</f>
        <v>153.45079678708987</v>
      </c>
      <c r="AO63" s="59">
        <f t="shared" si="36"/>
        <v>115.4217868409637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14.270329670329668</v>
      </c>
      <c r="BD63" s="12">
        <f>IF('Données projet'!$A$88&gt;35,BD62+BC63-BL62,IF(A63&lt;'Données projet'!$A$88,$BA$205^A63,IF(A63='Données projet'!$A$88,'Données projet'!$B$88,BD62+BC63-BL62)))</f>
        <v>332.36593406593403</v>
      </c>
      <c r="BE63" s="13">
        <f>BD63*VLOOKUP('Données projet'!$B$11,Paramètres!$A$1:$I$89,3,0)*VLOOKUP('Données projet'!$B$11,Paramètres!$A$1:$I$89,5,0)</f>
        <v>155.54725714285712</v>
      </c>
      <c r="BF63" s="13">
        <f t="shared" si="37"/>
        <v>39.836543030962723</v>
      </c>
      <c r="BG63" s="20">
        <f t="shared" si="7"/>
        <v>340.29345196940289</v>
      </c>
      <c r="BH63" s="59">
        <f t="shared" si="8"/>
        <v>633.62678530273615</v>
      </c>
      <c r="BI63" s="59">
        <f ca="1">AVERAGE(OFFSET($BH$3,0,0,'Données projet'!$E$11+1,1))-AVERAGE(OFFSET($H$3,0,0,'Données projet'!$E$11+1,1))</f>
        <v>158.58786357608489</v>
      </c>
      <c r="BJ63" s="59">
        <f t="shared" si="38"/>
        <v>163.20074068819849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0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404</v>
      </c>
      <c r="BW63" s="12">
        <f>VLOOKUP(A63,'Données projet'!$A$113:$I$133,9,0)</f>
        <v>10</v>
      </c>
      <c r="BX63" s="12">
        <f t="array" ref="BX63">INDEX(BW:BW,MIN(IF(ISNUMBER(BW63:BW259),ROW(BW63:BW259),"")))</f>
        <v>10</v>
      </c>
      <c r="BY63" s="12">
        <f>IF('Données projet'!$A$114&gt;35,BY62+BX63-CG62,IF(A63&lt;'Données projet'!$A$114,$BV$205^A63,IF(A63='Données projet'!$A$114,'Données projet'!$B$114,BY62+BX63-CG62)))</f>
        <v>403.99999999999989</v>
      </c>
      <c r="BZ63" s="13">
        <f>BY63*VLOOKUP('Données projet'!$B$12,Paramètres!$A$1:$I$89,3,0)*VLOOKUP('Données projet'!$B$12,Paramètres!$A$1:$I$89,5,0)</f>
        <v>252.09599999999992</v>
      </c>
      <c r="CA63" s="13">
        <f t="shared" si="39"/>
        <v>61.034549381925906</v>
      </c>
      <c r="CB63" s="20">
        <f t="shared" si="10"/>
        <v>545.36904017352083</v>
      </c>
      <c r="CC63" s="59">
        <f t="shared" si="11"/>
        <v>838.7023735068542</v>
      </c>
      <c r="CD63" s="59">
        <f ca="1">AVERAGE(OFFSET($CC$3,0,0,'Données projet'!$E$12+1,1))-AVERAGE(OFFSET($H$3,0,0,'Données projet'!$E$12+1,1))</f>
        <v>255.41017495879987</v>
      </c>
      <c r="CE63" s="59">
        <f t="shared" si="40"/>
        <v>297.50513563712764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55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4.6062527837006044</v>
      </c>
      <c r="CL63" s="21">
        <f>EXP(-LN(2)/25)*CL62+(1-EXP(-LN(2)/25))/(LN(2)/25)*Calculateur!CG63*Calculateur!CI63*VLOOKUP('Données projet'!$B$12,Paramètres!$A$1:$I$89,3,0)*0.475*44/12</f>
        <v>12.131064516903288</v>
      </c>
      <c r="CM63" s="21">
        <f>EXP(-LN(2)/2)*CM62+(1-EXP(-LN(2)/2))/(LN(2)/2)*CG63*CJ63*VLOOKUP('Données projet'!$B$12,Paramètres!$A$1:$I$89,3,0)*0.475*44/12</f>
        <v>7.4466525686376587E-4</v>
      </c>
      <c r="CN63" s="22">
        <f t="shared" si="12"/>
        <v>16.738061965860755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265.82307692307688</v>
      </c>
      <c r="CR63" s="12">
        <f>VLOOKUP(A63,'Données projet'!$A$139:$I$159,9,0)</f>
        <v>7.361538461538462</v>
      </c>
      <c r="CS63" s="12">
        <f t="array" ref="CS63">INDEX(CR:CR,MIN(IF(ISNUMBER(CR63:CR259),ROW(CR63:CR259),"")))</f>
        <v>7.361538461538462</v>
      </c>
      <c r="CT63" s="12">
        <f>IF('Données projet'!$A$140&gt;35,CT62+CS63-DB62,IF(A63&lt;'Données projet'!$A$140,$CQ$205^A63,IF(A63='Données projet'!$A$140,'Données projet'!$B$140,CT62+CS63-DB62)))</f>
        <v>265.82307692307683</v>
      </c>
      <c r="CU63" s="17">
        <f>CT63*VLOOKUP('Données projet'!$B$13,Paramètres!$A$1:$I$89,3,0)*VLOOKUP('Données projet'!$B$13,Paramètres!$A$1:$I$89,5,0)</f>
        <v>152.05079999999995</v>
      </c>
      <c r="CV63" s="13">
        <f t="shared" si="41"/>
        <v>39.044268310958195</v>
      </c>
      <c r="CW63" s="20">
        <f t="shared" si="13"/>
        <v>332.82391064158543</v>
      </c>
      <c r="CX63" s="59">
        <f t="shared" si="14"/>
        <v>626.15724397491874</v>
      </c>
      <c r="CY63" s="59">
        <f ca="1">AVERAGE(OFFSET($CX$3,0,0,'Données projet'!$E$13+1,1))-AVERAGE(OFFSET($H$3,0,0,'Données projet'!$E$13+1,1))</f>
        <v>134.70214882504786</v>
      </c>
      <c r="CZ63" s="59">
        <f t="shared" si="42"/>
        <v>102.18553029667771</v>
      </c>
      <c r="DA63" s="15">
        <f>IF(ISNA(VLOOKUP(A63,'Données projet'!$A$139:$I$159,3,0)),0,VLOOKUP(A63,'Données projet'!$A$139:$I$159,3,0))</f>
        <v>6</v>
      </c>
      <c r="DB63" s="15">
        <f>IF(ISNA(VLOOKUP(A63,'Données projet'!$A$139:$I$159,4,0)),0,VLOOKUP(A63,'Données projet'!$A$139:$I$159,4,0))</f>
        <v>37.138461538461542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0.5868223790435394</v>
      </c>
      <c r="DG63" s="21">
        <f>EXP(-LN(2)/25)*DG62+(1-EXP(-LN(2)/25))/(LN(2)/25)*Calculateur!DB63*Calculateur!DD63*VLOOKUP('Données projet'!$B$13,Paramètres!$A$1:$I$89,3,0)*0.475*44/12</f>
        <v>5.4625515288922939</v>
      </c>
      <c r="DH63" s="21">
        <f>EXP(-LN(2)/2)*DH62+(1-EXP(-LN(2)/2))/(LN(2)/2)*DB63*DE63*VLOOKUP('Données projet'!$B$13,Paramètres!$A$1:$I$89,3,0)*0.475*44/12</f>
        <v>2.351652960516818E-4</v>
      </c>
      <c r="DI63" s="22">
        <f t="shared" si="15"/>
        <v>6.0496090732318848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342.42307692307691</v>
      </c>
      <c r="DM63" s="12">
        <f>VLOOKUP(A63,'Données projet'!$A$165:$I$185,9,0)</f>
        <v>10.66307692307692</v>
      </c>
      <c r="DN63" s="12">
        <f t="array" ref="DN63">INDEX(DM:DM,MIN(IF(ISNUMBER(DM63:DM259),ROW(DM63:DM259),"")))</f>
        <v>10.66307692307692</v>
      </c>
      <c r="DO63" s="12">
        <f>IF('Données projet'!$A$166&gt;35,DO62+DN63-DW62,IF(A63&lt;'Données projet'!$A$166,$DL$205^A63,IF(A63='Données projet'!$A$166,'Données projet'!$B$166,DO62+DN63-DW62)))</f>
        <v>342.42307692307691</v>
      </c>
      <c r="DP63" s="17">
        <f>DO63*VLOOKUP('Données projet'!$B$14,Paramètres!$A$1:$I$89,3,0)*VLOOKUP('Données projet'!$B$14,Paramètres!$A$1:$I$89,5,0)</f>
        <v>204.76900000000001</v>
      </c>
      <c r="DQ63" s="13">
        <f t="shared" si="43"/>
        <v>50.790807822254017</v>
      </c>
      <c r="DR63" s="20">
        <f t="shared" si="16"/>
        <v>445.09999862375906</v>
      </c>
      <c r="DS63" s="59">
        <f t="shared" si="17"/>
        <v>738.43333195709238</v>
      </c>
      <c r="DT63" s="59">
        <f ca="1">AVERAGE(OFFSET($DS$3,0,0,'Données projet'!$E$14+1,1))-AVERAGE(OFFSET($H$3,0,0,'Données projet'!$E$14+1,1))</f>
        <v>179.32848817523677</v>
      </c>
      <c r="DU63" s="59">
        <f t="shared" si="44"/>
        <v>131.3292389103035</v>
      </c>
      <c r="DV63" s="15">
        <f>IF(ISNA(VLOOKUP(A63,'Données projet'!$A$165:$I$185,3,0)),0,VLOOKUP(A63,'Données projet'!$A$165:$I$185,3,0))</f>
        <v>6</v>
      </c>
      <c r="DW63" s="15">
        <f>IF(ISNA(VLOOKUP(A63,'Données projet'!$A$165:$I$185,4,0)),0,VLOOKUP(A63,'Données projet'!$A$165:$I$185,4,0))</f>
        <v>54.261538461538464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5.736962376054568</v>
      </c>
      <c r="EC63" s="21">
        <f>EXP(-LN(2)/2)*EC62+(1-EXP(-LN(2)/2))/(LN(2)/2)*DW63*DZ63*VLOOKUP('Données projet'!$B$14,Paramètres!$A$1:$I$89,3,0)*0.475*44/12</f>
        <v>1.6061002738175783E-4</v>
      </c>
      <c r="ED63" s="22">
        <f t="shared" si="18"/>
        <v>5.7371229860819497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-2.2737367544323206E-13</v>
      </c>
      <c r="EK63" s="17">
        <f>EJ63*VLOOKUP('Données projet'!$B$15,Paramètres!$A$1:$I$89,3,0)*VLOOKUP('Données projet'!$B$15,Paramètres!$A$1:$I$89,5,0)</f>
        <v>-1.0049916454590858E-13</v>
      </c>
      <c r="EL63" s="13" t="e">
        <f t="shared" si="45"/>
        <v>#NUM!</v>
      </c>
      <c r="EM63" s="20" t="e">
        <f t="shared" si="19"/>
        <v>#NUM!</v>
      </c>
      <c r="EN63" s="59" t="e">
        <f t="shared" si="20"/>
        <v>#NUM!</v>
      </c>
      <c r="EO63" s="59">
        <f ca="1">AVERAGE(OFFSET($EN$3,0,0,'Données projet'!$E$15+1,1))-AVERAGE(OFFSET($H$3,0,0,'Données projet'!$E$15+1,1))</f>
        <v>191.932060106699</v>
      </c>
      <c r="EP63" s="59">
        <f t="shared" si="46"/>
        <v>260.28593152736903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1.3488043912459564</v>
      </c>
      <c r="EW63" s="21">
        <f>EXP(-LN(2)/25)*EW62+(1-EXP(-LN(2)/25))/(LN(2)/25)*Calculateur!ER63*Calculateur!ET63*VLOOKUP('Données projet'!$B$15,Paramètres!$A$1:$I$89,3,0)*0.475*44/12</f>
        <v>5.4930607859422746</v>
      </c>
      <c r="EX63" s="21">
        <f>EXP(-LN(2)/2)*EX62+(1-EXP(-LN(2)/2))/(LN(2)/2)*ER63*EU63*VLOOKUP('Données projet'!$B$15,Paramètres!$A$1:$I$89,3,0)*0.475*44/12</f>
        <v>4.0843996057865875E-5</v>
      </c>
      <c r="EY63" s="22">
        <f t="shared" si="21"/>
        <v>6.8419060211842888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125</v>
      </c>
      <c r="FC63" s="12">
        <f>VLOOKUP(A63,'Données projet'!$A$217:$I$237,9,0)</f>
        <v>3.9</v>
      </c>
      <c r="FD63" s="12">
        <f t="array" ref="FD63">INDEX(FC:FC,MIN(IF(ISNUMBER(FC63:FC259),ROW(FC63:FC259),"")))</f>
        <v>3.9</v>
      </c>
      <c r="FE63" s="12">
        <f>IF('Données projet'!$A$218&gt;35,FE62+FD63-FM62,IF(A63&lt;'Données projet'!$A$218,$FB$205^A63,IF(A63='Données projet'!$A$218,'Données projet'!$B$218,FE62+FD63-FM62)))</f>
        <v>124.99999999999999</v>
      </c>
      <c r="FF63" s="17">
        <f>FE63*VLOOKUP('Données projet'!$B$16,Paramètres!$A$1:$I$89,3,0)*VLOOKUP('Données projet'!$B$16,Paramètres!$A$1:$I$89,5,0)</f>
        <v>120.89999999999998</v>
      </c>
      <c r="FG63" s="13">
        <f t="shared" si="47"/>
        <v>31.884818143351602</v>
      </c>
      <c r="FH63" s="20">
        <f t="shared" si="22"/>
        <v>266.10022493300397</v>
      </c>
      <c r="FI63" s="59">
        <f t="shared" si="23"/>
        <v>559.43355826633729</v>
      </c>
      <c r="FJ63" s="59">
        <f ca="1">AVERAGE(OFFSET($FI$3,0,0,'Données projet'!$E$16+1,1))-AVERAGE(OFFSET($H$3,0,0,'Données projet'!$E$16+1,1))</f>
        <v>102.86738524979938</v>
      </c>
      <c r="FK63" s="59">
        <f t="shared" si="48"/>
        <v>56.347130462109817</v>
      </c>
      <c r="FL63" s="15">
        <f>IF(ISNA(VLOOKUP(A63,'Données projet'!$A$217:$I$237,3,0)),0,VLOOKUP(A63,'Données projet'!$A$217:$I$237,3,0))</f>
        <v>4</v>
      </c>
      <c r="FM63" s="15">
        <f>IF(ISNA(VLOOKUP(A63,'Données projet'!$A$217:$I$237,4,0)),0,VLOOKUP(A63,'Données projet'!$A$217:$I$237,4,0))</f>
        <v>20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0</v>
      </c>
      <c r="FR63" s="21">
        <f>EXP(-LN(2)/25)*FR62+(1-EXP(-LN(2)/25))/(LN(2)/25)*Calculateur!FM63*Calculateur!FO63*VLOOKUP('Données projet'!$B$16,Paramètres!$A$1:$I$89,3,0)*0.475*44/12</f>
        <v>0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0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>
        <f>VLOOKUP(A63,'Données projet'!$A$243:$I$263,2,0)</f>
        <v>251</v>
      </c>
      <c r="FX63" s="12">
        <f>VLOOKUP(A63,'Données projet'!$A$243:$I$263,9,0)</f>
        <v>8.4</v>
      </c>
      <c r="FY63" s="12">
        <f t="array" ref="FY63">INDEX(FX:FX,MIN(IF(ISNUMBER(FX63:FX259),ROW(FX63:FX259),"")))</f>
        <v>8.4</v>
      </c>
      <c r="FZ63" s="12">
        <f>IF('Données projet'!$A$244&gt;35,FZ62+FY63-GH62,IF(A63&lt;'Données projet'!$A$244,$FW$205^A63,IF(A63='Données projet'!$A$244,'Données projet'!$B$244,FZ62+FY63-GH62)))</f>
        <v>251.00000000000017</v>
      </c>
      <c r="GA63" s="17">
        <f>FZ63*VLOOKUP('Données projet'!$B$17,Paramètres!$A$1:$I$89,3,0)*VLOOKUP('Données projet'!$B$17,Paramètres!$A$1:$I$89,5,0)</f>
        <v>168.37080000000012</v>
      </c>
      <c r="GB63" s="13">
        <f t="shared" si="49"/>
        <v>42.724932732512329</v>
      </c>
      <c r="GC63" s="20">
        <f t="shared" si="25"/>
        <v>367.65840117579245</v>
      </c>
      <c r="GD63" s="59">
        <f t="shared" si="26"/>
        <v>660.99173450912576</v>
      </c>
      <c r="GE63" s="59">
        <f ca="1">AVERAGE(OFFSET($GD$3,0,0,'Données projet'!$E$17+1,1))-AVERAGE(OFFSET($H$3,0,0,'Données projet'!$E$17+1,1))</f>
        <v>168.00454652899231</v>
      </c>
      <c r="GF63" s="59">
        <f t="shared" si="50"/>
        <v>135.31958994080446</v>
      </c>
      <c r="GG63" s="15">
        <f>IF(ISNA(VLOOKUP(A63,'Données projet'!$A$243:$I$263,3,0)),0,VLOOKUP(A63,'Données projet'!$A$243:$I$263,3,0))</f>
        <v>5</v>
      </c>
      <c r="GH63" s="15">
        <f>IF(ISNA(VLOOKUP(A63,'Données projet'!$A$243:$I$263,4,0)),0,VLOOKUP(A63,'Données projet'!$A$243:$I$263,4,0))</f>
        <v>54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0</v>
      </c>
      <c r="GM63" s="21">
        <f>EXP(-LN(2)/25)*GM62+(1-EXP(-LN(2)/25))/(LN(2)/25)*Calculateur!GH63*Calculateur!GJ63*VLOOKUP('Données projet'!$B$17,Paramètres!$A$1:$I$89,3,0)*0.475*44/12</f>
        <v>0</v>
      </c>
      <c r="GN63" s="21">
        <f>EXP(-LN(2)/2)*GN62+(1-EXP(-LN(2)/2))/(LN(2)/2)*GH63*GK63*VLOOKUP('Données projet'!$B$17,Paramètres!$A$1:$I$89,3,0)*0.475*44/12</f>
        <v>0</v>
      </c>
      <c r="GO63" s="21">
        <f t="shared" si="27"/>
        <v>0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8.374198717948719</v>
      </c>
      <c r="N64" s="13">
        <f>IF('Données projet'!$A$36&gt;35,N63+M64-V63,IF(A64&lt;'Données projet'!$A$36,$K$205^A64,IF(A64='Données projet'!$A$36,'Données projet'!$B$36,N63+M64-V63)))</f>
        <v>203.54006410256414</v>
      </c>
      <c r="O64" s="13">
        <f>N64*VLOOKUP('Données projet'!$B$9,Paramètres!$A$1:$I$89,3,0)*VLOOKUP('Données projet'!$B$9,Paramètres!$A$1:$I$89,5,0)</f>
        <v>184.16305000000003</v>
      </c>
      <c r="P64" s="13">
        <f t="shared" si="33"/>
        <v>46.247151975893182</v>
      </c>
      <c r="Q64" s="20">
        <f t="shared" si="53"/>
        <v>401.29776844134739</v>
      </c>
      <c r="R64" s="59">
        <f t="shared" si="0"/>
        <v>694.6311017746807</v>
      </c>
      <c r="S64" s="59">
        <f ca="1">AVERAGE(OFFSET($R$3,0,0,'Données projet'!$E$9+1,1))-AVERAGE(OFFSET($H$3,0,0,'Données projet'!$E$9+1,1))</f>
        <v>221.7429870520005</v>
      </c>
      <c r="T64" s="59">
        <f t="shared" si="34"/>
        <v>182.2029938397186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0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5.9431089743589762</v>
      </c>
      <c r="AI64" s="13">
        <f>IF('Données projet'!$A$62&gt;35,AI63+AH64-AQ63,IF(A64&lt;'Données projet'!$A$62,$AF$205^A64,IF(A64='Données projet'!$A$62,'Données projet'!$B$62,AI63+AH64-AQ63)))</f>
        <v>132.2003205128205</v>
      </c>
      <c r="AJ64" s="13">
        <f>AI64*VLOOKUP('Données projet'!$B$10,Paramètres!$A$1:$I$89,3,0)*VLOOKUP('Données projet'!$B$10,Paramètres!$A$1:$I$89,5,0)</f>
        <v>119.61484999999999</v>
      </c>
      <c r="AK64" s="13">
        <f t="shared" si="35"/>
        <v>31.585152581402479</v>
      </c>
      <c r="AL64" s="20">
        <f t="shared" si="4"/>
        <v>263.34000449594265</v>
      </c>
      <c r="AM64" s="59">
        <f t="shared" si="5"/>
        <v>556.67333782927597</v>
      </c>
      <c r="AN64" s="59">
        <f ca="1">AVERAGE(OFFSET($AM$3,0,0,'Données projet'!$E$10+1,1))-AVERAGE(OFFSET($H$3,0,0,'Données projet'!$E$10+1,1))</f>
        <v>153.45079678708987</v>
      </c>
      <c r="AO64" s="59">
        <f t="shared" si="36"/>
        <v>115.4217868409637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14.270329670329668</v>
      </c>
      <c r="BD64" s="12">
        <f>IF('Données projet'!$A$88&gt;35,BD63+BC64-BL63,IF(A64&lt;'Données projet'!$A$88,$BA$205^A64,IF(A64='Données projet'!$A$88,'Données projet'!$B$88,BD63+BC64-BL63)))</f>
        <v>346.63626373626369</v>
      </c>
      <c r="BE64" s="13">
        <f>BD64*VLOOKUP('Données projet'!$B$11,Paramètres!$A$1:$I$89,3,0)*VLOOKUP('Données projet'!$B$11,Paramètres!$A$1:$I$89,5,0)</f>
        <v>162.22577142857142</v>
      </c>
      <c r="BF64" s="13">
        <f t="shared" si="37"/>
        <v>41.344139999178246</v>
      </c>
      <c r="BG64" s="20">
        <f t="shared" si="7"/>
        <v>354.55092906999738</v>
      </c>
      <c r="BH64" s="59">
        <f t="shared" si="8"/>
        <v>647.88426240333069</v>
      </c>
      <c r="BI64" s="59">
        <f ca="1">AVERAGE(OFFSET($BH$3,0,0,'Données projet'!$E$11+1,1))-AVERAGE(OFFSET($H$3,0,0,'Données projet'!$E$11+1,1))</f>
        <v>158.58786357608489</v>
      </c>
      <c r="BJ64" s="59">
        <f t="shared" si="38"/>
        <v>163.20074068819849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0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7.8</v>
      </c>
      <c r="BY64" s="12">
        <f>IF('Données projet'!$A$114&gt;35,BY63+BX64-CG63,IF(A64&lt;'Données projet'!$A$114,$BV$205^A64,IF(A64='Données projet'!$A$114,'Données projet'!$B$114,BY63+BX64-CG63)))</f>
        <v>356.7999999999999</v>
      </c>
      <c r="BZ64" s="13">
        <f>BY64*VLOOKUP('Données projet'!$B$12,Paramètres!$A$1:$I$89,3,0)*VLOOKUP('Données projet'!$B$12,Paramètres!$A$1:$I$89,5,0)</f>
        <v>222.64319999999995</v>
      </c>
      <c r="CA64" s="13">
        <f t="shared" si="39"/>
        <v>54.688972258092875</v>
      </c>
      <c r="CB64" s="20">
        <f t="shared" si="10"/>
        <v>483.02020001617831</v>
      </c>
      <c r="CC64" s="59">
        <f t="shared" si="11"/>
        <v>776.35353334951162</v>
      </c>
      <c r="CD64" s="59">
        <f ca="1">AVERAGE(OFFSET($CC$3,0,0,'Données projet'!$E$12+1,1))-AVERAGE(OFFSET($H$3,0,0,'Données projet'!$E$12+1,1))</f>
        <v>255.41017495879987</v>
      </c>
      <c r="CE64" s="59">
        <f t="shared" si="40"/>
        <v>297.50513563712764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4.5159269761490153</v>
      </c>
      <c r="CL64" s="21">
        <f>EXP(-LN(2)/25)*CL63+(1-EXP(-LN(2)/25))/(LN(2)/25)*Calculateur!CG64*Calculateur!CI64*VLOOKUP('Données projet'!$B$12,Paramètres!$A$1:$I$89,3,0)*0.475*44/12</f>
        <v>11.799339919743611</v>
      </c>
      <c r="CM64" s="21">
        <f>EXP(-LN(2)/2)*CM63+(1-EXP(-LN(2)/2))/(LN(2)/2)*CG64*CJ64*VLOOKUP('Données projet'!$B$12,Paramètres!$A$1:$I$89,3,0)*0.475*44/12</f>
        <v>5.2655785284239109E-4</v>
      </c>
      <c r="CN64" s="22">
        <f t="shared" si="12"/>
        <v>16.315793453745471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6.461538461538467</v>
      </c>
      <c r="CT64" s="12">
        <f>IF('Données projet'!$A$140&gt;35,CT63+CS64-DB63,IF(A64&lt;'Données projet'!$A$140,$CQ$205^A64,IF(A64='Données projet'!$A$140,'Données projet'!$B$140,CT63+CS64-DB63)))</f>
        <v>235.14615384615374</v>
      </c>
      <c r="CU64" s="17">
        <f>CT64*VLOOKUP('Données projet'!$B$13,Paramètres!$A$1:$I$89,3,0)*VLOOKUP('Données projet'!$B$13,Paramètres!$A$1:$I$89,5,0)</f>
        <v>134.50359999999995</v>
      </c>
      <c r="CV64" s="13">
        <f t="shared" si="41"/>
        <v>35.034937441372058</v>
      </c>
      <c r="CW64" s="20">
        <f t="shared" si="13"/>
        <v>295.27961937705624</v>
      </c>
      <c r="CX64" s="59">
        <f t="shared" si="14"/>
        <v>588.61295271038955</v>
      </c>
      <c r="CY64" s="59">
        <f ca="1">AVERAGE(OFFSET($CX$3,0,0,'Données projet'!$E$13+1,1))-AVERAGE(OFFSET($H$3,0,0,'Données projet'!$E$13+1,1))</f>
        <v>134.70214882504786</v>
      </c>
      <c r="CZ64" s="59">
        <f t="shared" si="42"/>
        <v>102.18553029667771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0.57531515011680456</v>
      </c>
      <c r="DG64" s="21">
        <f>EXP(-LN(2)/25)*DG63+(1-EXP(-LN(2)/25))/(LN(2)/25)*Calculateur!DB64*Calculateur!DD64*VLOOKUP('Données projet'!$B$13,Paramètres!$A$1:$I$89,3,0)*0.475*44/12</f>
        <v>5.3131777700716336</v>
      </c>
      <c r="DH64" s="21">
        <f>EXP(-LN(2)/2)*DH63+(1-EXP(-LN(2)/2))/(LN(2)/2)*DB64*DE64*VLOOKUP('Données projet'!$B$13,Paramètres!$A$1:$I$89,3,0)*0.475*44/12</f>
        <v>1.6628697553788623E-4</v>
      </c>
      <c r="DI64" s="22">
        <f t="shared" si="15"/>
        <v>5.8886592071639763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9.1830769230769249</v>
      </c>
      <c r="DO64" s="12">
        <f>IF('Données projet'!$A$166&gt;35,DO63+DN64-DW63,IF(A64&lt;'Données projet'!$A$166,$DL$205^A64,IF(A64='Données projet'!$A$166,'Données projet'!$B$166,DO63+DN64-DW63)))</f>
        <v>297.34461538461534</v>
      </c>
      <c r="DP64" s="17">
        <f>DO64*VLOOKUP('Données projet'!$B$14,Paramètres!$A$1:$I$89,3,0)*VLOOKUP('Données projet'!$B$14,Paramètres!$A$1:$I$89,5,0)</f>
        <v>177.81207999999998</v>
      </c>
      <c r="DQ64" s="13">
        <f t="shared" si="43"/>
        <v>44.835068353066951</v>
      </c>
      <c r="DR64" s="20">
        <f t="shared" si="16"/>
        <v>387.77711671492489</v>
      </c>
      <c r="DS64" s="59">
        <f t="shared" si="17"/>
        <v>681.11045004825814</v>
      </c>
      <c r="DT64" s="59">
        <f ca="1">AVERAGE(OFFSET($DS$3,0,0,'Données projet'!$E$14+1,1))-AVERAGE(OFFSET($H$3,0,0,'Données projet'!$E$14+1,1))</f>
        <v>179.32848817523677</v>
      </c>
      <c r="DU64" s="59">
        <f t="shared" si="44"/>
        <v>131.3292389103035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5.5800848381876165</v>
      </c>
      <c r="EC64" s="21">
        <f>EXP(-LN(2)/2)*EC63+(1-EXP(-LN(2)/2))/(LN(2)/2)*DW64*DZ64*VLOOKUP('Données projet'!$B$14,Paramètres!$A$1:$I$89,3,0)*0.475*44/12</f>
        <v>1.1356843948819804E-4</v>
      </c>
      <c r="ED64" s="22">
        <f t="shared" si="18"/>
        <v>5.5801984066271046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-2.2737367544323206E-13</v>
      </c>
      <c r="EK64" s="17">
        <f>EJ64*VLOOKUP('Données projet'!$B$15,Paramètres!$A$1:$I$89,3,0)*VLOOKUP('Données projet'!$B$15,Paramètres!$A$1:$I$89,5,0)</f>
        <v>-1.0049916454590858E-13</v>
      </c>
      <c r="EL64" s="13" t="e">
        <f t="shared" si="45"/>
        <v>#NUM!</v>
      </c>
      <c r="EM64" s="20" t="e">
        <f t="shared" si="19"/>
        <v>#NUM!</v>
      </c>
      <c r="EN64" s="59" t="e">
        <f t="shared" si="20"/>
        <v>#NUM!</v>
      </c>
      <c r="EO64" s="59">
        <f ca="1">AVERAGE(OFFSET($EN$3,0,0,'Données projet'!$E$15+1,1))-AVERAGE(OFFSET($H$3,0,0,'Données projet'!$E$15+1,1))</f>
        <v>191.932060106699</v>
      </c>
      <c r="EP64" s="59">
        <f t="shared" si="46"/>
        <v>260.28593152736903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1.3223551598230681</v>
      </c>
      <c r="EW64" s="21">
        <f>EXP(-LN(2)/25)*EW63+(1-EXP(-LN(2)/25))/(LN(2)/25)*Calculateur!ER64*Calculateur!ET64*VLOOKUP('Données projet'!$B$15,Paramètres!$A$1:$I$89,3,0)*0.475*44/12</f>
        <v>5.3428527498831713</v>
      </c>
      <c r="EX64" s="21">
        <f>EXP(-LN(2)/2)*EX63+(1-EXP(-LN(2)/2))/(LN(2)/2)*ER64*EU64*VLOOKUP('Données projet'!$B$15,Paramètres!$A$1:$I$89,3,0)*0.475*44/12</f>
        <v>2.8881066583273576E-5</v>
      </c>
      <c r="EY64" s="22">
        <f t="shared" si="21"/>
        <v>6.6652367907728234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3.7</v>
      </c>
      <c r="FE64" s="12">
        <f>IF('Données projet'!$A$218&gt;35,FE63+FD64-FM63,IF(A64&lt;'Données projet'!$A$218,$FB$205^A64,IF(A64='Données projet'!$A$218,'Données projet'!$B$218,FE63+FD64-FM63)))</f>
        <v>108.69999999999999</v>
      </c>
      <c r="FF64" s="17">
        <f>FE64*VLOOKUP('Données projet'!$B$16,Paramètres!$A$1:$I$89,3,0)*VLOOKUP('Données projet'!$B$16,Paramètres!$A$1:$I$89,5,0)</f>
        <v>105.13463999999999</v>
      </c>
      <c r="FG64" s="13">
        <f t="shared" si="47"/>
        <v>28.181667199916159</v>
      </c>
      <c r="FH64" s="20">
        <f t="shared" si="22"/>
        <v>232.19256837318724</v>
      </c>
      <c r="FI64" s="59">
        <f t="shared" si="23"/>
        <v>525.52590170652059</v>
      </c>
      <c r="FJ64" s="59">
        <f ca="1">AVERAGE(OFFSET($FI$3,0,0,'Données projet'!$E$16+1,1))-AVERAGE(OFFSET($H$3,0,0,'Données projet'!$E$16+1,1))</f>
        <v>102.86738524979938</v>
      </c>
      <c r="FK64" s="59">
        <f t="shared" si="48"/>
        <v>56.347130462109817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0</v>
      </c>
      <c r="FR64" s="21">
        <f>EXP(-LN(2)/25)*FR63+(1-EXP(-LN(2)/25))/(LN(2)/25)*Calculateur!FM64*Calculateur!FO64*VLOOKUP('Données projet'!$B$16,Paramètres!$A$1:$I$89,3,0)*0.475*44/12</f>
        <v>0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0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7.9</v>
      </c>
      <c r="FZ64" s="12">
        <f>IF('Données projet'!$A$244&gt;35,FZ63+FY64-GH63,IF(A64&lt;'Données projet'!$A$244,$FW$205^A64,IF(A64='Données projet'!$A$244,'Données projet'!$B$244,FZ63+FY64-GH63)))</f>
        <v>204.90000000000015</v>
      </c>
      <c r="GA64" s="17">
        <f>FZ64*VLOOKUP('Données projet'!$B$17,Paramètres!$A$1:$I$89,3,0)*VLOOKUP('Données projet'!$B$17,Paramètres!$A$1:$I$89,5,0)</f>
        <v>137.44692000000009</v>
      </c>
      <c r="GB64" s="13">
        <f t="shared" si="49"/>
        <v>35.711505706839098</v>
      </c>
      <c r="GC64" s="20">
        <f t="shared" si="25"/>
        <v>301.58425810607827</v>
      </c>
      <c r="GD64" s="59">
        <f t="shared" si="26"/>
        <v>594.91759143941158</v>
      </c>
      <c r="GE64" s="59">
        <f ca="1">AVERAGE(OFFSET($GD$3,0,0,'Données projet'!$E$17+1,1))-AVERAGE(OFFSET($H$3,0,0,'Données projet'!$E$17+1,1))</f>
        <v>168.00454652899231</v>
      </c>
      <c r="GF64" s="59">
        <f t="shared" si="50"/>
        <v>135.31958994080446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0</v>
      </c>
      <c r="GM64" s="21">
        <f>EXP(-LN(2)/25)*GM63+(1-EXP(-LN(2)/25))/(LN(2)/25)*Calculateur!GH64*Calculateur!GJ64*VLOOKUP('Données projet'!$B$17,Paramètres!$A$1:$I$89,3,0)*0.475*44/12</f>
        <v>0</v>
      </c>
      <c r="GN64" s="21">
        <f>EXP(-LN(2)/2)*GN63+(1-EXP(-LN(2)/2))/(LN(2)/2)*GH64*GK64*VLOOKUP('Données projet'!$B$17,Paramètres!$A$1:$I$89,3,0)*0.475*44/12</f>
        <v>0</v>
      </c>
      <c r="GO64" s="21">
        <f t="shared" si="27"/>
        <v>0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8.374198717948719</v>
      </c>
      <c r="N65" s="13">
        <f>IF('Données projet'!$A$36&gt;35,N64+M65-V64,IF(A65&lt;'Données projet'!$A$36,$K$205^A65,IF(A65='Données projet'!$A$36,'Données projet'!$B$36,N64+M65-V64)))</f>
        <v>211.91426282051287</v>
      </c>
      <c r="O65" s="13">
        <f>N65*VLOOKUP('Données projet'!$B$9,Paramètres!$A$1:$I$89,3,0)*VLOOKUP('Données projet'!$B$9,Paramètres!$A$1:$I$89,5,0)</f>
        <v>191.74002500000003</v>
      </c>
      <c r="P65" s="13">
        <f t="shared" si="33"/>
        <v>47.924443327659169</v>
      </c>
      <c r="Q65" s="20">
        <f t="shared" si="53"/>
        <v>417.41561567067311</v>
      </c>
      <c r="R65" s="59">
        <f t="shared" si="0"/>
        <v>710.74894900400636</v>
      </c>
      <c r="S65" s="59">
        <f ca="1">AVERAGE(OFFSET($R$3,0,0,'Données projet'!$E$9+1,1))-AVERAGE(OFFSET($H$3,0,0,'Données projet'!$E$9+1,1))</f>
        <v>221.7429870520005</v>
      </c>
      <c r="T65" s="59">
        <f t="shared" si="34"/>
        <v>182.2029938397186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0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5.9431089743589762</v>
      </c>
      <c r="AI65" s="13">
        <f>IF('Données projet'!$A$62&gt;35,AI64+AH65-AQ64,IF(A65&lt;'Données projet'!$A$62,$AF$205^A65,IF(A65='Données projet'!$A$62,'Données projet'!$B$62,AI64+AH65-AQ64)))</f>
        <v>138.14342948717947</v>
      </c>
      <c r="AJ65" s="13">
        <f>AI65*VLOOKUP('Données projet'!$B$10,Paramètres!$A$1:$I$89,3,0)*VLOOKUP('Données projet'!$B$10,Paramètres!$A$1:$I$89,5,0)</f>
        <v>124.99217499999997</v>
      </c>
      <c r="AK65" s="13">
        <f t="shared" si="35"/>
        <v>32.836565726562206</v>
      </c>
      <c r="AL65" s="20">
        <f t="shared" si="4"/>
        <v>274.88505676542917</v>
      </c>
      <c r="AM65" s="59">
        <f t="shared" si="5"/>
        <v>568.21839009876248</v>
      </c>
      <c r="AN65" s="59">
        <f ca="1">AVERAGE(OFFSET($AM$3,0,0,'Données projet'!$E$10+1,1))-AVERAGE(OFFSET($H$3,0,0,'Données projet'!$E$10+1,1))</f>
        <v>153.45079678708987</v>
      </c>
      <c r="AO65" s="59">
        <f t="shared" si="36"/>
        <v>115.4217868409637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14.270329670329668</v>
      </c>
      <c r="BD65" s="12">
        <f>IF('Données projet'!$A$88&gt;35,BD64+BC65-BL64,IF(A65&lt;'Données projet'!$A$88,$BA$205^A65,IF(A65='Données projet'!$A$88,'Données projet'!$B$88,BD64+BC65-BL64)))</f>
        <v>360.90659340659334</v>
      </c>
      <c r="BE65" s="13">
        <f>BD65*VLOOKUP('Données projet'!$B$11,Paramètres!$A$1:$I$89,3,0)*VLOOKUP('Données projet'!$B$11,Paramètres!$A$1:$I$89,5,0)</f>
        <v>168.90428571428566</v>
      </c>
      <c r="BF65" s="13">
        <f t="shared" si="37"/>
        <v>42.844527757373569</v>
      </c>
      <c r="BG65" s="20">
        <f t="shared" si="7"/>
        <v>368.79585012980647</v>
      </c>
      <c r="BH65" s="59">
        <f t="shared" si="8"/>
        <v>662.12918346313973</v>
      </c>
      <c r="BI65" s="59">
        <f ca="1">AVERAGE(OFFSET($BH$3,0,0,'Données projet'!$E$11+1,1))-AVERAGE(OFFSET($H$3,0,0,'Données projet'!$E$11+1,1))</f>
        <v>158.58786357608489</v>
      </c>
      <c r="BJ65" s="59">
        <f t="shared" si="38"/>
        <v>163.20074068819849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0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7.8</v>
      </c>
      <c r="BY65" s="12">
        <f>IF('Données projet'!$A$114&gt;35,BY64+BX65-CG64,IF(A65&lt;'Données projet'!$A$114,$BV$205^A65,IF(A65='Données projet'!$A$114,'Données projet'!$B$114,BY64+BX65-CG64)))</f>
        <v>364.59999999999991</v>
      </c>
      <c r="BZ65" s="13">
        <f>BY65*VLOOKUP('Données projet'!$B$12,Paramètres!$A$1:$I$89,3,0)*VLOOKUP('Données projet'!$B$12,Paramètres!$A$1:$I$89,5,0)</f>
        <v>227.51039999999995</v>
      </c>
      <c r="CA65" s="13">
        <f t="shared" si="39"/>
        <v>55.7440313076156</v>
      </c>
      <c r="CB65" s="20">
        <f t="shared" si="10"/>
        <v>493.33480119409711</v>
      </c>
      <c r="CC65" s="59">
        <f t="shared" si="11"/>
        <v>786.66813452743042</v>
      </c>
      <c r="CD65" s="59">
        <f ca="1">AVERAGE(OFFSET($CC$3,0,0,'Données projet'!$E$12+1,1))-AVERAGE(OFFSET($H$3,0,0,'Données projet'!$E$12+1,1))</f>
        <v>255.41017495879987</v>
      </c>
      <c r="CE65" s="59">
        <f t="shared" si="40"/>
        <v>297.50513563712764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4.4273724025902101</v>
      </c>
      <c r="CL65" s="21">
        <f>EXP(-LN(2)/25)*CL64+(1-EXP(-LN(2)/25))/(LN(2)/25)*Calculateur!CG65*Calculateur!CI65*VLOOKUP('Données projet'!$B$12,Paramètres!$A$1:$I$89,3,0)*0.475*44/12</f>
        <v>11.476686349137903</v>
      </c>
      <c r="CM65" s="21">
        <f>EXP(-LN(2)/2)*CM64+(1-EXP(-LN(2)/2))/(LN(2)/2)*CG65*CJ65*VLOOKUP('Données projet'!$B$12,Paramètres!$A$1:$I$89,3,0)*0.475*44/12</f>
        <v>3.7233262843188293E-4</v>
      </c>
      <c r="CN65" s="22">
        <f t="shared" si="12"/>
        <v>15.904431084356546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6.461538461538467</v>
      </c>
      <c r="CT65" s="12">
        <f>IF('Données projet'!$A$140&gt;35,CT64+CS65-DB64,IF(A65&lt;'Données projet'!$A$140,$CQ$205^A65,IF(A65='Données projet'!$A$140,'Données projet'!$B$140,CT64+CS65-DB64)))</f>
        <v>241.60769230769222</v>
      </c>
      <c r="CU65" s="17">
        <f>CT65*VLOOKUP('Données projet'!$B$13,Paramètres!$A$1:$I$89,3,0)*VLOOKUP('Données projet'!$B$13,Paramètres!$A$1:$I$89,5,0)</f>
        <v>138.19959999999995</v>
      </c>
      <c r="CV65" s="13">
        <f t="shared" si="41"/>
        <v>35.884248953313232</v>
      </c>
      <c r="CW65" s="20">
        <f t="shared" si="13"/>
        <v>303.19603692702043</v>
      </c>
      <c r="CX65" s="59">
        <f t="shared" si="14"/>
        <v>596.52937026035374</v>
      </c>
      <c r="CY65" s="59">
        <f ca="1">AVERAGE(OFFSET($CX$3,0,0,'Données projet'!$E$13+1,1))-AVERAGE(OFFSET($H$3,0,0,'Données projet'!$E$13+1,1))</f>
        <v>134.70214882504786</v>
      </c>
      <c r="CZ65" s="59">
        <f t="shared" si="42"/>
        <v>102.18553029667771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0.56403357093060635</v>
      </c>
      <c r="DG65" s="21">
        <f>EXP(-LN(2)/25)*DG64+(1-EXP(-LN(2)/25))/(LN(2)/25)*Calculateur!DB65*Calculateur!DD65*VLOOKUP('Données projet'!$B$13,Paramètres!$A$1:$I$89,3,0)*0.475*44/12</f>
        <v>5.1678886445411489</v>
      </c>
      <c r="DH65" s="21">
        <f>EXP(-LN(2)/2)*DH64+(1-EXP(-LN(2)/2))/(LN(2)/2)*DB65*DE65*VLOOKUP('Données projet'!$B$13,Paramètres!$A$1:$I$89,3,0)*0.475*44/12</f>
        <v>1.175826480258409E-4</v>
      </c>
      <c r="DI65" s="22">
        <f t="shared" si="15"/>
        <v>5.7320397981197813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9.1830769230769249</v>
      </c>
      <c r="DO65" s="12">
        <f>IF('Données projet'!$A$166&gt;35,DO64+DN65-DW64,IF(A65&lt;'Données projet'!$A$166,$DL$205^A65,IF(A65='Données projet'!$A$166,'Données projet'!$B$166,DO64+DN65-DW64)))</f>
        <v>306.52769230769229</v>
      </c>
      <c r="DP65" s="17">
        <f>DO65*VLOOKUP('Données projet'!$B$14,Paramètres!$A$1:$I$89,3,0)*VLOOKUP('Données projet'!$B$14,Paramètres!$A$1:$I$89,5,0)</f>
        <v>183.30356</v>
      </c>
      <c r="DQ65" s="13">
        <f t="shared" si="43"/>
        <v>46.056387641494027</v>
      </c>
      <c r="DR65" s="20">
        <f t="shared" si="16"/>
        <v>399.46857547560211</v>
      </c>
      <c r="DS65" s="59">
        <f t="shared" si="17"/>
        <v>692.80190880893542</v>
      </c>
      <c r="DT65" s="59">
        <f ca="1">AVERAGE(OFFSET($DS$3,0,0,'Données projet'!$E$14+1,1))-AVERAGE(OFFSET($H$3,0,0,'Données projet'!$E$14+1,1))</f>
        <v>179.32848817523677</v>
      </c>
      <c r="DU65" s="59">
        <f t="shared" si="44"/>
        <v>131.3292389103035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5.4274971248434678</v>
      </c>
      <c r="EC65" s="21">
        <f>EXP(-LN(2)/2)*EC64+(1-EXP(-LN(2)/2))/(LN(2)/2)*DW65*DZ65*VLOOKUP('Données projet'!$B$14,Paramètres!$A$1:$I$89,3,0)*0.475*44/12</f>
        <v>8.0305013690878913E-5</v>
      </c>
      <c r="ED65" s="22">
        <f t="shared" si="18"/>
        <v>5.4275774298571591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-2.2737367544323206E-13</v>
      </c>
      <c r="EK65" s="17">
        <f>EJ65*VLOOKUP('Données projet'!$B$15,Paramètres!$A$1:$I$89,3,0)*VLOOKUP('Données projet'!$B$15,Paramètres!$A$1:$I$89,5,0)</f>
        <v>-1.0049916454590858E-13</v>
      </c>
      <c r="EL65" s="13" t="e">
        <f t="shared" si="45"/>
        <v>#NUM!</v>
      </c>
      <c r="EM65" s="20" t="e">
        <f t="shared" si="19"/>
        <v>#NUM!</v>
      </c>
      <c r="EN65" s="59" t="e">
        <f t="shared" si="20"/>
        <v>#NUM!</v>
      </c>
      <c r="EO65" s="59">
        <f ca="1">AVERAGE(OFFSET($EN$3,0,0,'Données projet'!$E$15+1,1))-AVERAGE(OFFSET($H$3,0,0,'Données projet'!$E$15+1,1))</f>
        <v>191.932060106699</v>
      </c>
      <c r="EP65" s="59">
        <f t="shared" si="46"/>
        <v>260.28593152736903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1.2964245816959443</v>
      </c>
      <c r="EW65" s="21">
        <f>EXP(-LN(2)/25)*EW64+(1-EXP(-LN(2)/25))/(LN(2)/25)*Calculateur!ER65*Calculateur!ET65*VLOOKUP('Données projet'!$B$15,Paramètres!$A$1:$I$89,3,0)*0.475*44/12</f>
        <v>5.1967521604692015</v>
      </c>
      <c r="EX65" s="21">
        <f>EXP(-LN(2)/2)*EX64+(1-EXP(-LN(2)/2))/(LN(2)/2)*ER65*EU65*VLOOKUP('Données projet'!$B$15,Paramètres!$A$1:$I$89,3,0)*0.475*44/12</f>
        <v>2.0421998028932941E-5</v>
      </c>
      <c r="EY65" s="22">
        <f t="shared" si="21"/>
        <v>6.4931971641631741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3.7</v>
      </c>
      <c r="FE65" s="12">
        <f>IF('Données projet'!$A$218&gt;35,FE64+FD65-FM64,IF(A65&lt;'Données projet'!$A$218,$FB$205^A65,IF(A65='Données projet'!$A$218,'Données projet'!$B$218,FE64+FD65-FM64)))</f>
        <v>112.39999999999999</v>
      </c>
      <c r="FF65" s="17">
        <f>FE65*VLOOKUP('Données projet'!$B$16,Paramètres!$A$1:$I$89,3,0)*VLOOKUP('Données projet'!$B$16,Paramètres!$A$1:$I$89,5,0)</f>
        <v>108.71327999999998</v>
      </c>
      <c r="FG65" s="13">
        <f t="shared" si="47"/>
        <v>29.027616010773404</v>
      </c>
      <c r="FH65" s="20">
        <f t="shared" si="22"/>
        <v>239.89872721876361</v>
      </c>
      <c r="FI65" s="59">
        <f t="shared" si="23"/>
        <v>533.23206055209698</v>
      </c>
      <c r="FJ65" s="59">
        <f ca="1">AVERAGE(OFFSET($FI$3,0,0,'Données projet'!$E$16+1,1))-AVERAGE(OFFSET($H$3,0,0,'Données projet'!$E$16+1,1))</f>
        <v>102.86738524979938</v>
      </c>
      <c r="FK65" s="59">
        <f t="shared" si="48"/>
        <v>56.347130462109817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0</v>
      </c>
      <c r="FR65" s="21">
        <f>EXP(-LN(2)/25)*FR64+(1-EXP(-LN(2)/25))/(LN(2)/25)*Calculateur!FM65*Calculateur!FO65*VLOOKUP('Données projet'!$B$16,Paramètres!$A$1:$I$89,3,0)*0.475*44/12</f>
        <v>0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0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7.9</v>
      </c>
      <c r="FZ65" s="12">
        <f>IF('Données projet'!$A$244&gt;35,FZ64+FY65-GH64,IF(A65&lt;'Données projet'!$A$244,$FW$205^A65,IF(A65='Données projet'!$A$244,'Données projet'!$B$244,FZ64+FY65-GH64)))</f>
        <v>212.80000000000015</v>
      </c>
      <c r="GA65" s="17">
        <f>FZ65*VLOOKUP('Données projet'!$B$17,Paramètres!$A$1:$I$89,3,0)*VLOOKUP('Données projet'!$B$17,Paramètres!$A$1:$I$89,5,0)</f>
        <v>142.74624000000011</v>
      </c>
      <c r="GB65" s="13">
        <f t="shared" si="49"/>
        <v>36.925417462939542</v>
      </c>
      <c r="GC65" s="20">
        <f t="shared" si="25"/>
        <v>312.92813674795326</v>
      </c>
      <c r="GD65" s="59">
        <f t="shared" si="26"/>
        <v>606.26147008128657</v>
      </c>
      <c r="GE65" s="59">
        <f ca="1">AVERAGE(OFFSET($GD$3,0,0,'Données projet'!$E$17+1,1))-AVERAGE(OFFSET($H$3,0,0,'Données projet'!$E$17+1,1))</f>
        <v>168.00454652899231</v>
      </c>
      <c r="GF65" s="59">
        <f t="shared" si="50"/>
        <v>135.31958994080446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0</v>
      </c>
      <c r="GM65" s="21">
        <f>EXP(-LN(2)/25)*GM64+(1-EXP(-LN(2)/25))/(LN(2)/25)*Calculateur!GH65*Calculateur!GJ65*VLOOKUP('Données projet'!$B$17,Paramètres!$A$1:$I$89,3,0)*0.475*44/12</f>
        <v>0</v>
      </c>
      <c r="GN65" s="21">
        <f>EXP(-LN(2)/2)*GN64+(1-EXP(-LN(2)/2))/(LN(2)/2)*GH65*GK65*VLOOKUP('Données projet'!$B$17,Paramètres!$A$1:$I$89,3,0)*0.475*44/12</f>
        <v>0</v>
      </c>
      <c r="GO65" s="21">
        <f t="shared" si="27"/>
        <v>0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>
        <f>VLOOKUP(A66,'Données projet'!$A$35:$I$55,2,0)</f>
        <v>220.28846153846152</v>
      </c>
      <c r="L66" s="12">
        <f>VLOOKUP(A66,'Données projet'!$A$35:$I$55,9,0)</f>
        <v>8.374198717948719</v>
      </c>
      <c r="M66" s="12">
        <f t="array" ref="M66">INDEX(L:L,MIN(IF(ISNUMBER(L66:L262),ROW(L66:L262),"")))</f>
        <v>8.374198717948719</v>
      </c>
      <c r="N66" s="13">
        <f>IF('Données projet'!$A$36&gt;35,N65+M66-V65,IF(A66&lt;'Données projet'!$A$36,$K$205^A66,IF(A66='Données projet'!$A$36,'Données projet'!$B$36,N65+M66-V65)))</f>
        <v>220.2884615384616</v>
      </c>
      <c r="O66" s="13">
        <f>N66*VLOOKUP('Données projet'!$B$9,Paramètres!$A$1:$I$89,3,0)*VLOOKUP('Données projet'!$B$9,Paramètres!$A$1:$I$89,5,0)</f>
        <v>199.31700000000006</v>
      </c>
      <c r="P66" s="13">
        <f t="shared" si="33"/>
        <v>49.59403512638746</v>
      </c>
      <c r="Q66" s="20">
        <f t="shared" si="53"/>
        <v>433.52005284512489</v>
      </c>
      <c r="R66" s="59">
        <f t="shared" si="0"/>
        <v>726.85338617845821</v>
      </c>
      <c r="S66" s="59">
        <f ca="1">AVERAGE(OFFSET($R$3,0,0,'Données projet'!$E$9+1,1))-AVERAGE(OFFSET($H$3,0,0,'Données projet'!$E$9+1,1))</f>
        <v>221.7429870520005</v>
      </c>
      <c r="T66" s="59">
        <f t="shared" si="34"/>
        <v>182.2029938397186</v>
      </c>
      <c r="U66" s="15">
        <f>IF(ISNA(VLOOKUP(A66,'Données projet'!$A$35:$I$55,3,0)),0,VLOOKUP(A66,'Données projet'!$A$35:$I$55,3,0))</f>
        <v>5</v>
      </c>
      <c r="V66" s="15">
        <f>IF(ISNA(VLOOKUP(A66,'Données projet'!$A$35:$I$55,4,0)),0,VLOOKUP(A66,'Données projet'!$A$35:$I$55,4,0))</f>
        <v>41.724358974358978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0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5.9431089743589762</v>
      </c>
      <c r="AI66" s="13">
        <f>IF('Données projet'!$A$62&gt;35,AI65+AH66-AQ65,IF(A66&lt;'Données projet'!$A$62,$AF$205^A66,IF(A66='Données projet'!$A$62,'Données projet'!$B$62,AI65+AH66-AQ65)))</f>
        <v>144.08653846153845</v>
      </c>
      <c r="AJ66" s="13">
        <f>AI66*VLOOKUP('Données projet'!$B$10,Paramètres!$A$1:$I$89,3,0)*VLOOKUP('Données projet'!$B$10,Paramètres!$A$1:$I$89,5,0)</f>
        <v>130.36949999999999</v>
      </c>
      <c r="AK66" s="13">
        <f t="shared" si="35"/>
        <v>34.081725824623319</v>
      </c>
      <c r="AL66" s="20">
        <f t="shared" si="4"/>
        <v>286.41921831121891</v>
      </c>
      <c r="AM66" s="59">
        <f t="shared" si="5"/>
        <v>579.75255164455223</v>
      </c>
      <c r="AN66" s="59">
        <f ca="1">AVERAGE(OFFSET($AM$3,0,0,'Données projet'!$E$10+1,1))-AVERAGE(OFFSET($H$3,0,0,'Données projet'!$E$10+1,1))</f>
        <v>153.45079678708987</v>
      </c>
      <c r="AO66" s="59">
        <f t="shared" si="36"/>
        <v>115.4217868409637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>
        <f>VLOOKUP(A66,'Données projet'!$A$87:$I$107,2,0)</f>
        <v>375.17692307692306</v>
      </c>
      <c r="BB66" s="12">
        <f>VLOOKUP(A66,'Données projet'!$A$87:$I$107,9,0)</f>
        <v>14.270329670329668</v>
      </c>
      <c r="BC66" s="12">
        <f t="array" ref="BC66">INDEX(BB:BB,MIN(IF(ISNUMBER(BB66:BB262),ROW(BB66:BB262),"")))</f>
        <v>14.270329670329668</v>
      </c>
      <c r="BD66" s="12">
        <f>IF('Données projet'!$A$88&gt;35,BD65+BC66-BL65,IF(A66&lt;'Données projet'!$A$88,$BA$205^A66,IF(A66='Données projet'!$A$88,'Données projet'!$B$88,BD65+BC66-BL65)))</f>
        <v>375.176923076923</v>
      </c>
      <c r="BE66" s="13">
        <f>BD66*VLOOKUP('Données projet'!$B$11,Paramètres!$A$1:$I$89,3,0)*VLOOKUP('Données projet'!$B$11,Paramètres!$A$1:$I$89,5,0)</f>
        <v>175.58279999999996</v>
      </c>
      <c r="BF66" s="13">
        <f t="shared" si="37"/>
        <v>44.338023977070598</v>
      </c>
      <c r="BG66" s="20">
        <f t="shared" si="7"/>
        <v>383.02876842673123</v>
      </c>
      <c r="BH66" s="59">
        <f t="shared" si="8"/>
        <v>676.36210176006455</v>
      </c>
      <c r="BI66" s="59">
        <f ca="1">AVERAGE(OFFSET($BH$3,0,0,'Données projet'!$E$11+1,1))-AVERAGE(OFFSET($H$3,0,0,'Données projet'!$E$11+1,1))</f>
        <v>158.58786357608489</v>
      </c>
      <c r="BJ66" s="59">
        <f t="shared" si="38"/>
        <v>163.20074068819849</v>
      </c>
      <c r="BK66" s="15">
        <f>IF(ISNA(VLOOKUP(A66,'Données projet'!$A$87:$I$107,3,0)),0,VLOOKUP(A66,'Données projet'!$A$87:$I$107,3,0))</f>
        <v>4</v>
      </c>
      <c r="BL66" s="15">
        <f>IF(ISNA(VLOOKUP(A66,'Données projet'!$A$87:$I$107,4,0)),0,VLOOKUP(A66,'Données projet'!$A$87:$I$107,4,0))</f>
        <v>71.123076923076923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0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7.8</v>
      </c>
      <c r="BY66" s="12">
        <f>IF('Données projet'!$A$114&gt;35,BY65+BX66-CG65,IF(A66&lt;'Données projet'!$A$114,$BV$205^A66,IF(A66='Données projet'!$A$114,'Données projet'!$B$114,BY65+BX66-CG65)))</f>
        <v>372.39999999999992</v>
      </c>
      <c r="BZ66" s="13">
        <f>BY66*VLOOKUP('Données projet'!$B$12,Paramètres!$A$1:$I$89,3,0)*VLOOKUP('Données projet'!$B$12,Paramètres!$A$1:$I$89,5,0)</f>
        <v>232.37759999999994</v>
      </c>
      <c r="CA66" s="13">
        <f t="shared" si="39"/>
        <v>56.79646612603225</v>
      </c>
      <c r="CB66" s="20">
        <f t="shared" si="10"/>
        <v>503.64483183617267</v>
      </c>
      <c r="CC66" s="59">
        <f t="shared" si="11"/>
        <v>796.97816516950593</v>
      </c>
      <c r="CD66" s="59">
        <f ca="1">AVERAGE(OFFSET($CC$3,0,0,'Données projet'!$E$12+1,1))-AVERAGE(OFFSET($H$3,0,0,'Données projet'!$E$12+1,1))</f>
        <v>255.41017495879987</v>
      </c>
      <c r="CE66" s="59">
        <f t="shared" si="40"/>
        <v>297.50513563712764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4.3405543302059364</v>
      </c>
      <c r="CL66" s="21">
        <f>EXP(-LN(2)/25)*CL65+(1-EXP(-LN(2)/25))/(LN(2)/25)*Calculateur!CG66*Calculateur!CI66*VLOOKUP('Données projet'!$B$12,Paramètres!$A$1:$I$89,3,0)*0.475*44/12</f>
        <v>11.162855757388023</v>
      </c>
      <c r="CM66" s="21">
        <f>EXP(-LN(2)/2)*CM65+(1-EXP(-LN(2)/2))/(LN(2)/2)*CG66*CJ66*VLOOKUP('Données projet'!$B$12,Paramètres!$A$1:$I$89,3,0)*0.475*44/12</f>
        <v>2.6327892642119554E-4</v>
      </c>
      <c r="CN66" s="22">
        <f t="shared" si="12"/>
        <v>15.503673366520381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6.461538461538467</v>
      </c>
      <c r="CT66" s="12">
        <f>IF('Données projet'!$A$140&gt;35,CT65+CS66-DB65,IF(A66&lt;'Données projet'!$A$140,$CQ$205^A66,IF(A66='Données projet'!$A$140,'Données projet'!$B$140,CT65+CS66-DB65)))</f>
        <v>248.06923076923067</v>
      </c>
      <c r="CU66" s="17">
        <f>CT66*VLOOKUP('Données projet'!$B$13,Paramètres!$A$1:$I$89,3,0)*VLOOKUP('Données projet'!$B$13,Paramètres!$A$1:$I$89,5,0)</f>
        <v>141.89559999999994</v>
      </c>
      <c r="CV66" s="13">
        <f t="shared" si="41"/>
        <v>36.730920342765799</v>
      </c>
      <c r="CW66" s="20">
        <f t="shared" si="13"/>
        <v>311.10785626365026</v>
      </c>
      <c r="CX66" s="59">
        <f t="shared" si="14"/>
        <v>604.44118959698358</v>
      </c>
      <c r="CY66" s="59">
        <f ca="1">AVERAGE(OFFSET($CX$3,0,0,'Données projet'!$E$13+1,1))-AVERAGE(OFFSET($H$3,0,0,'Données projet'!$E$13+1,1))</f>
        <v>134.70214882504786</v>
      </c>
      <c r="CZ66" s="59">
        <f t="shared" si="42"/>
        <v>102.18553029667771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0.55297321663116561</v>
      </c>
      <c r="DG66" s="21">
        <f>EXP(-LN(2)/25)*DG65+(1-EXP(-LN(2)/25))/(LN(2)/25)*Calculateur!DB66*Calculateur!DD66*VLOOKUP('Données projet'!$B$13,Paramètres!$A$1:$I$89,3,0)*0.475*44/12</f>
        <v>5.0265724577887188</v>
      </c>
      <c r="DH66" s="21">
        <f>EXP(-LN(2)/2)*DH65+(1-EXP(-LN(2)/2))/(LN(2)/2)*DB66*DE66*VLOOKUP('Données projet'!$B$13,Paramètres!$A$1:$I$89,3,0)*0.475*44/12</f>
        <v>8.3143487768943115E-5</v>
      </c>
      <c r="DI66" s="22">
        <f t="shared" si="15"/>
        <v>5.5796288179076541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9.1830769230769249</v>
      </c>
      <c r="DO66" s="12">
        <f>IF('Données projet'!$A$166&gt;35,DO65+DN66-DW65,IF(A66&lt;'Données projet'!$A$166,$DL$205^A66,IF(A66='Données projet'!$A$166,'Données projet'!$B$166,DO65+DN66-DW65)))</f>
        <v>315.71076923076919</v>
      </c>
      <c r="DP66" s="17">
        <f>DO66*VLOOKUP('Données projet'!$B$14,Paramètres!$A$1:$I$89,3,0)*VLOOKUP('Données projet'!$B$14,Paramètres!$A$1:$I$89,5,0)</f>
        <v>188.79504</v>
      </c>
      <c r="DQ66" s="13">
        <f t="shared" si="43"/>
        <v>47.273454743056831</v>
      </c>
      <c r="DR66" s="20">
        <f t="shared" si="16"/>
        <v>411.15262834415722</v>
      </c>
      <c r="DS66" s="59">
        <f t="shared" si="17"/>
        <v>704.48596167749054</v>
      </c>
      <c r="DT66" s="59">
        <f ca="1">AVERAGE(OFFSET($DS$3,0,0,'Données projet'!$E$14+1,1))-AVERAGE(OFFSET($H$3,0,0,'Données projet'!$E$14+1,1))</f>
        <v>179.32848817523677</v>
      </c>
      <c r="DU66" s="59">
        <f t="shared" si="44"/>
        <v>131.3292389103035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5.2790819305449537</v>
      </c>
      <c r="EC66" s="21">
        <f>EXP(-LN(2)/2)*EC65+(1-EXP(-LN(2)/2))/(LN(2)/2)*DW66*DZ66*VLOOKUP('Données projet'!$B$14,Paramètres!$A$1:$I$89,3,0)*0.475*44/12</f>
        <v>5.678421974409902E-5</v>
      </c>
      <c r="ED66" s="22">
        <f t="shared" si="18"/>
        <v>5.2791387147646978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-2.2737367544323206E-13</v>
      </c>
      <c r="EK66" s="17">
        <f>EJ66*VLOOKUP('Données projet'!$B$15,Paramètres!$A$1:$I$89,3,0)*VLOOKUP('Données projet'!$B$15,Paramètres!$A$1:$I$89,5,0)</f>
        <v>-1.0049916454590858E-13</v>
      </c>
      <c r="EL66" s="13" t="e">
        <f t="shared" si="45"/>
        <v>#NUM!</v>
      </c>
      <c r="EM66" s="20" t="e">
        <f t="shared" si="19"/>
        <v>#NUM!</v>
      </c>
      <c r="EN66" s="59" t="e">
        <f t="shared" si="20"/>
        <v>#NUM!</v>
      </c>
      <c r="EO66" s="59">
        <f ca="1">AVERAGE(OFFSET($EN$3,0,0,'Données projet'!$E$15+1,1))-AVERAGE(OFFSET($H$3,0,0,'Données projet'!$E$15+1,1))</f>
        <v>191.932060106699</v>
      </c>
      <c r="EP66" s="59">
        <f t="shared" si="46"/>
        <v>260.28593152736903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1.2710024863898024</v>
      </c>
      <c r="EW66" s="21">
        <f>EXP(-LN(2)/25)*EW65+(1-EXP(-LN(2)/25))/(LN(2)/25)*Calculateur!ER66*Calculateur!ET66*VLOOKUP('Données projet'!$B$15,Paramètres!$A$1:$I$89,3,0)*0.475*44/12</f>
        <v>5.0546466993558523</v>
      </c>
      <c r="EX66" s="21">
        <f>EXP(-LN(2)/2)*EX65+(1-EXP(-LN(2)/2))/(LN(2)/2)*ER66*EU66*VLOOKUP('Données projet'!$B$15,Paramètres!$A$1:$I$89,3,0)*0.475*44/12</f>
        <v>1.4440533291636792E-5</v>
      </c>
      <c r="EY66" s="22">
        <f t="shared" si="21"/>
        <v>6.3256636262789465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3.7</v>
      </c>
      <c r="FE66" s="12">
        <f>IF('Données projet'!$A$218&gt;35,FE65+FD66-FM65,IF(A66&lt;'Données projet'!$A$218,$FB$205^A66,IF(A66='Données projet'!$A$218,'Données projet'!$B$218,FE65+FD66-FM65)))</f>
        <v>116.1</v>
      </c>
      <c r="FF66" s="17">
        <f>FE66*VLOOKUP('Données projet'!$B$16,Paramètres!$A$1:$I$89,3,0)*VLOOKUP('Données projet'!$B$16,Paramètres!$A$1:$I$89,5,0)</f>
        <v>112.29192</v>
      </c>
      <c r="FG66" s="13">
        <f t="shared" si="47"/>
        <v>29.870329007438372</v>
      </c>
      <c r="FH66" s="20">
        <f t="shared" si="22"/>
        <v>247.59925035462186</v>
      </c>
      <c r="FI66" s="59">
        <f t="shared" si="23"/>
        <v>540.93258368795523</v>
      </c>
      <c r="FJ66" s="59">
        <f ca="1">AVERAGE(OFFSET($FI$3,0,0,'Données projet'!$E$16+1,1))-AVERAGE(OFFSET($H$3,0,0,'Données projet'!$E$16+1,1))</f>
        <v>102.86738524979938</v>
      </c>
      <c r="FK66" s="59">
        <f t="shared" si="48"/>
        <v>56.347130462109817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0</v>
      </c>
      <c r="FR66" s="21">
        <f>EXP(-LN(2)/25)*FR65+(1-EXP(-LN(2)/25))/(LN(2)/25)*Calculateur!FM66*Calculateur!FO66*VLOOKUP('Données projet'!$B$16,Paramètres!$A$1:$I$89,3,0)*0.475*44/12</f>
        <v>0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0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7.9</v>
      </c>
      <c r="FZ66" s="12">
        <f>IF('Données projet'!$A$244&gt;35,FZ65+FY66-GH65,IF(A66&lt;'Données projet'!$A$244,$FW$205^A66,IF(A66='Données projet'!$A$244,'Données projet'!$B$244,FZ65+FY66-GH65)))</f>
        <v>220.70000000000016</v>
      </c>
      <c r="GA66" s="17">
        <f>FZ66*VLOOKUP('Données projet'!$B$17,Paramètres!$A$1:$I$89,3,0)*VLOOKUP('Données projet'!$B$17,Paramètres!$A$1:$I$89,5,0)</f>
        <v>148.04556000000011</v>
      </c>
      <c r="GB66" s="13">
        <f t="shared" si="49"/>
        <v>38.134093661452994</v>
      </c>
      <c r="GC66" s="20">
        <f t="shared" si="25"/>
        <v>324.26289679369751</v>
      </c>
      <c r="GD66" s="59">
        <f t="shared" si="26"/>
        <v>617.59623012703082</v>
      </c>
      <c r="GE66" s="59">
        <f ca="1">AVERAGE(OFFSET($GD$3,0,0,'Données projet'!$E$17+1,1))-AVERAGE(OFFSET($H$3,0,0,'Données projet'!$E$17+1,1))</f>
        <v>168.00454652899231</v>
      </c>
      <c r="GF66" s="59">
        <f t="shared" si="50"/>
        <v>135.31958994080446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0</v>
      </c>
      <c r="GM66" s="21">
        <f>EXP(-LN(2)/25)*GM65+(1-EXP(-LN(2)/25))/(LN(2)/25)*Calculateur!GH66*Calculateur!GJ66*VLOOKUP('Données projet'!$B$17,Paramètres!$A$1:$I$89,3,0)*0.475*44/12</f>
        <v>0</v>
      </c>
      <c r="GN66" s="21">
        <f>EXP(-LN(2)/2)*GN65+(1-EXP(-LN(2)/2))/(LN(2)/2)*GH66*GK66*VLOOKUP('Données projet'!$B$17,Paramètres!$A$1:$I$89,3,0)*0.475*44/12</f>
        <v>0</v>
      </c>
      <c r="GO66" s="21">
        <f t="shared" si="27"/>
        <v>0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8.1001602564102555</v>
      </c>
      <c r="N67" s="13">
        <f>IF('Données projet'!$A$36&gt;35,N66+M67-V66,IF(A67&lt;'Données projet'!$A$36,$K$205^A67,IF(A67='Données projet'!$A$36,'Données projet'!$B$36,N66+M67-V66)))</f>
        <v>186.66426282051287</v>
      </c>
      <c r="O67" s="13">
        <f>N67*VLOOKUP('Données projet'!$B$9,Paramètres!$A$1:$I$89,3,0)*VLOOKUP('Données projet'!$B$9,Paramètres!$A$1:$I$89,5,0)</f>
        <v>168.89382500000005</v>
      </c>
      <c r="P67" s="13">
        <f t="shared" si="33"/>
        <v>42.842183132845896</v>
      </c>
      <c r="Q67" s="20">
        <f t="shared" ref="Q67:Q98" si="54">(O67+P67)*0.475*44/12</f>
        <v>368.77354749803999</v>
      </c>
      <c r="R67" s="59">
        <f t="shared" ref="R67:R130" si="55">Q67+(I67+J67)*44/12</f>
        <v>662.10688083137325</v>
      </c>
      <c r="S67" s="59">
        <f ca="1">AVERAGE(OFFSET($R$3,0,0,'Données projet'!$E$9+1,1))-AVERAGE(OFFSET($H$3,0,0,'Données projet'!$E$9+1,1))</f>
        <v>221.7429870520005</v>
      </c>
      <c r="T67" s="59">
        <f t="shared" si="34"/>
        <v>182.2029938397186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0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5.9431089743589762</v>
      </c>
      <c r="AI67" s="13">
        <f>IF('Données projet'!$A$62&gt;35,AI66+AH67-AQ66,IF(A67&lt;'Données projet'!$A$62,$AF$205^A67,IF(A67='Données projet'!$A$62,'Données projet'!$B$62,AI66+AH67-AQ66)))</f>
        <v>150.02964743589743</v>
      </c>
      <c r="AJ67" s="13">
        <f>AI67*VLOOKUP('Données projet'!$B$10,Paramètres!$A$1:$I$89,3,0)*VLOOKUP('Données projet'!$B$10,Paramètres!$A$1:$I$89,5,0)</f>
        <v>135.746825</v>
      </c>
      <c r="AK67" s="13">
        <f t="shared" si="35"/>
        <v>35.320920291530086</v>
      </c>
      <c r="AL67" s="20">
        <f t="shared" si="4"/>
        <v>297.94298971608151</v>
      </c>
      <c r="AM67" s="59">
        <f t="shared" si="5"/>
        <v>591.27632304941483</v>
      </c>
      <c r="AN67" s="59">
        <f ca="1">AVERAGE(OFFSET($AM$3,0,0,'Données projet'!$E$10+1,1))-AVERAGE(OFFSET($H$3,0,0,'Données projet'!$E$10+1,1))</f>
        <v>153.45079678708987</v>
      </c>
      <c r="AO67" s="59">
        <f t="shared" si="36"/>
        <v>115.4217868409637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13.737499999999997</v>
      </c>
      <c r="BD67" s="12">
        <f>IF('Données projet'!$A$88&gt;35,BD66+BC67-BL66,IF(A67&lt;'Données projet'!$A$88,$BA$205^A67,IF(A67='Données projet'!$A$88,'Données projet'!$B$88,BD66+BC67-BL66)))</f>
        <v>317.79134615384612</v>
      </c>
      <c r="BE67" s="13">
        <f>BD67*VLOOKUP('Données projet'!$B$11,Paramètres!$A$1:$I$89,3,0)*VLOOKUP('Données projet'!$B$11,Paramètres!$A$1:$I$89,5,0)</f>
        <v>148.72635</v>
      </c>
      <c r="BF67" s="13">
        <f t="shared" si="37"/>
        <v>38.289000598915827</v>
      </c>
      <c r="BG67" s="20">
        <f t="shared" si="7"/>
        <v>325.71840229311169</v>
      </c>
      <c r="BH67" s="59">
        <f t="shared" si="8"/>
        <v>619.05173562644495</v>
      </c>
      <c r="BI67" s="59">
        <f ca="1">AVERAGE(OFFSET($BH$3,0,0,'Données projet'!$E$11+1,1))-AVERAGE(OFFSET($H$3,0,0,'Données projet'!$E$11+1,1))</f>
        <v>158.58786357608489</v>
      </c>
      <c r="BJ67" s="59">
        <f t="shared" si="38"/>
        <v>163.20074068819849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0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7.8</v>
      </c>
      <c r="BY67" s="12">
        <f>IF('Données projet'!$A$114&gt;35,BY66+BX67-CG66,IF(A67&lt;'Données projet'!$A$114,$BV$205^A67,IF(A67='Données projet'!$A$114,'Données projet'!$B$114,BY66+BX67-CG66)))</f>
        <v>380.19999999999993</v>
      </c>
      <c r="BZ67" s="13">
        <f>BY67*VLOOKUP('Données projet'!$B$12,Paramètres!$A$1:$I$89,3,0)*VLOOKUP('Données projet'!$B$12,Paramètres!$A$1:$I$89,5,0)</f>
        <v>237.24479999999994</v>
      </c>
      <c r="CA67" s="13">
        <f t="shared" si="39"/>
        <v>57.846338010686594</v>
      </c>
      <c r="CB67" s="20">
        <f t="shared" si="10"/>
        <v>513.9503987019458</v>
      </c>
      <c r="CC67" s="59">
        <f t="shared" si="11"/>
        <v>807.28373203527917</v>
      </c>
      <c r="CD67" s="59">
        <f ca="1">AVERAGE(OFFSET($CC$3,0,0,'Données projet'!$E$12+1,1))-AVERAGE(OFFSET($H$3,0,0,'Données projet'!$E$12+1,1))</f>
        <v>255.41017495879987</v>
      </c>
      <c r="CE67" s="59">
        <f t="shared" si="40"/>
        <v>297.50513563712764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4.2554387072673228</v>
      </c>
      <c r="CL67" s="21">
        <f>EXP(-LN(2)/25)*CL66+(1-EXP(-LN(2)/25))/(LN(2)/25)*Calculateur!CG67*Calculateur!CI67*VLOOKUP('Données projet'!$B$12,Paramètres!$A$1:$I$89,3,0)*0.475*44/12</f>
        <v>10.857606879673176</v>
      </c>
      <c r="CM67" s="21">
        <f>EXP(-LN(2)/2)*CM66+(1-EXP(-LN(2)/2))/(LN(2)/2)*CG67*CJ67*VLOOKUP('Données projet'!$B$12,Paramètres!$A$1:$I$89,3,0)*0.475*44/12</f>
        <v>1.8616631421594147E-4</v>
      </c>
      <c r="CN67" s="22">
        <f t="shared" si="12"/>
        <v>15.113231753254713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6.461538461538467</v>
      </c>
      <c r="CT67" s="12">
        <f>IF('Données projet'!$A$140&gt;35,CT66+CS67-DB66,IF(A67&lt;'Données projet'!$A$140,$CQ$205^A67,IF(A67='Données projet'!$A$140,'Données projet'!$B$140,CT66+CS67-DB66)))</f>
        <v>254.53076923076912</v>
      </c>
      <c r="CU67" s="17">
        <f>CT67*VLOOKUP('Données projet'!$B$13,Paramètres!$A$1:$I$89,3,0)*VLOOKUP('Données projet'!$B$13,Paramètres!$A$1:$I$89,5,0)</f>
        <v>145.59159999999994</v>
      </c>
      <c r="CV67" s="13">
        <f t="shared" si="41"/>
        <v>37.575028283733694</v>
      </c>
      <c r="CW67" s="20">
        <f t="shared" si="13"/>
        <v>319.01521092750278</v>
      </c>
      <c r="CX67" s="59">
        <f t="shared" si="14"/>
        <v>612.34854426083609</v>
      </c>
      <c r="CY67" s="59">
        <f ca="1">AVERAGE(OFFSET($CX$3,0,0,'Données projet'!$E$13+1,1))-AVERAGE(OFFSET($H$3,0,0,'Données projet'!$E$13+1,1))</f>
        <v>134.70214882504786</v>
      </c>
      <c r="CZ67" s="59">
        <f t="shared" si="42"/>
        <v>102.18553029667771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0.54212974913338696</v>
      </c>
      <c r="DG67" s="21">
        <f>EXP(-LN(2)/25)*DG66+(1-EXP(-LN(2)/25))/(LN(2)/25)*Calculateur!DB67*Calculateur!DD67*VLOOKUP('Données projet'!$B$13,Paramètres!$A$1:$I$89,3,0)*0.475*44/12</f>
        <v>4.889120569594529</v>
      </c>
      <c r="DH67" s="21">
        <f>EXP(-LN(2)/2)*DH66+(1-EXP(-LN(2)/2))/(LN(2)/2)*DB67*DE67*VLOOKUP('Données projet'!$B$13,Paramètres!$A$1:$I$89,3,0)*0.475*44/12</f>
        <v>5.8791324012920451E-5</v>
      </c>
      <c r="DI67" s="22">
        <f t="shared" si="15"/>
        <v>5.4313091100519282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9.1830769230769249</v>
      </c>
      <c r="DO67" s="12">
        <f>IF('Données projet'!$A$166&gt;35,DO66+DN67-DW66,IF(A67&lt;'Données projet'!$A$166,$DL$205^A67,IF(A67='Données projet'!$A$166,'Données projet'!$B$166,DO66+DN67-DW66)))</f>
        <v>324.89384615384608</v>
      </c>
      <c r="DP67" s="17">
        <f>DO67*VLOOKUP('Données projet'!$B$14,Paramètres!$A$1:$I$89,3,0)*VLOOKUP('Données projet'!$B$14,Paramètres!$A$1:$I$89,5,0)</f>
        <v>194.28651999999997</v>
      </c>
      <c r="DQ67" s="13">
        <f t="shared" si="43"/>
        <v>48.486407543748122</v>
      </c>
      <c r="DR67" s="20">
        <f t="shared" si="16"/>
        <v>422.82951547202788</v>
      </c>
      <c r="DS67" s="59">
        <f t="shared" si="17"/>
        <v>716.16284880536114</v>
      </c>
      <c r="DT67" s="59">
        <f ca="1">AVERAGE(OFFSET($DS$3,0,0,'Données projet'!$E$14+1,1))-AVERAGE(OFFSET($H$3,0,0,'Données projet'!$E$14+1,1))</f>
        <v>179.32848817523677</v>
      </c>
      <c r="DU67" s="59">
        <f t="shared" si="44"/>
        <v>131.3292389103035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5.1347251575393491</v>
      </c>
      <c r="EC67" s="21">
        <f>EXP(-LN(2)/2)*EC66+(1-EXP(-LN(2)/2))/(LN(2)/2)*DW67*DZ67*VLOOKUP('Données projet'!$B$14,Paramètres!$A$1:$I$89,3,0)*0.475*44/12</f>
        <v>4.0152506845439457E-5</v>
      </c>
      <c r="ED67" s="22">
        <f t="shared" si="18"/>
        <v>5.1347653100461947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-2.2737367544323206E-13</v>
      </c>
      <c r="EK67" s="17">
        <f>EJ67*VLOOKUP('Données projet'!$B$15,Paramètres!$A$1:$I$89,3,0)*VLOOKUP('Données projet'!$B$15,Paramètres!$A$1:$I$89,5,0)</f>
        <v>-1.0049916454590858E-13</v>
      </c>
      <c r="EL67" s="13" t="e">
        <f t="shared" si="45"/>
        <v>#NUM!</v>
      </c>
      <c r="EM67" s="20" t="e">
        <f t="shared" si="19"/>
        <v>#NUM!</v>
      </c>
      <c r="EN67" s="59" t="e">
        <f t="shared" si="20"/>
        <v>#NUM!</v>
      </c>
      <c r="EO67" s="59">
        <f ca="1">AVERAGE(OFFSET($EN$3,0,0,'Données projet'!$E$15+1,1))-AVERAGE(OFFSET($H$3,0,0,'Données projet'!$E$15+1,1))</f>
        <v>191.932060106699</v>
      </c>
      <c r="EP67" s="59">
        <f t="shared" si="46"/>
        <v>260.28593152736903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1.246078902866667</v>
      </c>
      <c r="EW67" s="21">
        <f>EXP(-LN(2)/25)*EW66+(1-EXP(-LN(2)/25))/(LN(2)/25)*Calculateur!ER67*Calculateur!ET67*VLOOKUP('Données projet'!$B$15,Paramètres!$A$1:$I$89,3,0)*0.475*44/12</f>
        <v>4.9164271195496489</v>
      </c>
      <c r="EX67" s="21">
        <f>EXP(-LN(2)/2)*EX66+(1-EXP(-LN(2)/2))/(LN(2)/2)*ER67*EU67*VLOOKUP('Données projet'!$B$15,Paramètres!$A$1:$I$89,3,0)*0.475*44/12</f>
        <v>1.0210999014466472E-5</v>
      </c>
      <c r="EY67" s="22">
        <f t="shared" si="21"/>
        <v>6.1625162334153307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3.7</v>
      </c>
      <c r="FE67" s="12">
        <f>IF('Données projet'!$A$218&gt;35,FE66+FD67-FM66,IF(A67&lt;'Données projet'!$A$218,$FB$205^A67,IF(A67='Données projet'!$A$218,'Données projet'!$B$218,FE66+FD67-FM66)))</f>
        <v>119.8</v>
      </c>
      <c r="FF67" s="17">
        <f>FE67*VLOOKUP('Données projet'!$B$16,Paramètres!$A$1:$I$89,3,0)*VLOOKUP('Données projet'!$B$16,Paramètres!$A$1:$I$89,5,0)</f>
        <v>115.87056</v>
      </c>
      <c r="FG67" s="13">
        <f t="shared" si="47"/>
        <v>30.709921142001637</v>
      </c>
      <c r="FH67" s="20">
        <f t="shared" si="22"/>
        <v>255.29433798898617</v>
      </c>
      <c r="FI67" s="59">
        <f t="shared" si="23"/>
        <v>548.62767132231943</v>
      </c>
      <c r="FJ67" s="59">
        <f ca="1">AVERAGE(OFFSET($FI$3,0,0,'Données projet'!$E$16+1,1))-AVERAGE(OFFSET($H$3,0,0,'Données projet'!$E$16+1,1))</f>
        <v>102.86738524979938</v>
      </c>
      <c r="FK67" s="59">
        <f t="shared" si="48"/>
        <v>56.347130462109817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0</v>
      </c>
      <c r="FR67" s="21">
        <f>EXP(-LN(2)/25)*FR66+(1-EXP(-LN(2)/25))/(LN(2)/25)*Calculateur!FM67*Calculateur!FO67*VLOOKUP('Données projet'!$B$16,Paramètres!$A$1:$I$89,3,0)*0.475*44/12</f>
        <v>0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0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7.9</v>
      </c>
      <c r="FZ67" s="12">
        <f>IF('Données projet'!$A$244&gt;35,FZ66+FY67-GH66,IF(A67&lt;'Données projet'!$A$244,$FW$205^A67,IF(A67='Données projet'!$A$244,'Données projet'!$B$244,FZ66+FY67-GH66)))</f>
        <v>228.60000000000016</v>
      </c>
      <c r="GA67" s="17">
        <f>FZ67*VLOOKUP('Données projet'!$B$17,Paramètres!$A$1:$I$89,3,0)*VLOOKUP('Données projet'!$B$17,Paramètres!$A$1:$I$89,5,0)</f>
        <v>153.34488000000013</v>
      </c>
      <c r="GB67" s="13">
        <f t="shared" si="49"/>
        <v>39.337743179912003</v>
      </c>
      <c r="GC67" s="20">
        <f t="shared" si="25"/>
        <v>335.58890203834693</v>
      </c>
      <c r="GD67" s="59">
        <f t="shared" si="26"/>
        <v>628.92223537168024</v>
      </c>
      <c r="GE67" s="59">
        <f ca="1">AVERAGE(OFFSET($GD$3,0,0,'Données projet'!$E$17+1,1))-AVERAGE(OFFSET($H$3,0,0,'Données projet'!$E$17+1,1))</f>
        <v>168.00454652899231</v>
      </c>
      <c r="GF67" s="59">
        <f t="shared" si="50"/>
        <v>135.31958994080446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0</v>
      </c>
      <c r="GM67" s="21">
        <f>EXP(-LN(2)/25)*GM66+(1-EXP(-LN(2)/25))/(LN(2)/25)*Calculateur!GH67*Calculateur!GJ67*VLOOKUP('Données projet'!$B$17,Paramètres!$A$1:$I$89,3,0)*0.475*44/12</f>
        <v>0</v>
      </c>
      <c r="GN67" s="21">
        <f>EXP(-LN(2)/2)*GN66+(1-EXP(-LN(2)/2))/(LN(2)/2)*GH67*GK67*VLOOKUP('Données projet'!$B$17,Paramètres!$A$1:$I$89,3,0)*0.475*44/12</f>
        <v>0</v>
      </c>
      <c r="GO67" s="21">
        <f t="shared" si="27"/>
        <v>0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8.1001602564102555</v>
      </c>
      <c r="N68" s="13">
        <f>IF('Données projet'!$A$36&gt;35,N67+M68-V67,IF(A68&lt;'Données projet'!$A$36,$K$205^A68,IF(A68='Données projet'!$A$36,'Données projet'!$B$36,N67+M68-V67)))</f>
        <v>194.76442307692312</v>
      </c>
      <c r="O68" s="13">
        <f>N68*VLOOKUP('Données projet'!$B$9,Paramètres!$A$1:$I$89,3,0)*VLOOKUP('Données projet'!$B$9,Paramètres!$A$1:$I$89,5,0)</f>
        <v>176.22285000000002</v>
      </c>
      <c r="P68" s="13">
        <f t="shared" si="33"/>
        <v>44.480805480154558</v>
      </c>
      <c r="Q68" s="20">
        <f t="shared" si="54"/>
        <v>384.39219996126917</v>
      </c>
      <c r="R68" s="59">
        <f t="shared" si="55"/>
        <v>677.72553329460243</v>
      </c>
      <c r="S68" s="59">
        <f ca="1">AVERAGE(OFFSET($R$3,0,0,'Données projet'!$E$9+1,1))-AVERAGE(OFFSET($H$3,0,0,'Données projet'!$E$9+1,1))</f>
        <v>221.7429870520005</v>
      </c>
      <c r="T68" s="59">
        <f t="shared" si="34"/>
        <v>182.2029938397186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0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5.9431089743589762</v>
      </c>
      <c r="AI68" s="13">
        <f>IF('Données projet'!$A$62&gt;35,AI67+AH68-AQ67,IF(A68&lt;'Données projet'!$A$62,$AF$205^A68,IF(A68='Données projet'!$A$62,'Données projet'!$B$62,AI67+AH68-AQ67)))</f>
        <v>155.97275641025641</v>
      </c>
      <c r="AJ68" s="13">
        <f>AI68*VLOOKUP('Données projet'!$B$10,Paramètres!$A$1:$I$89,3,0)*VLOOKUP('Données projet'!$B$10,Paramètres!$A$1:$I$89,5,0)</f>
        <v>141.12414999999999</v>
      </c>
      <c r="AK68" s="13">
        <f t="shared" si="35"/>
        <v>36.554412483418083</v>
      </c>
      <c r="AL68" s="20">
        <f t="shared" ref="AL68:AL131" si="58">(AJ68+AK68)*0.475*44/12</f>
        <v>309.45682965861977</v>
      </c>
      <c r="AM68" s="59">
        <f t="shared" ref="AM68:AM131" si="59">AL68+(AD68+AE68)*44/12</f>
        <v>602.79016299195314</v>
      </c>
      <c r="AN68" s="59">
        <f ca="1">AVERAGE(OFFSET($AM$3,0,0,'Données projet'!$E$10+1,1))-AVERAGE(OFFSET($H$3,0,0,'Données projet'!$E$10+1,1))</f>
        <v>153.45079678708987</v>
      </c>
      <c r="AO68" s="59">
        <f t="shared" si="36"/>
        <v>115.4217868409637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13.737499999999997</v>
      </c>
      <c r="BD68" s="12">
        <f>IF('Données projet'!$A$88&gt;35,BD67+BC68-BL67,IF(A68&lt;'Données projet'!$A$88,$BA$205^A68,IF(A68='Données projet'!$A$88,'Données projet'!$B$88,BD67+BC68-BL67)))</f>
        <v>331.52884615384613</v>
      </c>
      <c r="BE68" s="13">
        <f>BD68*VLOOKUP('Données projet'!$B$11,Paramètres!$A$1:$I$89,3,0)*VLOOKUP('Données projet'!$B$11,Paramètres!$A$1:$I$89,5,0)</f>
        <v>155.15549999999999</v>
      </c>
      <c r="BF68" s="13">
        <f t="shared" si="37"/>
        <v>39.74787733410745</v>
      </c>
      <c r="BG68" s="20">
        <f t="shared" ref="BG68:BG131" si="61">(BE68+BF68)*0.475*44/12</f>
        <v>339.45671552357044</v>
      </c>
      <c r="BH68" s="59">
        <f t="shared" ref="BH68:BH131" si="62">BG68+(AY68+AZ68)*44/12</f>
        <v>632.7900488569037</v>
      </c>
      <c r="BI68" s="59">
        <f ca="1">AVERAGE(OFFSET($BH$3,0,0,'Données projet'!$E$11+1,1))-AVERAGE(OFFSET($H$3,0,0,'Données projet'!$E$11+1,1))</f>
        <v>158.58786357608489</v>
      </c>
      <c r="BJ68" s="59">
        <f t="shared" si="38"/>
        <v>163.20074068819849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0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7.8</v>
      </c>
      <c r="BY68" s="12">
        <f>IF('Données projet'!$A$114&gt;35,BY67+BX68-CG67,IF(A68&lt;'Données projet'!$A$114,$BV$205^A68,IF(A68='Données projet'!$A$114,'Données projet'!$B$114,BY67+BX68-CG67)))</f>
        <v>387.99999999999994</v>
      </c>
      <c r="BZ68" s="13">
        <f>BY68*VLOOKUP('Données projet'!$B$12,Paramètres!$A$1:$I$89,3,0)*VLOOKUP('Données projet'!$B$12,Paramètres!$A$1:$I$89,5,0)</f>
        <v>242.11199999999994</v>
      </c>
      <c r="CA68" s="13">
        <f t="shared" si="39"/>
        <v>58.893705600066006</v>
      </c>
      <c r="CB68" s="20">
        <f t="shared" ref="CB68:CB131" si="64">(BZ68+CA68)*0.475*44/12</f>
        <v>524.2516039201148</v>
      </c>
      <c r="CC68" s="59">
        <f t="shared" ref="CC68:CC131" si="65">CB68+(BT68+BU68)*44/12</f>
        <v>817.58493725344806</v>
      </c>
      <c r="CD68" s="59">
        <f ca="1">AVERAGE(OFFSET($CC$3,0,0,'Données projet'!$E$12+1,1))-AVERAGE(OFFSET($H$3,0,0,'Données projet'!$E$12+1,1))</f>
        <v>255.41017495879987</v>
      </c>
      <c r="CE68" s="59">
        <f t="shared" si="40"/>
        <v>297.50513563712764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4.1719921497791317</v>
      </c>
      <c r="CL68" s="21">
        <f>EXP(-LN(2)/25)*CL67+(1-EXP(-LN(2)/25))/(LN(2)/25)*Calculateur!CG68*Calculateur!CI68*VLOOKUP('Données projet'!$B$12,Paramètres!$A$1:$I$89,3,0)*0.475*44/12</f>
        <v>10.560705048571782</v>
      </c>
      <c r="CM68" s="21">
        <f>EXP(-LN(2)/2)*CM67+(1-EXP(-LN(2)/2))/(LN(2)/2)*CG68*CJ68*VLOOKUP('Données projet'!$B$12,Paramètres!$A$1:$I$89,3,0)*0.475*44/12</f>
        <v>1.3163946321059777E-4</v>
      </c>
      <c r="CN68" s="22">
        <f t="shared" ref="CN68:CN131" si="66">SUM(CK68:CM68)</f>
        <v>14.732828837814123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6.461538461538467</v>
      </c>
      <c r="CT68" s="12">
        <f>IF('Données projet'!$A$140&gt;35,CT67+CS68-DB67,IF(A68&lt;'Données projet'!$A$140,$CQ$205^A68,IF(A68='Données projet'!$A$140,'Données projet'!$B$140,CT67+CS68-DB67)))</f>
        <v>260.99230769230758</v>
      </c>
      <c r="CU68" s="17">
        <f>CT68*VLOOKUP('Données projet'!$B$13,Paramètres!$A$1:$I$89,3,0)*VLOOKUP('Données projet'!$B$13,Paramètres!$A$1:$I$89,5,0)</f>
        <v>149.28759999999994</v>
      </c>
      <c r="CV68" s="13">
        <f t="shared" si="41"/>
        <v>38.416645335496518</v>
      </c>
      <c r="CW68" s="20">
        <f t="shared" ref="CW68:CW131" si="67">(CU68+CV68)*0.475*44/12</f>
        <v>326.91822729265635</v>
      </c>
      <c r="CX68" s="59">
        <f t="shared" ref="CX68:CX131" si="68">CW68+(CO68+CP68)*44/12</f>
        <v>620.25156062598967</v>
      </c>
      <c r="CY68" s="59">
        <f ca="1">AVERAGE(OFFSET($CX$3,0,0,'Données projet'!$E$13+1,1))-AVERAGE(OFFSET($H$3,0,0,'Données projet'!$E$13+1,1))</f>
        <v>134.70214882504786</v>
      </c>
      <c r="CZ68" s="59">
        <f t="shared" si="42"/>
        <v>102.18553029667771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0.53149891541937766</v>
      </c>
      <c r="DG68" s="21">
        <f>EXP(-LN(2)/25)*DG67+(1-EXP(-LN(2)/25))/(LN(2)/25)*Calculateur!DB68*Calculateur!DD68*VLOOKUP('Données projet'!$B$13,Paramètres!$A$1:$I$89,3,0)*0.475*44/12</f>
        <v>4.7554273105112905</v>
      </c>
      <c r="DH68" s="21">
        <f>EXP(-LN(2)/2)*DH67+(1-EXP(-LN(2)/2))/(LN(2)/2)*DB68*DE68*VLOOKUP('Données projet'!$B$13,Paramètres!$A$1:$I$89,3,0)*0.475*44/12</f>
        <v>4.1571743884471558E-5</v>
      </c>
      <c r="DI68" s="22">
        <f t="shared" ref="DI68:DI131" si="69">SUM(DF68:DH68)</f>
        <v>5.2869677976745528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9.1830769230769249</v>
      </c>
      <c r="DO68" s="12">
        <f>IF('Données projet'!$A$166&gt;35,DO67+DN68-DW67,IF(A68&lt;'Données projet'!$A$166,$DL$205^A68,IF(A68='Données projet'!$A$166,'Données projet'!$B$166,DO67+DN68-DW67)))</f>
        <v>334.07692307692298</v>
      </c>
      <c r="DP68" s="17">
        <f>DO68*VLOOKUP('Données projet'!$B$14,Paramètres!$A$1:$I$89,3,0)*VLOOKUP('Données projet'!$B$14,Paramètres!$A$1:$I$89,5,0)</f>
        <v>199.77799999999996</v>
      </c>
      <c r="DQ68" s="13">
        <f t="shared" si="43"/>
        <v>49.695375691492842</v>
      </c>
      <c r="DR68" s="20">
        <f t="shared" ref="DR68:DR131" si="70">(DP68+DQ68)*0.475*44/12</f>
        <v>434.4994626626833</v>
      </c>
      <c r="DS68" s="59">
        <f t="shared" ref="DS68:DS131" si="71">DR68+(DJ68+DK68)*44/12</f>
        <v>727.83279599601656</v>
      </c>
      <c r="DT68" s="59">
        <f ca="1">AVERAGE(OFFSET($DS$3,0,0,'Données projet'!$E$14+1,1))-AVERAGE(OFFSET($H$3,0,0,'Données projet'!$E$14+1,1))</f>
        <v>179.32848817523677</v>
      </c>
      <c r="DU68" s="59">
        <f t="shared" si="44"/>
        <v>131.3292389103035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4.9943158280829749</v>
      </c>
      <c r="EC68" s="21">
        <f>EXP(-LN(2)/2)*EC67+(1-EXP(-LN(2)/2))/(LN(2)/2)*DW68*DZ68*VLOOKUP('Données projet'!$B$14,Paramètres!$A$1:$I$89,3,0)*0.475*44/12</f>
        <v>2.839210987204951E-5</v>
      </c>
      <c r="ED68" s="22">
        <f t="shared" ref="ED68:ED131" si="72">SUM(EA68:EC68)</f>
        <v>4.994344220192847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-2.2737367544323206E-13</v>
      </c>
      <c r="EK68" s="17">
        <f>EJ68*VLOOKUP('Données projet'!$B$15,Paramètres!$A$1:$I$89,3,0)*VLOOKUP('Données projet'!$B$15,Paramètres!$A$1:$I$89,5,0)</f>
        <v>-1.0049916454590858E-13</v>
      </c>
      <c r="EL68" s="13" t="e">
        <f t="shared" si="45"/>
        <v>#NUM!</v>
      </c>
      <c r="EM68" s="20" t="e">
        <f t="shared" ref="EM68:EM131" si="73">(EK68+EL68)*0.475*44/12</f>
        <v>#NUM!</v>
      </c>
      <c r="EN68" s="59" t="e">
        <f t="shared" ref="EN68:EN131" si="74">EM68+(EE68+EF68)*44/12</f>
        <v>#NUM!</v>
      </c>
      <c r="EO68" s="59">
        <f ca="1">AVERAGE(OFFSET($EN$3,0,0,'Données projet'!$E$15+1,1))-AVERAGE(OFFSET($H$3,0,0,'Données projet'!$E$15+1,1))</f>
        <v>191.932060106699</v>
      </c>
      <c r="EP68" s="59">
        <f t="shared" si="46"/>
        <v>260.28593152736903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1.2216440556145354</v>
      </c>
      <c r="EW68" s="21">
        <f>EXP(-LN(2)/25)*EW67+(1-EXP(-LN(2)/25))/(LN(2)/25)*Calculateur!ER68*Calculateur!ET68*VLOOKUP('Données projet'!$B$15,Paramètres!$A$1:$I$89,3,0)*0.475*44/12</f>
        <v>4.7819871614218981</v>
      </c>
      <c r="EX68" s="21">
        <f>EXP(-LN(2)/2)*EX67+(1-EXP(-LN(2)/2))/(LN(2)/2)*ER68*EU68*VLOOKUP('Données projet'!$B$15,Paramètres!$A$1:$I$89,3,0)*0.475*44/12</f>
        <v>7.2202666458183966E-6</v>
      </c>
      <c r="EY68" s="22">
        <f t="shared" ref="EY68:EY131" si="75">SUM(EV68:EX68)</f>
        <v>6.0036384373030796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3.7</v>
      </c>
      <c r="FE68" s="12">
        <f>IF('Données projet'!$A$218&gt;35,FE67+FD68-FM67,IF(A68&lt;'Données projet'!$A$218,$FB$205^A68,IF(A68='Données projet'!$A$218,'Données projet'!$B$218,FE67+FD68-FM67)))</f>
        <v>123.5</v>
      </c>
      <c r="FF68" s="17">
        <f>FE68*VLOOKUP('Données projet'!$B$16,Paramètres!$A$1:$I$89,3,0)*VLOOKUP('Données projet'!$B$16,Paramètres!$A$1:$I$89,5,0)</f>
        <v>119.44919999999999</v>
      </c>
      <c r="FG68" s="13">
        <f t="shared" si="47"/>
        <v>31.54649986262719</v>
      </c>
      <c r="FH68" s="20">
        <f t="shared" ref="FH68:FH131" si="76">(FF68+FG68)*0.475*44/12</f>
        <v>262.98417726074234</v>
      </c>
      <c r="FI68" s="59">
        <f t="shared" ref="FI68:FI131" si="77">FH68+(EZ68+FA68)*44/12</f>
        <v>556.31751059407566</v>
      </c>
      <c r="FJ68" s="59">
        <f ca="1">AVERAGE(OFFSET($FI$3,0,0,'Données projet'!$E$16+1,1))-AVERAGE(OFFSET($H$3,0,0,'Données projet'!$E$16+1,1))</f>
        <v>102.86738524979938</v>
      </c>
      <c r="FK68" s="59">
        <f t="shared" si="48"/>
        <v>56.347130462109817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0</v>
      </c>
      <c r="FR68" s="21">
        <f>EXP(-LN(2)/25)*FR67+(1-EXP(-LN(2)/25))/(LN(2)/25)*Calculateur!FM68*Calculateur!FO68*VLOOKUP('Données projet'!$B$16,Paramètres!$A$1:$I$89,3,0)*0.475*44/12</f>
        <v>0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0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7.9</v>
      </c>
      <c r="FZ68" s="12">
        <f>IF('Données projet'!$A$244&gt;35,FZ67+FY68-GH67,IF(A68&lt;'Données projet'!$A$244,$FW$205^A68,IF(A68='Données projet'!$A$244,'Données projet'!$B$244,FZ67+FY68-GH67)))</f>
        <v>236.50000000000017</v>
      </c>
      <c r="GA68" s="17">
        <f>FZ68*VLOOKUP('Données projet'!$B$17,Paramètres!$A$1:$I$89,3,0)*VLOOKUP('Données projet'!$B$17,Paramètres!$A$1:$I$89,5,0)</f>
        <v>158.64420000000013</v>
      </c>
      <c r="GB68" s="13">
        <f t="shared" si="49"/>
        <v>40.536559640209198</v>
      </c>
      <c r="GC68" s="20">
        <f t="shared" ref="GC68:GC131" si="79">(GA68+GB68)*0.475*44/12</f>
        <v>346.90648970669787</v>
      </c>
      <c r="GD68" s="59">
        <f t="shared" ref="GD68:GD131" si="80">GC68+(FU68+FV68)*44/12</f>
        <v>640.23982304003118</v>
      </c>
      <c r="GE68" s="59">
        <f ca="1">AVERAGE(OFFSET($GD$3,0,0,'Données projet'!$E$17+1,1))-AVERAGE(OFFSET($H$3,0,0,'Données projet'!$E$17+1,1))</f>
        <v>168.00454652899231</v>
      </c>
      <c r="GF68" s="59">
        <f t="shared" si="50"/>
        <v>135.31958994080446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0</v>
      </c>
      <c r="GM68" s="21">
        <f>EXP(-LN(2)/25)*GM67+(1-EXP(-LN(2)/25))/(LN(2)/25)*Calculateur!GH68*Calculateur!GJ68*VLOOKUP('Données projet'!$B$17,Paramètres!$A$1:$I$89,3,0)*0.475*44/12</f>
        <v>0</v>
      </c>
      <c r="GN68" s="21">
        <f>EXP(-LN(2)/2)*GN67+(1-EXP(-LN(2)/2))/(LN(2)/2)*GH68*GK68*VLOOKUP('Données projet'!$B$17,Paramètres!$A$1:$I$89,3,0)*0.475*44/12</f>
        <v>0</v>
      </c>
      <c r="GO68" s="21">
        <f t="shared" ref="GO68:GO131" si="81">SUM(GL68:GN68)</f>
        <v>0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8.1001602564102555</v>
      </c>
      <c r="N69" s="13">
        <f>IF('Données projet'!$A$36&gt;35,N68+M69-V68,IF(A69&lt;'Données projet'!$A$36,$K$205^A69,IF(A69='Données projet'!$A$36,'Données projet'!$B$36,N68+M69-V68)))</f>
        <v>202.86458333333337</v>
      </c>
      <c r="O69" s="13">
        <f>N69*VLOOKUP('Données projet'!$B$9,Paramètres!$A$1:$I$89,3,0)*VLOOKUP('Données projet'!$B$9,Paramètres!$A$1:$I$89,5,0)</f>
        <v>183.55187500000002</v>
      </c>
      <c r="P69" s="13">
        <f t="shared" ref="P69:P132" si="87">EXP(-1.0587+0.8836*LN(O69)+0.284)</f>
        <v>46.111511982372384</v>
      </c>
      <c r="Q69" s="20">
        <f t="shared" si="54"/>
        <v>399.99706566096523</v>
      </c>
      <c r="R69" s="59">
        <f t="shared" si="55"/>
        <v>693.33039899429855</v>
      </c>
      <c r="S69" s="59">
        <f ca="1">AVERAGE(OFFSET($R$3,0,0,'Données projet'!$E$9+1,1))-AVERAGE(OFFSET($H$3,0,0,'Données projet'!$E$9+1,1))</f>
        <v>221.7429870520005</v>
      </c>
      <c r="T69" s="59">
        <f t="shared" ref="T69:T132" si="88">$T$3</f>
        <v>182.2029938397186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0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5.9431089743589762</v>
      </c>
      <c r="AI69" s="13">
        <f>IF('Données projet'!$A$62&gt;35,AI68+AH69-AQ68,IF(A69&lt;'Données projet'!$A$62,$AF$205^A69,IF(A69='Données projet'!$A$62,'Données projet'!$B$62,AI68+AH69-AQ68)))</f>
        <v>161.91586538461539</v>
      </c>
      <c r="AJ69" s="13">
        <f>AI69*VLOOKUP('Données projet'!$B$10,Paramètres!$A$1:$I$89,3,0)*VLOOKUP('Données projet'!$B$10,Paramètres!$A$1:$I$89,5,0)</f>
        <v>146.501475</v>
      </c>
      <c r="AK69" s="13">
        <f t="shared" ref="AK69:AK132" si="89">EXP(-1.0587+0.8836*LN(AJ69)+0.284)</f>
        <v>37.782444550133206</v>
      </c>
      <c r="AL69" s="20">
        <f t="shared" si="58"/>
        <v>320.96115988314858</v>
      </c>
      <c r="AM69" s="59">
        <f t="shared" si="59"/>
        <v>614.2944932164819</v>
      </c>
      <c r="AN69" s="59">
        <f ca="1">AVERAGE(OFFSET($AM$3,0,0,'Données projet'!$E$10+1,1))-AVERAGE(OFFSET($H$3,0,0,'Données projet'!$E$10+1,1))</f>
        <v>153.45079678708987</v>
      </c>
      <c r="AO69" s="59">
        <f t="shared" ref="AO69:AO132" si="90">$AO$3</f>
        <v>115.4217868409637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13.737499999999997</v>
      </c>
      <c r="BD69" s="12">
        <f>IF('Données projet'!$A$88&gt;35,BD68+BC69-BL68,IF(A69&lt;'Données projet'!$A$88,$BA$205^A69,IF(A69='Données projet'!$A$88,'Données projet'!$B$88,BD68+BC69-BL68)))</f>
        <v>345.26634615384614</v>
      </c>
      <c r="BE69" s="13">
        <f>BD69*VLOOKUP('Données projet'!$B$11,Paramètres!$A$1:$I$89,3,0)*VLOOKUP('Données projet'!$B$11,Paramètres!$A$1:$I$89,5,0)</f>
        <v>161.58464999999998</v>
      </c>
      <c r="BF69" s="13">
        <f t="shared" ref="BF69:BF132" si="91">EXP(-1.0587+0.8836*LN(BE69)+0.284)</f>
        <v>41.199732368807574</v>
      </c>
      <c r="BG69" s="20">
        <f t="shared" si="61"/>
        <v>353.18279929233978</v>
      </c>
      <c r="BH69" s="59">
        <f t="shared" si="62"/>
        <v>646.51613262567309</v>
      </c>
      <c r="BI69" s="59">
        <f ca="1">AVERAGE(OFFSET($BH$3,0,0,'Données projet'!$E$11+1,1))-AVERAGE(OFFSET($H$3,0,0,'Données projet'!$E$11+1,1))</f>
        <v>158.58786357608489</v>
      </c>
      <c r="BJ69" s="59">
        <f t="shared" ref="BJ69:BJ132" si="92">$BJ$3</f>
        <v>163.20074068819849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0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7.8</v>
      </c>
      <c r="BY69" s="12">
        <f>IF('Données projet'!$A$114&gt;35,BY68+BX69-CG68,IF(A69&lt;'Données projet'!$A$114,$BV$205^A69,IF(A69='Données projet'!$A$114,'Données projet'!$B$114,BY68+BX69-CG68)))</f>
        <v>395.79999999999995</v>
      </c>
      <c r="BZ69" s="13">
        <f>BY69*VLOOKUP('Données projet'!$B$12,Paramètres!$A$1:$I$89,3,0)*VLOOKUP('Données projet'!$B$12,Paramètres!$A$1:$I$89,5,0)</f>
        <v>246.97919999999999</v>
      </c>
      <c r="CA69" s="13">
        <f t="shared" ref="CA69:CA132" si="93">EXP(-1.0587+0.8836*LN(BZ69)+0.284)</f>
        <v>59.938625040227144</v>
      </c>
      <c r="CB69" s="20">
        <f t="shared" si="64"/>
        <v>534.54854527839552</v>
      </c>
      <c r="CC69" s="59">
        <f t="shared" si="65"/>
        <v>827.88187861172878</v>
      </c>
      <c r="CD69" s="59">
        <f ca="1">AVERAGE(OFFSET($CC$3,0,0,'Données projet'!$E$12+1,1))-AVERAGE(OFFSET($H$3,0,0,'Données projet'!$E$12+1,1))</f>
        <v>255.41017495879987</v>
      </c>
      <c r="CE69" s="59">
        <f t="shared" ref="CE69:CE132" si="94">$CE$3</f>
        <v>297.50513563712764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4.0901819283859098</v>
      </c>
      <c r="CL69" s="21">
        <f>EXP(-LN(2)/25)*CL68+(1-EXP(-LN(2)/25))/(LN(2)/25)*Calculateur!CG69*Calculateur!CI69*VLOOKUP('Données projet'!$B$12,Paramètres!$A$1:$I$89,3,0)*0.475*44/12</f>
        <v>10.271922013655244</v>
      </c>
      <c r="CM69" s="21">
        <f>EXP(-LN(2)/2)*CM68+(1-EXP(-LN(2)/2))/(LN(2)/2)*CG69*CJ69*VLOOKUP('Données projet'!$B$12,Paramètres!$A$1:$I$89,3,0)*0.475*44/12</f>
        <v>9.3083157107970733E-5</v>
      </c>
      <c r="CN69" s="22">
        <f t="shared" si="66"/>
        <v>14.362197025198261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6.461538461538467</v>
      </c>
      <c r="CT69" s="12">
        <f>IF('Données projet'!$A$140&gt;35,CT68+CS69-DB68,IF(A69&lt;'Données projet'!$A$140,$CQ$205^A69,IF(A69='Données projet'!$A$140,'Données projet'!$B$140,CT68+CS69-DB68)))</f>
        <v>267.45384615384603</v>
      </c>
      <c r="CU69" s="17">
        <f>CT69*VLOOKUP('Données projet'!$B$13,Paramètres!$A$1:$I$89,3,0)*VLOOKUP('Données projet'!$B$13,Paramètres!$A$1:$I$89,5,0)</f>
        <v>152.98359999999994</v>
      </c>
      <c r="CV69" s="13">
        <f t="shared" ref="CV69:CV132" si="95">EXP(-1.0587+0.8836*LN(CU69)+0.284)</f>
        <v>39.255840259752787</v>
      </c>
      <c r="CW69" s="20">
        <f t="shared" si="67"/>
        <v>334.81702511906929</v>
      </c>
      <c r="CX69" s="59">
        <f t="shared" si="68"/>
        <v>628.15035845240254</v>
      </c>
      <c r="CY69" s="59">
        <f ca="1">AVERAGE(OFFSET($CX$3,0,0,'Données projet'!$E$13+1,1))-AVERAGE(OFFSET($H$3,0,0,'Données projet'!$E$13+1,1))</f>
        <v>134.70214882504786</v>
      </c>
      <c r="CZ69" s="59">
        <f t="shared" ref="CZ69:CZ132" si="96">$CZ$3</f>
        <v>102.18553029667771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0.5210765458703317</v>
      </c>
      <c r="DG69" s="21">
        <f>EXP(-LN(2)/25)*DG68+(1-EXP(-LN(2)/25))/(LN(2)/25)*Calculateur!DB69*Calculateur!DD69*VLOOKUP('Données projet'!$B$13,Paramètres!$A$1:$I$89,3,0)*0.475*44/12</f>
        <v>4.6253899006283055</v>
      </c>
      <c r="DH69" s="21">
        <f>EXP(-LN(2)/2)*DH68+(1-EXP(-LN(2)/2))/(LN(2)/2)*DB69*DE69*VLOOKUP('Données projet'!$B$13,Paramètres!$A$1:$I$89,3,0)*0.475*44/12</f>
        <v>2.9395662006460225E-5</v>
      </c>
      <c r="DI69" s="22">
        <f t="shared" si="69"/>
        <v>5.1464958421606442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9.1830769230769249</v>
      </c>
      <c r="DO69" s="12">
        <f>IF('Données projet'!$A$166&gt;35,DO68+DN69-DW68,IF(A69&lt;'Données projet'!$A$166,$DL$205^A69,IF(A69='Données projet'!$A$166,'Données projet'!$B$166,DO68+DN69-DW68)))</f>
        <v>343.25999999999988</v>
      </c>
      <c r="DP69" s="17">
        <f>DO69*VLOOKUP('Données projet'!$B$14,Paramètres!$A$1:$I$89,3,0)*VLOOKUP('Données projet'!$B$14,Paramètres!$A$1:$I$89,5,0)</f>
        <v>205.26947999999996</v>
      </c>
      <c r="DQ69" s="13">
        <f t="shared" ref="DQ69:DQ132" si="97">EXP(-1.0587+0.8836*LN(DP69)+0.284)</f>
        <v>50.900481301079942</v>
      </c>
      <c r="DR69" s="20">
        <f t="shared" si="70"/>
        <v>446.16268259938084</v>
      </c>
      <c r="DS69" s="59">
        <f t="shared" si="71"/>
        <v>739.49601593271416</v>
      </c>
      <c r="DT69" s="59">
        <f ca="1">AVERAGE(OFFSET($DS$3,0,0,'Données projet'!$E$14+1,1))-AVERAGE(OFFSET($H$3,0,0,'Données projet'!$E$14+1,1))</f>
        <v>179.32848817523677</v>
      </c>
      <c r="DU69" s="59">
        <f t="shared" ref="DU69:DU132" si="98">$DU$3</f>
        <v>131.3292389103035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4.8577459991243916</v>
      </c>
      <c r="EC69" s="21">
        <f>EXP(-LN(2)/2)*EC68+(1-EXP(-LN(2)/2))/(LN(2)/2)*DW69*DZ69*VLOOKUP('Données projet'!$B$14,Paramètres!$A$1:$I$89,3,0)*0.475*44/12</f>
        <v>2.0076253422719728E-5</v>
      </c>
      <c r="ED69" s="22">
        <f t="shared" si="72"/>
        <v>4.857766075377814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-2.2737367544323206E-13</v>
      </c>
      <c r="EK69" s="17">
        <f>EJ69*VLOOKUP('Données projet'!$B$15,Paramètres!$A$1:$I$89,3,0)*VLOOKUP('Données projet'!$B$15,Paramètres!$A$1:$I$89,5,0)</f>
        <v>-1.0049916454590858E-13</v>
      </c>
      <c r="EL69" s="13" t="e">
        <f t="shared" ref="EL69:EL132" si="99">EXP(-1.0587+0.8836*LN(EK69)+0.284)</f>
        <v>#NUM!</v>
      </c>
      <c r="EM69" s="20" t="e">
        <f t="shared" si="73"/>
        <v>#NUM!</v>
      </c>
      <c r="EN69" s="59" t="e">
        <f t="shared" si="74"/>
        <v>#NUM!</v>
      </c>
      <c r="EO69" s="59">
        <f ca="1">AVERAGE(OFFSET($EN$3,0,0,'Données projet'!$E$15+1,1))-AVERAGE(OFFSET($H$3,0,0,'Données projet'!$E$15+1,1))</f>
        <v>191.932060106699</v>
      </c>
      <c r="EP69" s="59">
        <f t="shared" ref="EP69:EP132" si="100">$EP$3</f>
        <v>260.28593152736903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1.1976883608132329</v>
      </c>
      <c r="EW69" s="21">
        <f>EXP(-LN(2)/25)*EW68+(1-EXP(-LN(2)/25))/(LN(2)/25)*Calculateur!ER69*Calculateur!ET69*VLOOKUP('Données projet'!$B$15,Paramètres!$A$1:$I$89,3,0)*0.475*44/12</f>
        <v>4.6512234710190405</v>
      </c>
      <c r="EX69" s="21">
        <f>EXP(-LN(2)/2)*EX68+(1-EXP(-LN(2)/2))/(LN(2)/2)*ER69*EU69*VLOOKUP('Données projet'!$B$15,Paramètres!$A$1:$I$89,3,0)*0.475*44/12</f>
        <v>5.105499507233237E-6</v>
      </c>
      <c r="EY69" s="22">
        <f t="shared" si="75"/>
        <v>5.8489169373317811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3.7</v>
      </c>
      <c r="FE69" s="12">
        <f>IF('Données projet'!$A$218&gt;35,FE68+FD69-FM68,IF(A69&lt;'Données projet'!$A$218,$FB$205^A69,IF(A69='Données projet'!$A$218,'Données projet'!$B$218,FE68+FD69-FM68)))</f>
        <v>127.2</v>
      </c>
      <c r="FF69" s="17">
        <f>FE69*VLOOKUP('Données projet'!$B$16,Paramètres!$A$1:$I$89,3,0)*VLOOKUP('Données projet'!$B$16,Paramètres!$A$1:$I$89,5,0)</f>
        <v>123.02784000000001</v>
      </c>
      <c r="FG69" s="13">
        <f t="shared" ref="FG69:FG132" si="101">EXP(-1.0587+0.8836*LN(FF69)+0.284)</f>
        <v>32.38016581336786</v>
      </c>
      <c r="FH69" s="20">
        <f t="shared" si="76"/>
        <v>270.6689434582824</v>
      </c>
      <c r="FI69" s="59">
        <f t="shared" si="77"/>
        <v>564.00227679161571</v>
      </c>
      <c r="FJ69" s="59">
        <f ca="1">AVERAGE(OFFSET($FI$3,0,0,'Données projet'!$E$16+1,1))-AVERAGE(OFFSET($H$3,0,0,'Données projet'!$E$16+1,1))</f>
        <v>102.86738524979938</v>
      </c>
      <c r="FK69" s="59">
        <f t="shared" ref="FK69:FK132" si="102">$FK$3</f>
        <v>56.347130462109817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0</v>
      </c>
      <c r="FR69" s="21">
        <f>EXP(-LN(2)/25)*FR68+(1-EXP(-LN(2)/25))/(LN(2)/25)*Calculateur!FM69*Calculateur!FO69*VLOOKUP('Données projet'!$B$16,Paramètres!$A$1:$I$89,3,0)*0.475*44/12</f>
        <v>0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0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7.9</v>
      </c>
      <c r="FZ69" s="12">
        <f>IF('Données projet'!$A$244&gt;35,FZ68+FY69-GH68,IF(A69&lt;'Données projet'!$A$244,$FW$205^A69,IF(A69='Données projet'!$A$244,'Données projet'!$B$244,FZ68+FY69-GH68)))</f>
        <v>244.40000000000018</v>
      </c>
      <c r="GA69" s="17">
        <f>FZ69*VLOOKUP('Données projet'!$B$17,Paramètres!$A$1:$I$89,3,0)*VLOOKUP('Données projet'!$B$17,Paramètres!$A$1:$I$89,5,0)</f>
        <v>163.94352000000012</v>
      </c>
      <c r="GB69" s="13">
        <f t="shared" ref="GB69:GB132" si="103">EXP(-1.0587+0.8836*LN(GA69)+0.284)</f>
        <v>41.73072299482638</v>
      </c>
      <c r="GC69" s="20">
        <f t="shared" si="79"/>
        <v>358.21597321598944</v>
      </c>
      <c r="GD69" s="59">
        <f t="shared" si="80"/>
        <v>651.54930654932275</v>
      </c>
      <c r="GE69" s="59">
        <f ca="1">AVERAGE(OFFSET($GD$3,0,0,'Données projet'!$E$17+1,1))-AVERAGE(OFFSET($H$3,0,0,'Données projet'!$E$17+1,1))</f>
        <v>168.00454652899231</v>
      </c>
      <c r="GF69" s="59">
        <f t="shared" ref="GF69:GF132" si="104">$GF$3</f>
        <v>135.31958994080446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0</v>
      </c>
      <c r="GM69" s="21">
        <f>EXP(-LN(2)/25)*GM68+(1-EXP(-LN(2)/25))/(LN(2)/25)*Calculateur!GH69*Calculateur!GJ69*VLOOKUP('Données projet'!$B$17,Paramètres!$A$1:$I$89,3,0)*0.475*44/12</f>
        <v>0</v>
      </c>
      <c r="GN69" s="21">
        <f>EXP(-LN(2)/2)*GN68+(1-EXP(-LN(2)/2))/(LN(2)/2)*GH69*GK69*VLOOKUP('Données projet'!$B$17,Paramètres!$A$1:$I$89,3,0)*0.475*44/12</f>
        <v>0</v>
      </c>
      <c r="GO69" s="21">
        <f t="shared" si="81"/>
        <v>0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8.1001602564102555</v>
      </c>
      <c r="N70" s="13">
        <f>IF('Données projet'!$A$36&gt;35,N69+M70-V69,IF(A70&lt;'Données projet'!$A$36,$K$205^A70,IF(A70='Données projet'!$A$36,'Données projet'!$B$36,N69+M70-V69)))</f>
        <v>210.96474358974362</v>
      </c>
      <c r="O70" s="13">
        <f>N70*VLOOKUP('Données projet'!$B$9,Paramètres!$A$1:$I$89,3,0)*VLOOKUP('Données projet'!$B$9,Paramètres!$A$1:$I$89,5,0)</f>
        <v>190.88090000000003</v>
      </c>
      <c r="P70" s="13">
        <f t="shared" si="87"/>
        <v>47.734654873168694</v>
      </c>
      <c r="Q70" s="20">
        <f t="shared" si="54"/>
        <v>415.58875807076885</v>
      </c>
      <c r="R70" s="59">
        <f t="shared" si="55"/>
        <v>708.92209140410216</v>
      </c>
      <c r="S70" s="59">
        <f ca="1">AVERAGE(OFFSET($R$3,0,0,'Données projet'!$E$9+1,1))-AVERAGE(OFFSET($H$3,0,0,'Données projet'!$E$9+1,1))</f>
        <v>221.7429870520005</v>
      </c>
      <c r="T70" s="59">
        <f t="shared" si="88"/>
        <v>182.2029938397186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0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>
        <f>VLOOKUP(A70,'Données projet'!$A$61:$I$81,2,0)</f>
        <v>167.85897435897436</v>
      </c>
      <c r="AG70" s="12">
        <f>VLOOKUP(A70,'Données projet'!$A$61:$I$81,9,0)</f>
        <v>5.9431089743589762</v>
      </c>
      <c r="AH70" s="12">
        <f t="array" ref="AH70">INDEX(AG:AG,MIN(IF(ISNUMBER(AG70:AG266),ROW(AG70:AG266),"")))</f>
        <v>5.9431089743589762</v>
      </c>
      <c r="AI70" s="13">
        <f>IF('Données projet'!$A$62&gt;35,AI69+AH70-AQ69,IF(A70&lt;'Données projet'!$A$62,$AF$205^A70,IF(A70='Données projet'!$A$62,'Données projet'!$B$62,AI69+AH70-AQ69)))</f>
        <v>167.85897435897436</v>
      </c>
      <c r="AJ70" s="13">
        <f>AI70*VLOOKUP('Données projet'!$B$10,Paramètres!$A$1:$I$89,3,0)*VLOOKUP('Données projet'!$B$10,Paramètres!$A$1:$I$89,5,0)</f>
        <v>151.87880000000001</v>
      </c>
      <c r="AK70" s="13">
        <f t="shared" si="89"/>
        <v>39.005239858021888</v>
      </c>
      <c r="AL70" s="20">
        <f t="shared" si="58"/>
        <v>332.45636941938818</v>
      </c>
      <c r="AM70" s="59">
        <f t="shared" si="59"/>
        <v>625.7897027527215</v>
      </c>
      <c r="AN70" s="59">
        <f ca="1">AVERAGE(OFFSET($AM$3,0,0,'Données projet'!$E$10+1,1))-AVERAGE(OFFSET($H$3,0,0,'Données projet'!$E$10+1,1))</f>
        <v>153.45079678708987</v>
      </c>
      <c r="AO70" s="59">
        <f t="shared" si="90"/>
        <v>115.4217868409637</v>
      </c>
      <c r="AP70" s="15">
        <f>IF(ISNA(VLOOKUP(A70,'Données projet'!$A$61:$I$81,3,0)),0,VLOOKUP(A70,'Données projet'!$A$61:$I$81,3,0))</f>
        <v>4</v>
      </c>
      <c r="AQ70" s="15">
        <f>IF(ISNA(VLOOKUP(A70,'Données projet'!$A$61:$I$81,4,0)),0,VLOOKUP(A70,'Données projet'!$A$61:$I$81,4,0))</f>
        <v>31.993589743589741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13.737499999999997</v>
      </c>
      <c r="BD70" s="12">
        <f>IF('Données projet'!$A$88&gt;35,BD69+BC70-BL69,IF(A70&lt;'Données projet'!$A$88,$BA$205^A70,IF(A70='Données projet'!$A$88,'Données projet'!$B$88,BD69+BC70-BL69)))</f>
        <v>359.00384615384615</v>
      </c>
      <c r="BE70" s="13">
        <f>BD70*VLOOKUP('Données projet'!$B$11,Paramètres!$A$1:$I$89,3,0)*VLOOKUP('Données projet'!$B$11,Paramètres!$A$1:$I$89,5,0)</f>
        <v>168.0138</v>
      </c>
      <c r="BF70" s="13">
        <f t="shared" si="91"/>
        <v>42.644877049412187</v>
      </c>
      <c r="BG70" s="20">
        <f t="shared" si="61"/>
        <v>366.89719586105952</v>
      </c>
      <c r="BH70" s="59">
        <f t="shared" si="62"/>
        <v>660.23052919439283</v>
      </c>
      <c r="BI70" s="59">
        <f ca="1">AVERAGE(OFFSET($BH$3,0,0,'Données projet'!$E$11+1,1))-AVERAGE(OFFSET($H$3,0,0,'Données projet'!$E$11+1,1))</f>
        <v>158.58786357608489</v>
      </c>
      <c r="BJ70" s="59">
        <f t="shared" si="92"/>
        <v>163.20074068819849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0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7.8</v>
      </c>
      <c r="BY70" s="12">
        <f>IF('Données projet'!$A$114&gt;35,BY69+BX70-CG69,IF(A70&lt;'Données projet'!$A$114,$BV$205^A70,IF(A70='Données projet'!$A$114,'Données projet'!$B$114,BY69+BX70-CG69)))</f>
        <v>403.59999999999997</v>
      </c>
      <c r="BZ70" s="13">
        <f>BY70*VLOOKUP('Données projet'!$B$12,Paramètres!$A$1:$I$89,3,0)*VLOOKUP('Données projet'!$B$12,Paramètres!$A$1:$I$89,5,0)</f>
        <v>251.84639999999999</v>
      </c>
      <c r="CA70" s="13">
        <f t="shared" si="93"/>
        <v>60.981150137731454</v>
      </c>
      <c r="CB70" s="20">
        <f t="shared" si="64"/>
        <v>544.84131648988216</v>
      </c>
      <c r="CC70" s="59">
        <f t="shared" si="65"/>
        <v>838.17464982321553</v>
      </c>
      <c r="CD70" s="59">
        <f ca="1">AVERAGE(OFFSET($CC$3,0,0,'Données projet'!$E$12+1,1))-AVERAGE(OFFSET($H$3,0,0,'Données projet'!$E$12+1,1))</f>
        <v>255.41017495879987</v>
      </c>
      <c r="CE70" s="59">
        <f t="shared" si="94"/>
        <v>297.50513563712764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4.0099759555349008</v>
      </c>
      <c r="CL70" s="21">
        <f>EXP(-LN(2)/25)*CL69+(1-EXP(-LN(2)/25))/(LN(2)/25)*Calculateur!CG70*Calculateur!CI70*VLOOKUP('Données projet'!$B$12,Paramètres!$A$1:$I$89,3,0)*0.475*44/12</f>
        <v>9.9910357660149387</v>
      </c>
      <c r="CM70" s="21">
        <f>EXP(-LN(2)/2)*CM69+(1-EXP(-LN(2)/2))/(LN(2)/2)*CG70*CJ70*VLOOKUP('Données projet'!$B$12,Paramètres!$A$1:$I$89,3,0)*0.475*44/12</f>
        <v>6.5819731605298886E-5</v>
      </c>
      <c r="CN70" s="22">
        <f t="shared" si="66"/>
        <v>14.001077541281445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6.461538461538467</v>
      </c>
      <c r="CT70" s="12">
        <f>IF('Données projet'!$A$140&gt;35,CT69+CS70-DB69,IF(A70&lt;'Données projet'!$A$140,$CQ$205^A70,IF(A70='Données projet'!$A$140,'Données projet'!$B$140,CT69+CS70-DB69)))</f>
        <v>273.91538461538448</v>
      </c>
      <c r="CU70" s="17">
        <f>CT70*VLOOKUP('Données projet'!$B$13,Paramètres!$A$1:$I$89,3,0)*VLOOKUP('Données projet'!$B$13,Paramètres!$A$1:$I$89,5,0)</f>
        <v>156.67959999999994</v>
      </c>
      <c r="CV70" s="13">
        <f t="shared" si="95"/>
        <v>40.092678306252019</v>
      </c>
      <c r="CW70" s="20">
        <f t="shared" si="67"/>
        <v>342.71171805005548</v>
      </c>
      <c r="CX70" s="59">
        <f t="shared" si="68"/>
        <v>636.0450513833888</v>
      </c>
      <c r="CY70" s="59">
        <f ca="1">AVERAGE(OFFSET($CX$3,0,0,'Données projet'!$E$13+1,1))-AVERAGE(OFFSET($H$3,0,0,'Données projet'!$E$13+1,1))</f>
        <v>134.70214882504786</v>
      </c>
      <c r="CZ70" s="59">
        <f t="shared" si="96"/>
        <v>102.18553029667771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0.51085855263112478</v>
      </c>
      <c r="DG70" s="21">
        <f>EXP(-LN(2)/25)*DG69+(1-EXP(-LN(2)/25))/(LN(2)/25)*Calculateur!DB70*Calculateur!DD70*VLOOKUP('Données projet'!$B$13,Paramètres!$A$1:$I$89,3,0)*0.475*44/12</f>
        <v>4.4989083705569408</v>
      </c>
      <c r="DH70" s="21">
        <f>EXP(-LN(2)/2)*DH69+(1-EXP(-LN(2)/2))/(LN(2)/2)*DB70*DE70*VLOOKUP('Données projet'!$B$13,Paramètres!$A$1:$I$89,3,0)*0.475*44/12</f>
        <v>2.0785871942235779E-5</v>
      </c>
      <c r="DI70" s="22">
        <f t="shared" si="69"/>
        <v>5.0097877090600074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9.1830769230769249</v>
      </c>
      <c r="DO70" s="12">
        <f>IF('Données projet'!$A$166&gt;35,DO69+DN70-DW69,IF(A70&lt;'Données projet'!$A$166,$DL$205^A70,IF(A70='Données projet'!$A$166,'Données projet'!$B$166,DO69+DN70-DW69)))</f>
        <v>352.44307692307677</v>
      </c>
      <c r="DP70" s="17">
        <f>DO70*VLOOKUP('Données projet'!$B$14,Paramètres!$A$1:$I$89,3,0)*VLOOKUP('Données projet'!$B$14,Paramètres!$A$1:$I$89,5,0)</f>
        <v>210.76095999999993</v>
      </c>
      <c r="DQ70" s="13">
        <f t="shared" si="97"/>
        <v>52.101839581538208</v>
      </c>
      <c r="DR70" s="20">
        <f t="shared" si="70"/>
        <v>457.81937593784551</v>
      </c>
      <c r="DS70" s="59">
        <f t="shared" si="71"/>
        <v>751.15270927117876</v>
      </c>
      <c r="DT70" s="59">
        <f ca="1">AVERAGE(OFFSET($DS$3,0,0,'Données projet'!$E$14+1,1))-AVERAGE(OFFSET($H$3,0,0,'Données projet'!$E$14+1,1))</f>
        <v>179.32848817523677</v>
      </c>
      <c r="DU70" s="59">
        <f t="shared" si="98"/>
        <v>131.3292389103035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4.7249106793205753</v>
      </c>
      <c r="EC70" s="21">
        <f>EXP(-LN(2)/2)*EC69+(1-EXP(-LN(2)/2))/(LN(2)/2)*DW70*DZ70*VLOOKUP('Données projet'!$B$14,Paramètres!$A$1:$I$89,3,0)*0.475*44/12</f>
        <v>1.4196054936024755E-5</v>
      </c>
      <c r="ED70" s="22">
        <f t="shared" si="72"/>
        <v>4.7249248753755113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-2.2737367544323206E-13</v>
      </c>
      <c r="EK70" s="17">
        <f>EJ70*VLOOKUP('Données projet'!$B$15,Paramètres!$A$1:$I$89,3,0)*VLOOKUP('Données projet'!$B$15,Paramètres!$A$1:$I$89,5,0)</f>
        <v>-1.0049916454590858E-13</v>
      </c>
      <c r="EL70" s="13" t="e">
        <f t="shared" si="99"/>
        <v>#NUM!</v>
      </c>
      <c r="EM70" s="20" t="e">
        <f t="shared" si="73"/>
        <v>#NUM!</v>
      </c>
      <c r="EN70" s="59" t="e">
        <f t="shared" si="74"/>
        <v>#NUM!</v>
      </c>
      <c r="EO70" s="59">
        <f ca="1">AVERAGE(OFFSET($EN$3,0,0,'Données projet'!$E$15+1,1))-AVERAGE(OFFSET($H$3,0,0,'Données projet'!$E$15+1,1))</f>
        <v>191.932060106699</v>
      </c>
      <c r="EP70" s="59">
        <f t="shared" si="100"/>
        <v>260.28593152736903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1.1742024225754528</v>
      </c>
      <c r="EW70" s="21">
        <f>EXP(-LN(2)/25)*EW69+(1-EXP(-LN(2)/25))/(LN(2)/25)*Calculateur!ER70*Calculateur!ET70*VLOOKUP('Données projet'!$B$15,Paramètres!$A$1:$I$89,3,0)*0.475*44/12</f>
        <v>4.5240355206068132</v>
      </c>
      <c r="EX70" s="21">
        <f>EXP(-LN(2)/2)*EX69+(1-EXP(-LN(2)/2))/(LN(2)/2)*ER70*EU70*VLOOKUP('Données projet'!$B$15,Paramètres!$A$1:$I$89,3,0)*0.475*44/12</f>
        <v>3.6101333229091987E-6</v>
      </c>
      <c r="EY70" s="22">
        <f t="shared" si="75"/>
        <v>5.6982415533155892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3.7</v>
      </c>
      <c r="FE70" s="12">
        <f>IF('Données projet'!$A$218&gt;35,FE69+FD70-FM69,IF(A70&lt;'Données projet'!$A$218,$FB$205^A70,IF(A70='Données projet'!$A$218,'Données projet'!$B$218,FE69+FD70-FM69)))</f>
        <v>130.9</v>
      </c>
      <c r="FF70" s="17">
        <f>FE70*VLOOKUP('Données projet'!$B$16,Paramètres!$A$1:$I$89,3,0)*VLOOKUP('Données projet'!$B$16,Paramètres!$A$1:$I$89,5,0)</f>
        <v>126.60648</v>
      </c>
      <c r="FG70" s="13">
        <f t="shared" si="101"/>
        <v>33.211013450267977</v>
      </c>
      <c r="FH70" s="20">
        <f t="shared" si="76"/>
        <v>278.3488010925501</v>
      </c>
      <c r="FI70" s="59">
        <f t="shared" si="77"/>
        <v>571.68213442588342</v>
      </c>
      <c r="FJ70" s="59">
        <f ca="1">AVERAGE(OFFSET($FI$3,0,0,'Données projet'!$E$16+1,1))-AVERAGE(OFFSET($H$3,0,0,'Données projet'!$E$16+1,1))</f>
        <v>102.86738524979938</v>
      </c>
      <c r="FK70" s="59">
        <f t="shared" si="102"/>
        <v>56.347130462109817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0</v>
      </c>
      <c r="FR70" s="21">
        <f>EXP(-LN(2)/25)*FR69+(1-EXP(-LN(2)/25))/(LN(2)/25)*Calculateur!FM70*Calculateur!FO70*VLOOKUP('Données projet'!$B$16,Paramètres!$A$1:$I$89,3,0)*0.475*44/12</f>
        <v>0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0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7.9</v>
      </c>
      <c r="FZ70" s="12">
        <f>IF('Données projet'!$A$244&gt;35,FZ69+FY70-GH69,IF(A70&lt;'Données projet'!$A$244,$FW$205^A70,IF(A70='Données projet'!$A$244,'Données projet'!$B$244,FZ69+FY70-GH69)))</f>
        <v>252.30000000000018</v>
      </c>
      <c r="GA70" s="17">
        <f>FZ70*VLOOKUP('Données projet'!$B$17,Paramètres!$A$1:$I$89,3,0)*VLOOKUP('Données projet'!$B$17,Paramètres!$A$1:$I$89,5,0)</f>
        <v>169.24284000000011</v>
      </c>
      <c r="GB70" s="13">
        <f t="shared" si="103"/>
        <v>42.920400902208534</v>
      </c>
      <c r="GC70" s="20">
        <f t="shared" si="79"/>
        <v>369.51764457134669</v>
      </c>
      <c r="GD70" s="59">
        <f t="shared" si="80"/>
        <v>662.85097790468001</v>
      </c>
      <c r="GE70" s="59">
        <f ca="1">AVERAGE(OFFSET($GD$3,0,0,'Données projet'!$E$17+1,1))-AVERAGE(OFFSET($H$3,0,0,'Données projet'!$E$17+1,1))</f>
        <v>168.00454652899231</v>
      </c>
      <c r="GF70" s="59">
        <f t="shared" si="104"/>
        <v>135.31958994080446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0</v>
      </c>
      <c r="GM70" s="21">
        <f>EXP(-LN(2)/25)*GM69+(1-EXP(-LN(2)/25))/(LN(2)/25)*Calculateur!GH70*Calculateur!GJ70*VLOOKUP('Données projet'!$B$17,Paramètres!$A$1:$I$89,3,0)*0.475*44/12</f>
        <v>0</v>
      </c>
      <c r="GN70" s="21">
        <f>EXP(-LN(2)/2)*GN69+(1-EXP(-LN(2)/2))/(LN(2)/2)*GH70*GK70*VLOOKUP('Données projet'!$B$17,Paramètres!$A$1:$I$89,3,0)*0.475*44/12</f>
        <v>0</v>
      </c>
      <c r="GO70" s="21">
        <f t="shared" si="81"/>
        <v>0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8.1001602564102555</v>
      </c>
      <c r="N71" s="13">
        <f>IF('Données projet'!$A$36&gt;35,N70+M71-V70,IF(A71&lt;'Données projet'!$A$36,$K$205^A71,IF(A71='Données projet'!$A$36,'Données projet'!$B$36,N70+M71-V70)))</f>
        <v>219.06490384615387</v>
      </c>
      <c r="O71" s="13">
        <f>N71*VLOOKUP('Données projet'!$B$9,Paramètres!$A$1:$I$89,3,0)*VLOOKUP('Données projet'!$B$9,Paramètres!$A$1:$I$89,5,0)</f>
        <v>198.20992500000003</v>
      </c>
      <c r="P71" s="13">
        <f t="shared" si="87"/>
        <v>49.350557805795454</v>
      </c>
      <c r="Q71" s="20">
        <f t="shared" si="54"/>
        <v>431.16784088676042</v>
      </c>
      <c r="R71" s="59">
        <f t="shared" si="55"/>
        <v>724.50117422009373</v>
      </c>
      <c r="S71" s="59">
        <f ca="1">AVERAGE(OFFSET($R$3,0,0,'Données projet'!$E$9+1,1))-AVERAGE(OFFSET($H$3,0,0,'Données projet'!$E$9+1,1))</f>
        <v>221.7429870520005</v>
      </c>
      <c r="T71" s="59">
        <f t="shared" si="88"/>
        <v>182.2029938397186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0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5.6899038461538431</v>
      </c>
      <c r="AI71" s="13">
        <f>IF('Données projet'!$A$62&gt;35,AI70+AH71-AQ70,IF(A71&lt;'Données projet'!$A$62,$AF$205^A71,IF(A71='Données projet'!$A$62,'Données projet'!$B$62,AI70+AH71-AQ70)))</f>
        <v>141.55528846153845</v>
      </c>
      <c r="AJ71" s="13">
        <f>AI71*VLOOKUP('Données projet'!$B$10,Paramètres!$A$1:$I$89,3,0)*VLOOKUP('Données projet'!$B$10,Paramètres!$A$1:$I$89,5,0)</f>
        <v>128.07922499999998</v>
      </c>
      <c r="AK71" s="13">
        <f t="shared" si="89"/>
        <v>33.552140849481908</v>
      </c>
      <c r="AL71" s="20">
        <f t="shared" si="58"/>
        <v>281.50796218784762</v>
      </c>
      <c r="AM71" s="59">
        <f t="shared" si="59"/>
        <v>574.84129552118088</v>
      </c>
      <c r="AN71" s="59">
        <f ca="1">AVERAGE(OFFSET($AM$3,0,0,'Données projet'!$E$10+1,1))-AVERAGE(OFFSET($H$3,0,0,'Données projet'!$E$10+1,1))</f>
        <v>153.45079678708987</v>
      </c>
      <c r="AO71" s="59">
        <f t="shared" si="90"/>
        <v>115.4217868409637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13.737499999999997</v>
      </c>
      <c r="BD71" s="12">
        <f>IF('Données projet'!$A$88&gt;35,BD70+BC71-BL70,IF(A71&lt;'Données projet'!$A$88,$BA$205^A71,IF(A71='Données projet'!$A$88,'Données projet'!$B$88,BD70+BC71-BL70)))</f>
        <v>372.74134615384617</v>
      </c>
      <c r="BE71" s="13">
        <f>BD71*VLOOKUP('Données projet'!$B$11,Paramètres!$A$1:$I$89,3,0)*VLOOKUP('Données projet'!$B$11,Paramètres!$A$1:$I$89,5,0)</f>
        <v>174.44295000000002</v>
      </c>
      <c r="BF71" s="13">
        <f t="shared" si="91"/>
        <v>44.083597545116064</v>
      </c>
      <c r="BG71" s="20">
        <f t="shared" si="61"/>
        <v>380.60040364107721</v>
      </c>
      <c r="BH71" s="59">
        <f t="shared" si="62"/>
        <v>673.93373697441052</v>
      </c>
      <c r="BI71" s="59">
        <f ca="1">AVERAGE(OFFSET($BH$3,0,0,'Données projet'!$E$11+1,1))-AVERAGE(OFFSET($H$3,0,0,'Données projet'!$E$11+1,1))</f>
        <v>158.58786357608489</v>
      </c>
      <c r="BJ71" s="59">
        <f t="shared" si="92"/>
        <v>163.20074068819849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0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7.8</v>
      </c>
      <c r="BY71" s="12">
        <f>IF('Données projet'!$A$114&gt;35,BY70+BX71-CG70,IF(A71&lt;'Données projet'!$A$114,$BV$205^A71,IF(A71='Données projet'!$A$114,'Données projet'!$B$114,BY70+BX71-CG70)))</f>
        <v>411.4</v>
      </c>
      <c r="BZ71" s="13">
        <f>BY71*VLOOKUP('Données projet'!$B$12,Paramètres!$A$1:$I$89,3,0)*VLOOKUP('Données projet'!$B$12,Paramètres!$A$1:$I$89,5,0)</f>
        <v>256.71359999999999</v>
      </c>
      <c r="CA71" s="13">
        <f t="shared" si="93"/>
        <v>62.021332500424947</v>
      </c>
      <c r="CB71" s="20">
        <f t="shared" si="64"/>
        <v>555.13000743824</v>
      </c>
      <c r="CC71" s="59">
        <f t="shared" si="65"/>
        <v>848.46334077157326</v>
      </c>
      <c r="CD71" s="59">
        <f ca="1">AVERAGE(OFFSET($CC$3,0,0,'Données projet'!$E$12+1,1))-AVERAGE(OFFSET($H$3,0,0,'Données projet'!$E$12+1,1))</f>
        <v>255.41017495879987</v>
      </c>
      <c r="CE71" s="59">
        <f t="shared" si="94"/>
        <v>297.50513563712764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3.9313427728906873</v>
      </c>
      <c r="CL71" s="21">
        <f>EXP(-LN(2)/25)*CL70+(1-EXP(-LN(2)/25))/(LN(2)/25)*Calculateur!CG71*Calculateur!CI71*VLOOKUP('Données projet'!$B$12,Paramètres!$A$1:$I$89,3,0)*0.475*44/12</f>
        <v>9.7178303675875242</v>
      </c>
      <c r="CM71" s="21">
        <f>EXP(-LN(2)/2)*CM70+(1-EXP(-LN(2)/2))/(LN(2)/2)*CG71*CJ71*VLOOKUP('Données projet'!$B$12,Paramètres!$A$1:$I$89,3,0)*0.475*44/12</f>
        <v>4.6541578553985367E-5</v>
      </c>
      <c r="CN71" s="22">
        <f t="shared" si="66"/>
        <v>13.649219682056765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6.461538461538467</v>
      </c>
      <c r="CT71" s="12">
        <f>IF('Données projet'!$A$140&gt;35,CT70+CS71-DB70,IF(A71&lt;'Données projet'!$A$140,$CQ$205^A71,IF(A71='Données projet'!$A$140,'Données projet'!$B$140,CT70+CS71-DB70)))</f>
        <v>280.37692307692294</v>
      </c>
      <c r="CU71" s="17">
        <f>CT71*VLOOKUP('Données projet'!$B$13,Paramètres!$A$1:$I$89,3,0)*VLOOKUP('Données projet'!$B$13,Paramètres!$A$1:$I$89,5,0)</f>
        <v>160.37559999999993</v>
      </c>
      <c r="CV71" s="13">
        <f t="shared" si="95"/>
        <v>40.927221470715807</v>
      </c>
      <c r="CW71" s="20">
        <f t="shared" si="67"/>
        <v>350.60241406149657</v>
      </c>
      <c r="CX71" s="59">
        <f t="shared" si="68"/>
        <v>643.93574739482983</v>
      </c>
      <c r="CY71" s="59">
        <f ca="1">AVERAGE(OFFSET($CX$3,0,0,'Données projet'!$E$13+1,1))-AVERAGE(OFFSET($H$3,0,0,'Données projet'!$E$13+1,1))</f>
        <v>134.70214882504786</v>
      </c>
      <c r="CZ71" s="59">
        <f t="shared" si="96"/>
        <v>102.18553029667771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0.50084092800697833</v>
      </c>
      <c r="DG71" s="21">
        <f>EXP(-LN(2)/25)*DG70+(1-EXP(-LN(2)/25))/(LN(2)/25)*Calculateur!DB71*Calculateur!DD71*VLOOKUP('Données projet'!$B$13,Paramètres!$A$1:$I$89,3,0)*0.475*44/12</f>
        <v>4.3758854845767523</v>
      </c>
      <c r="DH71" s="21">
        <f>EXP(-LN(2)/2)*DH70+(1-EXP(-LN(2)/2))/(LN(2)/2)*DB71*DE71*VLOOKUP('Données projet'!$B$13,Paramètres!$A$1:$I$89,3,0)*0.475*44/12</f>
        <v>1.4697831003230113E-5</v>
      </c>
      <c r="DI71" s="22">
        <f t="shared" si="69"/>
        <v>4.8767411104147333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9.1830769230769249</v>
      </c>
      <c r="DO71" s="12">
        <f>IF('Données projet'!$A$166&gt;35,DO70+DN71-DW70,IF(A71&lt;'Données projet'!$A$166,$DL$205^A71,IF(A71='Données projet'!$A$166,'Données projet'!$B$166,DO70+DN71-DW70)))</f>
        <v>361.62615384615367</v>
      </c>
      <c r="DP71" s="17">
        <f>DO71*VLOOKUP('Données projet'!$B$14,Paramètres!$A$1:$I$89,3,0)*VLOOKUP('Données projet'!$B$14,Paramètres!$A$1:$I$89,5,0)</f>
        <v>216.25243999999989</v>
      </c>
      <c r="DQ71" s="13">
        <f t="shared" si="97"/>
        <v>53.299559396285737</v>
      </c>
      <c r="DR71" s="20">
        <f t="shared" si="70"/>
        <v>469.46973228186403</v>
      </c>
      <c r="DS71" s="59">
        <f t="shared" si="71"/>
        <v>762.80306561519728</v>
      </c>
      <c r="DT71" s="59">
        <f ca="1">AVERAGE(OFFSET($DS$3,0,0,'Données projet'!$E$14+1,1))-AVERAGE(OFFSET($H$3,0,0,'Données projet'!$E$14+1,1))</f>
        <v>179.32848817523677</v>
      </c>
      <c r="DU71" s="59">
        <f t="shared" si="98"/>
        <v>131.3292389103035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4.5957077483223001</v>
      </c>
      <c r="EC71" s="21">
        <f>EXP(-LN(2)/2)*EC70+(1-EXP(-LN(2)/2))/(LN(2)/2)*DW71*DZ71*VLOOKUP('Données projet'!$B$14,Paramètres!$A$1:$I$89,3,0)*0.475*44/12</f>
        <v>1.0038126711359864E-5</v>
      </c>
      <c r="ED71" s="22">
        <f t="shared" si="72"/>
        <v>4.5957177864490113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-2.2737367544323206E-13</v>
      </c>
      <c r="EK71" s="17">
        <f>EJ71*VLOOKUP('Données projet'!$B$15,Paramètres!$A$1:$I$89,3,0)*VLOOKUP('Données projet'!$B$15,Paramètres!$A$1:$I$89,5,0)</f>
        <v>-1.0049916454590858E-13</v>
      </c>
      <c r="EL71" s="13" t="e">
        <f t="shared" si="99"/>
        <v>#NUM!</v>
      </c>
      <c r="EM71" s="20" t="e">
        <f t="shared" si="73"/>
        <v>#NUM!</v>
      </c>
      <c r="EN71" s="59" t="e">
        <f t="shared" si="74"/>
        <v>#NUM!</v>
      </c>
      <c r="EO71" s="59">
        <f ca="1">AVERAGE(OFFSET($EN$3,0,0,'Données projet'!$E$15+1,1))-AVERAGE(OFFSET($H$3,0,0,'Données projet'!$E$15+1,1))</f>
        <v>191.932060106699</v>
      </c>
      <c r="EP71" s="59">
        <f t="shared" si="100"/>
        <v>260.28593152736903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1.1511770292615078</v>
      </c>
      <c r="EW71" s="21">
        <f>EXP(-LN(2)/25)*EW70+(1-EXP(-LN(2)/25))/(LN(2)/25)*Calculateur!ER71*Calculateur!ET71*VLOOKUP('Données projet'!$B$15,Paramètres!$A$1:$I$89,3,0)*0.475*44/12</f>
        <v>4.4003255313871321</v>
      </c>
      <c r="EX71" s="21">
        <f>EXP(-LN(2)/2)*EX70+(1-EXP(-LN(2)/2))/(LN(2)/2)*ER71*EU71*VLOOKUP('Données projet'!$B$15,Paramètres!$A$1:$I$89,3,0)*0.475*44/12</f>
        <v>2.5527497536166185E-6</v>
      </c>
      <c r="EY71" s="22">
        <f t="shared" si="75"/>
        <v>5.5515051133983935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3.7</v>
      </c>
      <c r="FE71" s="12">
        <f>IF('Données projet'!$A$218&gt;35,FE70+FD71-FM70,IF(A71&lt;'Données projet'!$A$218,$FB$205^A71,IF(A71='Données projet'!$A$218,'Données projet'!$B$218,FE70+FD71-FM70)))</f>
        <v>134.6</v>
      </c>
      <c r="FF71" s="17">
        <f>FE71*VLOOKUP('Données projet'!$B$16,Paramètres!$A$1:$I$89,3,0)*VLOOKUP('Données projet'!$B$16,Paramètres!$A$1:$I$89,5,0)</f>
        <v>130.18512000000001</v>
      </c>
      <c r="FG71" s="13">
        <f t="shared" si="101"/>
        <v>34.039131585848864</v>
      </c>
      <c r="FH71" s="20">
        <f t="shared" si="76"/>
        <v>286.02390484535346</v>
      </c>
      <c r="FI71" s="59">
        <f t="shared" si="77"/>
        <v>579.35723817868677</v>
      </c>
      <c r="FJ71" s="59">
        <f ca="1">AVERAGE(OFFSET($FI$3,0,0,'Données projet'!$E$16+1,1))-AVERAGE(OFFSET($H$3,0,0,'Données projet'!$E$16+1,1))</f>
        <v>102.86738524979938</v>
      </c>
      <c r="FK71" s="59">
        <f t="shared" si="102"/>
        <v>56.347130462109817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0</v>
      </c>
      <c r="FR71" s="21">
        <f>EXP(-LN(2)/25)*FR70+(1-EXP(-LN(2)/25))/(LN(2)/25)*Calculateur!FM71*Calculateur!FO71*VLOOKUP('Données projet'!$B$16,Paramètres!$A$1:$I$89,3,0)*0.475*44/12</f>
        <v>0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0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7.9</v>
      </c>
      <c r="FZ71" s="12">
        <f>IF('Données projet'!$A$244&gt;35,FZ70+FY71-GH70,IF(A71&lt;'Données projet'!$A$244,$FW$205^A71,IF(A71='Données projet'!$A$244,'Données projet'!$B$244,FZ70+FY71-GH70)))</f>
        <v>260.20000000000016</v>
      </c>
      <c r="GA71" s="17">
        <f>FZ71*VLOOKUP('Données projet'!$B$17,Paramètres!$A$1:$I$89,3,0)*VLOOKUP('Données projet'!$B$17,Paramètres!$A$1:$I$89,5,0)</f>
        <v>174.54216000000011</v>
      </c>
      <c r="GB71" s="13">
        <f t="shared" si="103"/>
        <v>44.105749925036427</v>
      </c>
      <c r="GC71" s="20">
        <f t="shared" si="79"/>
        <v>380.81177645277194</v>
      </c>
      <c r="GD71" s="59">
        <f t="shared" si="80"/>
        <v>674.14510978610519</v>
      </c>
      <c r="GE71" s="59">
        <f ca="1">AVERAGE(OFFSET($GD$3,0,0,'Données projet'!$E$17+1,1))-AVERAGE(OFFSET($H$3,0,0,'Données projet'!$E$17+1,1))</f>
        <v>168.00454652899231</v>
      </c>
      <c r="GF71" s="59">
        <f t="shared" si="104"/>
        <v>135.31958994080446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0</v>
      </c>
      <c r="GM71" s="21">
        <f>EXP(-LN(2)/25)*GM70+(1-EXP(-LN(2)/25))/(LN(2)/25)*Calculateur!GH71*Calculateur!GJ71*VLOOKUP('Données projet'!$B$17,Paramètres!$A$1:$I$89,3,0)*0.475*44/12</f>
        <v>0</v>
      </c>
      <c r="GN71" s="21">
        <f>EXP(-LN(2)/2)*GN70+(1-EXP(-LN(2)/2))/(LN(2)/2)*GH71*GK71*VLOOKUP('Données projet'!$B$17,Paramètres!$A$1:$I$89,3,0)*0.475*44/12</f>
        <v>0</v>
      </c>
      <c r="GO71" s="21">
        <f t="shared" si="81"/>
        <v>0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8.1001602564102555</v>
      </c>
      <c r="N72" s="13">
        <f>IF('Données projet'!$A$36&gt;35,N71+M72-V71,IF(A72&lt;'Données projet'!$A$36,$K$205^A72,IF(A72='Données projet'!$A$36,'Données projet'!$B$36,N71+M72-V71)))</f>
        <v>227.16506410256412</v>
      </c>
      <c r="O72" s="13">
        <f>N72*VLOOKUP('Données projet'!$B$9,Paramètres!$A$1:$I$89,3,0)*VLOOKUP('Données projet'!$B$9,Paramètres!$A$1:$I$89,5,0)</f>
        <v>205.53895</v>
      </c>
      <c r="P72" s="13">
        <f t="shared" si="87"/>
        <v>50.95951914247815</v>
      </c>
      <c r="Q72" s="20">
        <f t="shared" si="54"/>
        <v>446.73483375648271</v>
      </c>
      <c r="R72" s="59">
        <f t="shared" si="55"/>
        <v>740.06816708981603</v>
      </c>
      <c r="S72" s="59">
        <f ca="1">AVERAGE(OFFSET($R$3,0,0,'Données projet'!$E$9+1,1))-AVERAGE(OFFSET($H$3,0,0,'Données projet'!$E$9+1,1))</f>
        <v>221.7429870520005</v>
      </c>
      <c r="T72" s="59">
        <f t="shared" si="88"/>
        <v>182.2029938397186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0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5.6899038461538431</v>
      </c>
      <c r="AI72" s="13">
        <f>IF('Données projet'!$A$62&gt;35,AI71+AH72-AQ71,IF(A72&lt;'Données projet'!$A$62,$AF$205^A72,IF(A72='Données projet'!$A$62,'Données projet'!$B$62,AI71+AH72-AQ71)))</f>
        <v>147.24519230769229</v>
      </c>
      <c r="AJ72" s="13">
        <f>AI72*VLOOKUP('Données projet'!$B$10,Paramètres!$A$1:$I$89,3,0)*VLOOKUP('Données projet'!$B$10,Paramètres!$A$1:$I$89,5,0)</f>
        <v>133.22744999999998</v>
      </c>
      <c r="AK72" s="13">
        <f t="shared" si="89"/>
        <v>34.741060528773644</v>
      </c>
      <c r="AL72" s="20">
        <f t="shared" si="58"/>
        <v>292.545155837614</v>
      </c>
      <c r="AM72" s="59">
        <f t="shared" si="59"/>
        <v>585.87848917094732</v>
      </c>
      <c r="AN72" s="59">
        <f ca="1">AVERAGE(OFFSET($AM$3,0,0,'Données projet'!$E$10+1,1))-AVERAGE(OFFSET($H$3,0,0,'Données projet'!$E$10+1,1))</f>
        <v>153.45079678708987</v>
      </c>
      <c r="AO72" s="59">
        <f t="shared" si="90"/>
        <v>115.4217868409637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13.737499999999997</v>
      </c>
      <c r="BD72" s="12">
        <f>IF('Données projet'!$A$88&gt;35,BD71+BC72-BL71,IF(A72&lt;'Données projet'!$A$88,$BA$205^A72,IF(A72='Données projet'!$A$88,'Données projet'!$B$88,BD71+BC72-BL71)))</f>
        <v>386.47884615384618</v>
      </c>
      <c r="BE72" s="13">
        <f>BD72*VLOOKUP('Données projet'!$B$11,Paramètres!$A$1:$I$89,3,0)*VLOOKUP('Données projet'!$B$11,Paramètres!$A$1:$I$89,5,0)</f>
        <v>180.87209999999999</v>
      </c>
      <c r="BF72" s="13">
        <f t="shared" si="91"/>
        <v>45.516157736157588</v>
      </c>
      <c r="BG72" s="20">
        <f t="shared" si="61"/>
        <v>394.29288222380774</v>
      </c>
      <c r="BH72" s="59">
        <f t="shared" si="62"/>
        <v>687.62621555714099</v>
      </c>
      <c r="BI72" s="59">
        <f ca="1">AVERAGE(OFFSET($BH$3,0,0,'Données projet'!$E$11+1,1))-AVERAGE(OFFSET($H$3,0,0,'Données projet'!$E$11+1,1))</f>
        <v>158.58786357608489</v>
      </c>
      <c r="BJ72" s="59">
        <f t="shared" si="92"/>
        <v>163.20074068819849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0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7.8</v>
      </c>
      <c r="BY72" s="12">
        <f>IF('Données projet'!$A$114&gt;35,BY71+BX72-CG71,IF(A72&lt;'Données projet'!$A$114,$BV$205^A72,IF(A72='Données projet'!$A$114,'Données projet'!$B$114,BY71+BX72-CG71)))</f>
        <v>419.2</v>
      </c>
      <c r="BZ72" s="13">
        <f>BY72*VLOOKUP('Données projet'!$B$12,Paramètres!$A$1:$I$89,3,0)*VLOOKUP('Données projet'!$B$12,Paramètres!$A$1:$I$89,5,0)</f>
        <v>261.58080000000001</v>
      </c>
      <c r="CA72" s="13">
        <f t="shared" si="93"/>
        <v>63.05922166723839</v>
      </c>
      <c r="CB72" s="20">
        <f t="shared" si="64"/>
        <v>565.4147044037735</v>
      </c>
      <c r="CC72" s="59">
        <f t="shared" si="65"/>
        <v>858.74803773710687</v>
      </c>
      <c r="CD72" s="59">
        <f ca="1">AVERAGE(OFFSET($CC$3,0,0,'Données projet'!$E$12+1,1))-AVERAGE(OFFSET($H$3,0,0,'Données projet'!$E$12+1,1))</f>
        <v>255.41017495879987</v>
      </c>
      <c r="CE72" s="59">
        <f t="shared" si="94"/>
        <v>297.50513563712764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3.8542515389966212</v>
      </c>
      <c r="CL72" s="21">
        <f>EXP(-LN(2)/25)*CL71+(1-EXP(-LN(2)/25))/(LN(2)/25)*Calculateur!CG72*Calculateur!CI72*VLOOKUP('Données projet'!$B$12,Paramètres!$A$1:$I$89,3,0)*0.475*44/12</f>
        <v>9.452095785147355</v>
      </c>
      <c r="CM72" s="21">
        <f>EXP(-LN(2)/2)*CM71+(1-EXP(-LN(2)/2))/(LN(2)/2)*CG72*CJ72*VLOOKUP('Données projet'!$B$12,Paramètres!$A$1:$I$89,3,0)*0.475*44/12</f>
        <v>3.2909865802649443E-5</v>
      </c>
      <c r="CN72" s="22">
        <f t="shared" si="66"/>
        <v>13.306380234009779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6.461538461538467</v>
      </c>
      <c r="CT72" s="12">
        <f>IF('Données projet'!$A$140&gt;35,CT71+CS72-DB71,IF(A72&lt;'Données projet'!$A$140,$CQ$205^A72,IF(A72='Données projet'!$A$140,'Données projet'!$B$140,CT71+CS72-DB71)))</f>
        <v>286.83846153846139</v>
      </c>
      <c r="CU72" s="17">
        <f>CT72*VLOOKUP('Données projet'!$B$13,Paramètres!$A$1:$I$89,3,0)*VLOOKUP('Données projet'!$B$13,Paramètres!$A$1:$I$89,5,0)</f>
        <v>164.07159999999993</v>
      </c>
      <c r="CV72" s="13">
        <f t="shared" si="95"/>
        <v>41.759528728312908</v>
      </c>
      <c r="CW72" s="20">
        <f t="shared" si="67"/>
        <v>358.4892158684782</v>
      </c>
      <c r="CX72" s="59">
        <f t="shared" si="68"/>
        <v>651.82254920181151</v>
      </c>
      <c r="CY72" s="59">
        <f ca="1">AVERAGE(OFFSET($CX$3,0,0,'Données projet'!$E$13+1,1))-AVERAGE(OFFSET($H$3,0,0,'Données projet'!$E$13+1,1))</f>
        <v>134.70214882504786</v>
      </c>
      <c r="CZ72" s="59">
        <f t="shared" si="96"/>
        <v>102.18553029667771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0.49101974289156364</v>
      </c>
      <c r="DG72" s="21">
        <f>EXP(-LN(2)/25)*DG71+(1-EXP(-LN(2)/25))/(LN(2)/25)*Calculateur!DB72*Calculateur!DD72*VLOOKUP('Données projet'!$B$13,Paramètres!$A$1:$I$89,3,0)*0.475*44/12</f>
        <v>4.2562266658831849</v>
      </c>
      <c r="DH72" s="21">
        <f>EXP(-LN(2)/2)*DH71+(1-EXP(-LN(2)/2))/(LN(2)/2)*DB72*DE72*VLOOKUP('Données projet'!$B$13,Paramètres!$A$1:$I$89,3,0)*0.475*44/12</f>
        <v>1.0392935971117889E-5</v>
      </c>
      <c r="DI72" s="22">
        <f t="shared" si="69"/>
        <v>4.7472568017107202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9.1830769230769249</v>
      </c>
      <c r="DO72" s="12">
        <f>IF('Données projet'!$A$166&gt;35,DO71+DN72-DW71,IF(A72&lt;'Données projet'!$A$166,$DL$205^A72,IF(A72='Données projet'!$A$166,'Données projet'!$B$166,DO71+DN72-DW71)))</f>
        <v>370.80923076923057</v>
      </c>
      <c r="DP72" s="17">
        <f>DO72*VLOOKUP('Données projet'!$B$14,Paramètres!$A$1:$I$89,3,0)*VLOOKUP('Données projet'!$B$14,Paramètres!$A$1:$I$89,5,0)</f>
        <v>221.74391999999989</v>
      </c>
      <c r="DQ72" s="13">
        <f t="shared" si="97"/>
        <v>54.493743764780973</v>
      </c>
      <c r="DR72" s="20">
        <f t="shared" si="70"/>
        <v>481.11393105699329</v>
      </c>
      <c r="DS72" s="59">
        <f t="shared" si="71"/>
        <v>774.44726439032661</v>
      </c>
      <c r="DT72" s="59">
        <f ca="1">AVERAGE(OFFSET($DS$3,0,0,'Données projet'!$E$14+1,1))-AVERAGE(OFFSET($H$3,0,0,'Données projet'!$E$14+1,1))</f>
        <v>179.32848817523677</v>
      </c>
      <c r="DU72" s="59">
        <f t="shared" si="98"/>
        <v>131.3292389103035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4.4700378782666599</v>
      </c>
      <c r="EC72" s="21">
        <f>EXP(-LN(2)/2)*EC71+(1-EXP(-LN(2)/2))/(LN(2)/2)*DW72*DZ72*VLOOKUP('Données projet'!$B$14,Paramètres!$A$1:$I$89,3,0)*0.475*44/12</f>
        <v>7.0980274680123774E-6</v>
      </c>
      <c r="ED72" s="22">
        <f t="shared" si="72"/>
        <v>4.4700449762941279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-2.2737367544323206E-13</v>
      </c>
      <c r="EK72" s="17">
        <f>EJ72*VLOOKUP('Données projet'!$B$15,Paramètres!$A$1:$I$89,3,0)*VLOOKUP('Données projet'!$B$15,Paramètres!$A$1:$I$89,5,0)</f>
        <v>-1.0049916454590858E-13</v>
      </c>
      <c r="EL72" s="13" t="e">
        <f t="shared" si="99"/>
        <v>#NUM!</v>
      </c>
      <c r="EM72" s="20" t="e">
        <f t="shared" si="73"/>
        <v>#NUM!</v>
      </c>
      <c r="EN72" s="59" t="e">
        <f t="shared" si="74"/>
        <v>#NUM!</v>
      </c>
      <c r="EO72" s="59">
        <f ca="1">AVERAGE(OFFSET($EN$3,0,0,'Données projet'!$E$15+1,1))-AVERAGE(OFFSET($H$3,0,0,'Données projet'!$E$15+1,1))</f>
        <v>191.932060106699</v>
      </c>
      <c r="EP72" s="59">
        <f t="shared" si="100"/>
        <v>260.28593152736903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1.128603149866346</v>
      </c>
      <c r="EW72" s="21">
        <f>EXP(-LN(2)/25)*EW71+(1-EXP(-LN(2)/25))/(LN(2)/25)*Calculateur!ER72*Calculateur!ET72*VLOOKUP('Données projet'!$B$15,Paramètres!$A$1:$I$89,3,0)*0.475*44/12</f>
        <v>4.2799983983282885</v>
      </c>
      <c r="EX72" s="21">
        <f>EXP(-LN(2)/2)*EX71+(1-EXP(-LN(2)/2))/(LN(2)/2)*ER72*EU72*VLOOKUP('Données projet'!$B$15,Paramètres!$A$1:$I$89,3,0)*0.475*44/12</f>
        <v>1.8050666614545994E-6</v>
      </c>
      <c r="EY72" s="22">
        <f t="shared" si="75"/>
        <v>5.408603353261296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3.7</v>
      </c>
      <c r="FE72" s="12">
        <f>IF('Données projet'!$A$218&gt;35,FE71+FD72-FM71,IF(A72&lt;'Données projet'!$A$218,$FB$205^A72,IF(A72='Données projet'!$A$218,'Données projet'!$B$218,FE71+FD72-FM71)))</f>
        <v>138.29999999999998</v>
      </c>
      <c r="FF72" s="17">
        <f>FE72*VLOOKUP('Données projet'!$B$16,Paramètres!$A$1:$I$89,3,0)*VLOOKUP('Données projet'!$B$16,Paramètres!$A$1:$I$89,5,0)</f>
        <v>133.76375999999999</v>
      </c>
      <c r="FG72" s="13">
        <f t="shared" si="101"/>
        <v>34.864603872042075</v>
      </c>
      <c r="FH72" s="20">
        <f t="shared" si="76"/>
        <v>293.69440041047329</v>
      </c>
      <c r="FI72" s="59">
        <f t="shared" si="77"/>
        <v>587.02773374380661</v>
      </c>
      <c r="FJ72" s="59">
        <f ca="1">AVERAGE(OFFSET($FI$3,0,0,'Données projet'!$E$16+1,1))-AVERAGE(OFFSET($H$3,0,0,'Données projet'!$E$16+1,1))</f>
        <v>102.86738524979938</v>
      </c>
      <c r="FK72" s="59">
        <f t="shared" si="102"/>
        <v>56.347130462109817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0</v>
      </c>
      <c r="FR72" s="21">
        <f>EXP(-LN(2)/25)*FR71+(1-EXP(-LN(2)/25))/(LN(2)/25)*Calculateur!FM72*Calculateur!FO72*VLOOKUP('Données projet'!$B$16,Paramètres!$A$1:$I$89,3,0)*0.475*44/12</f>
        <v>0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0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7.9</v>
      </c>
      <c r="FZ72" s="12">
        <f>IF('Données projet'!$A$244&gt;35,FZ71+FY72-GH71,IF(A72&lt;'Données projet'!$A$244,$FW$205^A72,IF(A72='Données projet'!$A$244,'Données projet'!$B$244,FZ71+FY72-GH71)))</f>
        <v>268.10000000000014</v>
      </c>
      <c r="GA72" s="17">
        <f>FZ72*VLOOKUP('Données projet'!$B$17,Paramètres!$A$1:$I$89,3,0)*VLOOKUP('Données projet'!$B$17,Paramètres!$A$1:$I$89,5,0)</f>
        <v>179.8414800000001</v>
      </c>
      <c r="GB72" s="13">
        <f t="shared" si="103"/>
        <v>45.286916578886078</v>
      </c>
      <c r="GC72" s="20">
        <f t="shared" si="79"/>
        <v>392.09862404156002</v>
      </c>
      <c r="GD72" s="59">
        <f t="shared" si="80"/>
        <v>685.43195737489327</v>
      </c>
      <c r="GE72" s="59">
        <f ca="1">AVERAGE(OFFSET($GD$3,0,0,'Données projet'!$E$17+1,1))-AVERAGE(OFFSET($H$3,0,0,'Données projet'!$E$17+1,1))</f>
        <v>168.00454652899231</v>
      </c>
      <c r="GF72" s="59">
        <f t="shared" si="104"/>
        <v>135.31958994080446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0</v>
      </c>
      <c r="GM72" s="21">
        <f>EXP(-LN(2)/25)*GM71+(1-EXP(-LN(2)/25))/(LN(2)/25)*Calculateur!GH72*Calculateur!GJ72*VLOOKUP('Données projet'!$B$17,Paramètres!$A$1:$I$89,3,0)*0.475*44/12</f>
        <v>0</v>
      </c>
      <c r="GN72" s="21">
        <f>EXP(-LN(2)/2)*GN71+(1-EXP(-LN(2)/2))/(LN(2)/2)*GH72*GK72*VLOOKUP('Données projet'!$B$17,Paramètres!$A$1:$I$89,3,0)*0.475*44/12</f>
        <v>0</v>
      </c>
      <c r="GO72" s="21">
        <f t="shared" si="81"/>
        <v>0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8.1001602564102555</v>
      </c>
      <c r="N73" s="13">
        <f>IF('Données projet'!$A$36&gt;35,N72+M73-V72,IF(A73&lt;'Données projet'!$A$36,$K$205^A73,IF(A73='Données projet'!$A$36,'Données projet'!$B$36,N72+M73-V72)))</f>
        <v>235.26522435897436</v>
      </c>
      <c r="O73" s="13">
        <f>N73*VLOOKUP('Données projet'!$B$9,Paramètres!$A$1:$I$89,3,0)*VLOOKUP('Données projet'!$B$9,Paramètres!$A$1:$I$89,5,0)</f>
        <v>212.86797499999997</v>
      </c>
      <c r="P73" s="13">
        <f t="shared" si="87"/>
        <v>52.561814761455558</v>
      </c>
      <c r="Q73" s="20">
        <f t="shared" si="54"/>
        <v>462.29021716786838</v>
      </c>
      <c r="R73" s="59">
        <f t="shared" si="55"/>
        <v>755.62355050120163</v>
      </c>
      <c r="S73" s="59">
        <f ca="1">AVERAGE(OFFSET($R$3,0,0,'Données projet'!$E$9+1,1))-AVERAGE(OFFSET($H$3,0,0,'Données projet'!$E$9+1,1))</f>
        <v>221.7429870520005</v>
      </c>
      <c r="T73" s="59">
        <f t="shared" si="88"/>
        <v>182.2029938397186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0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5.6899038461538431</v>
      </c>
      <c r="AI73" s="13">
        <f>IF('Données projet'!$A$62&gt;35,AI72+AH73-AQ72,IF(A73&lt;'Données projet'!$A$62,$AF$205^A73,IF(A73='Données projet'!$A$62,'Données projet'!$B$62,AI72+AH73-AQ72)))</f>
        <v>152.93509615384613</v>
      </c>
      <c r="AJ73" s="13">
        <f>AI73*VLOOKUP('Données projet'!$B$10,Paramètres!$A$1:$I$89,3,0)*VLOOKUP('Données projet'!$B$10,Paramètres!$A$1:$I$89,5,0)</f>
        <v>138.37567499999997</v>
      </c>
      <c r="AK73" s="13">
        <f t="shared" si="89"/>
        <v>35.924643086227974</v>
      </c>
      <c r="AL73" s="20">
        <f t="shared" si="58"/>
        <v>303.57305400018032</v>
      </c>
      <c r="AM73" s="59">
        <f t="shared" si="59"/>
        <v>596.90638733351363</v>
      </c>
      <c r="AN73" s="59">
        <f ca="1">AVERAGE(OFFSET($AM$3,0,0,'Données projet'!$E$10+1,1))-AVERAGE(OFFSET($H$3,0,0,'Données projet'!$E$10+1,1))</f>
        <v>153.45079678708987</v>
      </c>
      <c r="AO73" s="59">
        <f t="shared" si="90"/>
        <v>115.4217868409637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13.737499999999997</v>
      </c>
      <c r="BD73" s="12">
        <f>IF('Données projet'!$A$88&gt;35,BD72+BC73-BL72,IF(A73&lt;'Données projet'!$A$88,$BA$205^A73,IF(A73='Données projet'!$A$88,'Données projet'!$B$88,BD72+BC73-BL72)))</f>
        <v>400.21634615384619</v>
      </c>
      <c r="BE73" s="13">
        <f>BD73*VLOOKUP('Données projet'!$B$11,Paramètres!$A$1:$I$89,3,0)*VLOOKUP('Données projet'!$B$11,Paramètres!$A$1:$I$89,5,0)</f>
        <v>187.30125000000001</v>
      </c>
      <c r="BF73" s="13">
        <f t="shared" si="91"/>
        <v>46.942801679870392</v>
      </c>
      <c r="BG73" s="20">
        <f t="shared" si="61"/>
        <v>407.97505667577428</v>
      </c>
      <c r="BH73" s="59">
        <f t="shared" si="62"/>
        <v>701.3083900091076</v>
      </c>
      <c r="BI73" s="59">
        <f ca="1">AVERAGE(OFFSET($BH$3,0,0,'Données projet'!$E$11+1,1))-AVERAGE(OFFSET($H$3,0,0,'Données projet'!$E$11+1,1))</f>
        <v>158.58786357608489</v>
      </c>
      <c r="BJ73" s="59">
        <f t="shared" si="92"/>
        <v>163.20074068819849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0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427</v>
      </c>
      <c r="BW73" s="12">
        <f>VLOOKUP(A73,'Données projet'!$A$113:$I$133,9,0)</f>
        <v>7.8</v>
      </c>
      <c r="BX73" s="12">
        <f t="array" ref="BX73">INDEX(BW:BW,MIN(IF(ISNUMBER(BW73:BW269),ROW(BW73:BW269),"")))</f>
        <v>7.8</v>
      </c>
      <c r="BY73" s="12">
        <f>IF('Données projet'!$A$114&gt;35,BY72+BX73-CG72,IF(A73&lt;'Données projet'!$A$114,$BV$205^A73,IF(A73='Données projet'!$A$114,'Données projet'!$B$114,BY72+BX73-CG72)))</f>
        <v>427</v>
      </c>
      <c r="BZ73" s="13">
        <f>BY73*VLOOKUP('Données projet'!$B$12,Paramètres!$A$1:$I$89,3,0)*VLOOKUP('Données projet'!$B$12,Paramètres!$A$1:$I$89,5,0)</f>
        <v>266.44799999999998</v>
      </c>
      <c r="CA73" s="13">
        <f t="shared" si="93"/>
        <v>64.094865228054687</v>
      </c>
      <c r="CB73" s="20">
        <f t="shared" si="64"/>
        <v>575.69549027219523</v>
      </c>
      <c r="CC73" s="59">
        <f t="shared" si="65"/>
        <v>869.02882360552849</v>
      </c>
      <c r="CD73" s="59">
        <f ca="1">AVERAGE(OFFSET($CC$3,0,0,'Données projet'!$E$12+1,1))-AVERAGE(OFFSET($H$3,0,0,'Données projet'!$E$12+1,1))</f>
        <v>255.41017495879987</v>
      </c>
      <c r="CE73" s="59">
        <f t="shared" si="94"/>
        <v>297.50513563712764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45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3.778672017178208</v>
      </c>
      <c r="CL73" s="21">
        <f>EXP(-LN(2)/25)*CL72+(1-EXP(-LN(2)/25))/(LN(2)/25)*Calculateur!CG73*Calculateur!CI73*VLOOKUP('Données projet'!$B$12,Paramètres!$A$1:$I$89,3,0)*0.475*44/12</f>
        <v>9.1936277288383863</v>
      </c>
      <c r="CM73" s="21">
        <f>EXP(-LN(2)/2)*CM72+(1-EXP(-LN(2)/2))/(LN(2)/2)*CG73*CJ73*VLOOKUP('Données projet'!$B$12,Paramètres!$A$1:$I$89,3,0)*0.475*44/12</f>
        <v>2.3270789276992683E-5</v>
      </c>
      <c r="CN73" s="22">
        <f t="shared" si="66"/>
        <v>12.972323016805872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293.3</v>
      </c>
      <c r="CR73" s="12">
        <f>VLOOKUP(A73,'Données projet'!$A$139:$I$159,9,0)</f>
        <v>6.461538461538467</v>
      </c>
      <c r="CS73" s="12">
        <f t="array" ref="CS73">INDEX(CR:CR,MIN(IF(ISNUMBER(CR73:CR269),ROW(CR73:CR269),"")))</f>
        <v>6.461538461538467</v>
      </c>
      <c r="CT73" s="12">
        <f>IF('Données projet'!$A$140&gt;35,CT72+CS73-DB72,IF(A73&lt;'Données projet'!$A$140,$CQ$205^A73,IF(A73='Données projet'!$A$140,'Données projet'!$B$140,CT72+CS73-DB72)))</f>
        <v>293.29999999999984</v>
      </c>
      <c r="CU73" s="17">
        <f>CT73*VLOOKUP('Données projet'!$B$13,Paramètres!$A$1:$I$89,3,0)*VLOOKUP('Données projet'!$B$13,Paramètres!$A$1:$I$89,5,0)</f>
        <v>167.76759999999993</v>
      </c>
      <c r="CV73" s="13">
        <f t="shared" si="95"/>
        <v>42.589656245503413</v>
      </c>
      <c r="CW73" s="20">
        <f t="shared" si="67"/>
        <v>366.37222129425163</v>
      </c>
      <c r="CX73" s="59">
        <f t="shared" si="68"/>
        <v>659.70555462758489</v>
      </c>
      <c r="CY73" s="59">
        <f ca="1">AVERAGE(OFFSET($CX$3,0,0,'Données projet'!$E$13+1,1))-AVERAGE(OFFSET($H$3,0,0,'Données projet'!$E$13+1,1))</f>
        <v>134.70214882504786</v>
      </c>
      <c r="CZ73" s="59">
        <f t="shared" si="96"/>
        <v>102.18553029667771</v>
      </c>
      <c r="DA73" s="15">
        <f>IF(ISNA(VLOOKUP(A73,'Données projet'!$A$139:$I$159,3,0)),0,VLOOKUP(A73,'Données projet'!$A$139:$I$159,3,0))</f>
        <v>7</v>
      </c>
      <c r="DB73" s="15">
        <f>IF(ISNA(VLOOKUP(A73,'Données projet'!$A$139:$I$159,4,0)),0,VLOOKUP(A73,'Données projet'!$A$139:$I$159,4,0))</f>
        <v>44.123076923076923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0.48139114522593079</v>
      </c>
      <c r="DG73" s="21">
        <f>EXP(-LN(2)/25)*DG72+(1-EXP(-LN(2)/25))/(LN(2)/25)*Calculateur!DB73*Calculateur!DD73*VLOOKUP('Données projet'!$B$13,Paramètres!$A$1:$I$89,3,0)*0.475*44/12</f>
        <v>4.1398399238793768</v>
      </c>
      <c r="DH73" s="21">
        <f>EXP(-LN(2)/2)*DH72+(1-EXP(-LN(2)/2))/(LN(2)/2)*DB73*DE73*VLOOKUP('Données projet'!$B$13,Paramètres!$A$1:$I$89,3,0)*0.475*44/12</f>
        <v>7.3489155016150563E-6</v>
      </c>
      <c r="DI73" s="22">
        <f t="shared" si="69"/>
        <v>4.6212384180208099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379.99230769230769</v>
      </c>
      <c r="DM73" s="12">
        <f>VLOOKUP(A73,'Données projet'!$A$165:$I$185,9,0)</f>
        <v>9.1830769230769249</v>
      </c>
      <c r="DN73" s="12">
        <f t="array" ref="DN73">INDEX(DM:DM,MIN(IF(ISNUMBER(DM73:DM269),ROW(DM73:DM269),"")))</f>
        <v>9.1830769230769249</v>
      </c>
      <c r="DO73" s="12">
        <f>IF('Données projet'!$A$166&gt;35,DO72+DN73-DW72,IF(A73&lt;'Données projet'!$A$166,$DL$205^A73,IF(A73='Données projet'!$A$166,'Données projet'!$B$166,DO72+DN73-DW72)))</f>
        <v>379.99230769230746</v>
      </c>
      <c r="DP73" s="17">
        <f>DO73*VLOOKUP('Données projet'!$B$14,Paramètres!$A$1:$I$89,3,0)*VLOOKUP('Données projet'!$B$14,Paramètres!$A$1:$I$89,5,0)</f>
        <v>227.23539999999988</v>
      </c>
      <c r="DQ73" s="13">
        <f t="shared" si="97"/>
        <v>55.684490313081348</v>
      </c>
      <c r="DR73" s="20">
        <f t="shared" si="70"/>
        <v>492.75214229528314</v>
      </c>
      <c r="DS73" s="59">
        <f t="shared" si="71"/>
        <v>786.08547562861645</v>
      </c>
      <c r="DT73" s="59">
        <f ca="1">AVERAGE(OFFSET($DS$3,0,0,'Données projet'!$E$14+1,1))-AVERAGE(OFFSET($H$3,0,0,'Données projet'!$E$14+1,1))</f>
        <v>179.32848817523677</v>
      </c>
      <c r="DU73" s="59">
        <f t="shared" si="98"/>
        <v>131.3292389103035</v>
      </c>
      <c r="DV73" s="15">
        <f>IF(ISNA(VLOOKUP(A73,'Données projet'!$A$165:$I$185,3,0)),0,VLOOKUP(A73,'Données projet'!$A$165:$I$185,3,0))</f>
        <v>7</v>
      </c>
      <c r="DW73" s="15">
        <f>IF(ISNA(VLOOKUP(A73,'Données projet'!$A$165:$I$185,4,0)),0,VLOOKUP(A73,'Données projet'!$A$165:$I$185,4,0))</f>
        <v>52.669230769230765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4.3478044574163821</v>
      </c>
      <c r="EC73" s="21">
        <f>EXP(-LN(2)/2)*EC72+(1-EXP(-LN(2)/2))/(LN(2)/2)*DW73*DZ73*VLOOKUP('Données projet'!$B$14,Paramètres!$A$1:$I$89,3,0)*0.475*44/12</f>
        <v>5.0190633556799321E-6</v>
      </c>
      <c r="ED73" s="22">
        <f t="shared" si="72"/>
        <v>4.3478094764797381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-2.2737367544323206E-13</v>
      </c>
      <c r="EK73" s="17">
        <f>EJ73*VLOOKUP('Données projet'!$B$15,Paramètres!$A$1:$I$89,3,0)*VLOOKUP('Données projet'!$B$15,Paramètres!$A$1:$I$89,5,0)</f>
        <v>-1.0049916454590858E-13</v>
      </c>
      <c r="EL73" s="13" t="e">
        <f t="shared" si="99"/>
        <v>#NUM!</v>
      </c>
      <c r="EM73" s="20" t="e">
        <f t="shared" si="73"/>
        <v>#NUM!</v>
      </c>
      <c r="EN73" s="59" t="e">
        <f t="shared" si="74"/>
        <v>#NUM!</v>
      </c>
      <c r="EO73" s="59">
        <f ca="1">AVERAGE(OFFSET($EN$3,0,0,'Données projet'!$E$15+1,1))-AVERAGE(OFFSET($H$3,0,0,'Données projet'!$E$15+1,1))</f>
        <v>191.932060106699</v>
      </c>
      <c r="EP73" s="59">
        <f t="shared" si="100"/>
        <v>260.28593152736903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1.1064719304774164</v>
      </c>
      <c r="EW73" s="21">
        <f>EXP(-LN(2)/25)*EW72+(1-EXP(-LN(2)/25))/(LN(2)/25)*Calculateur!ER73*Calculateur!ET73*VLOOKUP('Données projet'!$B$15,Paramètres!$A$1:$I$89,3,0)*0.475*44/12</f>
        <v>4.1629616170506676</v>
      </c>
      <c r="EX73" s="21">
        <f>EXP(-LN(2)/2)*EX72+(1-EXP(-LN(2)/2))/(LN(2)/2)*ER73*EU73*VLOOKUP('Données projet'!$B$15,Paramètres!$A$1:$I$89,3,0)*0.475*44/12</f>
        <v>1.2763748768083092E-6</v>
      </c>
      <c r="EY73" s="22">
        <f t="shared" si="75"/>
        <v>5.2694348239029614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142</v>
      </c>
      <c r="FC73" s="12">
        <f>VLOOKUP(A73,'Données projet'!$A$217:$I$237,9,0)</f>
        <v>3.7</v>
      </c>
      <c r="FD73" s="12">
        <f t="array" ref="FD73">INDEX(FC:FC,MIN(IF(ISNUMBER(FC73:FC269),ROW(FC73:FC269),"")))</f>
        <v>3.7</v>
      </c>
      <c r="FE73" s="12">
        <f>IF('Données projet'!$A$218&gt;35,FE72+FD73-FM72,IF(A73&lt;'Données projet'!$A$218,$FB$205^A73,IF(A73='Données projet'!$A$218,'Données projet'!$B$218,FE72+FD73-FM72)))</f>
        <v>141.99999999999997</v>
      </c>
      <c r="FF73" s="17">
        <f>FE73*VLOOKUP('Données projet'!$B$16,Paramètres!$A$1:$I$89,3,0)*VLOOKUP('Données projet'!$B$16,Paramètres!$A$1:$I$89,5,0)</f>
        <v>137.34239999999997</v>
      </c>
      <c r="FG73" s="13">
        <f t="shared" si="101"/>
        <v>35.687509229988642</v>
      </c>
      <c r="FH73" s="20">
        <f t="shared" si="76"/>
        <v>301.36042524223012</v>
      </c>
      <c r="FI73" s="59">
        <f t="shared" si="77"/>
        <v>594.69375857556338</v>
      </c>
      <c r="FJ73" s="59">
        <f ca="1">AVERAGE(OFFSET($FI$3,0,0,'Données projet'!$E$16+1,1))-AVERAGE(OFFSET($H$3,0,0,'Données projet'!$E$16+1,1))</f>
        <v>102.86738524979938</v>
      </c>
      <c r="FK73" s="59">
        <f t="shared" si="102"/>
        <v>56.347130462109817</v>
      </c>
      <c r="FL73" s="15">
        <f>IF(ISNA(VLOOKUP(A73,'Données projet'!$A$217:$I$237,3,0)),0,VLOOKUP(A73,'Données projet'!$A$217:$I$237,3,0))</f>
        <v>5</v>
      </c>
      <c r="FM73" s="15">
        <f>IF(ISNA(VLOOKUP(A73,'Données projet'!$A$217:$I$237,4,0)),0,VLOOKUP(A73,'Données projet'!$A$217:$I$237,4,0))</f>
        <v>20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0</v>
      </c>
      <c r="FR73" s="21">
        <f>EXP(-LN(2)/25)*FR72+(1-EXP(-LN(2)/25))/(LN(2)/25)*Calculateur!FM73*Calculateur!FO73*VLOOKUP('Données projet'!$B$16,Paramètres!$A$1:$I$89,3,0)*0.475*44/12</f>
        <v>0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0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>
        <f>VLOOKUP(A73,'Données projet'!$A$243:$I$263,2,0)</f>
        <v>276</v>
      </c>
      <c r="FX73" s="12">
        <f>VLOOKUP(A73,'Données projet'!$A$243:$I$263,9,0)</f>
        <v>7.9</v>
      </c>
      <c r="FY73" s="12">
        <f t="array" ref="FY73">INDEX(FX:FX,MIN(IF(ISNUMBER(FX73:FX269),ROW(FX73:FX269),"")))</f>
        <v>7.9</v>
      </c>
      <c r="FZ73" s="12">
        <f>IF('Données projet'!$A$244&gt;35,FZ72+FY73-GH72,IF(A73&lt;'Données projet'!$A$244,$FW$205^A73,IF(A73='Données projet'!$A$244,'Données projet'!$B$244,FZ72+FY73-GH72)))</f>
        <v>276.00000000000011</v>
      </c>
      <c r="GA73" s="17">
        <f>FZ73*VLOOKUP('Données projet'!$B$17,Paramètres!$A$1:$I$89,3,0)*VLOOKUP('Données projet'!$B$17,Paramètres!$A$1:$I$89,5,0)</f>
        <v>185.14080000000007</v>
      </c>
      <c r="GB73" s="13">
        <f t="shared" si="103"/>
        <v>46.464038253813506</v>
      </c>
      <c r="GC73" s="20">
        <f t="shared" si="79"/>
        <v>403.37842662539197</v>
      </c>
      <c r="GD73" s="59">
        <f t="shared" si="80"/>
        <v>696.71175995872522</v>
      </c>
      <c r="GE73" s="59">
        <f ca="1">AVERAGE(OFFSET($GD$3,0,0,'Données projet'!$E$17+1,1))-AVERAGE(OFFSET($H$3,0,0,'Données projet'!$E$17+1,1))</f>
        <v>168.00454652899231</v>
      </c>
      <c r="GF73" s="59">
        <f t="shared" si="104"/>
        <v>135.31958994080446</v>
      </c>
      <c r="GG73" s="15">
        <f>IF(ISNA(VLOOKUP(A73,'Données projet'!$A$243:$I$263,3,0)),0,VLOOKUP(A73,'Données projet'!$A$243:$I$263,3,0))</f>
        <v>6</v>
      </c>
      <c r="GH73" s="15">
        <f>IF(ISNA(VLOOKUP(A73,'Données projet'!$A$243:$I$263,4,0)),0,VLOOKUP(A73,'Données projet'!$A$243:$I$263,4,0))</f>
        <v>53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0</v>
      </c>
      <c r="GM73" s="21">
        <f>EXP(-LN(2)/25)*GM72+(1-EXP(-LN(2)/25))/(LN(2)/25)*Calculateur!GH73*Calculateur!GJ73*VLOOKUP('Données projet'!$B$17,Paramètres!$A$1:$I$89,3,0)*0.475*44/12</f>
        <v>0</v>
      </c>
      <c r="GN73" s="21">
        <f>EXP(-LN(2)/2)*GN72+(1-EXP(-LN(2)/2))/(LN(2)/2)*GH73*GK73*VLOOKUP('Données projet'!$B$17,Paramètres!$A$1:$I$89,3,0)*0.475*44/12</f>
        <v>0</v>
      </c>
      <c r="GO73" s="21">
        <f t="shared" si="81"/>
        <v>0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>
        <f>VLOOKUP(A74,'Données projet'!$A$35:$I$55,2,0)</f>
        <v>243.36538461538458</v>
      </c>
      <c r="L74" s="12">
        <f>VLOOKUP(A74,'Données projet'!$A$35:$I$55,9,0)</f>
        <v>8.1001602564102555</v>
      </c>
      <c r="M74" s="12">
        <f t="array" ref="M74">INDEX(L:L,MIN(IF(ISNUMBER(L74:L270),ROW(L74:L270),"")))</f>
        <v>8.1001602564102555</v>
      </c>
      <c r="N74" s="13">
        <f>IF('Données projet'!$A$36&gt;35,N73+M74-V73,IF(A74&lt;'Données projet'!$A$36,$K$205^A74,IF(A74='Données projet'!$A$36,'Données projet'!$B$36,N73+M74-V73)))</f>
        <v>243.36538461538461</v>
      </c>
      <c r="O74" s="13">
        <f>N74*VLOOKUP('Données projet'!$B$9,Paramètres!$A$1:$I$89,3,0)*VLOOKUP('Données projet'!$B$9,Paramètres!$A$1:$I$89,5,0)</f>
        <v>220.19699999999997</v>
      </c>
      <c r="P74" s="13">
        <f t="shared" si="87"/>
        <v>54.157700466574305</v>
      </c>
      <c r="Q74" s="20">
        <f t="shared" si="54"/>
        <v>477.83443664595023</v>
      </c>
      <c r="R74" s="59">
        <f t="shared" si="55"/>
        <v>771.16776997928355</v>
      </c>
      <c r="S74" s="59">
        <f ca="1">AVERAGE(OFFSET($R$3,0,0,'Données projet'!$E$9+1,1))-AVERAGE(OFFSET($H$3,0,0,'Données projet'!$E$9+1,1))</f>
        <v>221.7429870520005</v>
      </c>
      <c r="T74" s="59">
        <f t="shared" si="88"/>
        <v>182.2029938397186</v>
      </c>
      <c r="U74" s="15">
        <f>IF(ISNA(VLOOKUP(A74,'Données projet'!$A$35:$I$55,3,0)),0,VLOOKUP(A74,'Données projet'!$A$35:$I$55,3,0))</f>
        <v>6</v>
      </c>
      <c r="V74" s="15">
        <f>IF(ISNA(VLOOKUP(A74,'Données projet'!$A$35:$I$55,4,0)),0,VLOOKUP(A74,'Données projet'!$A$35:$I$55,4,0))</f>
        <v>39.935897435897431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0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5.6899038461538431</v>
      </c>
      <c r="AI74" s="13">
        <f>IF('Données projet'!$A$62&gt;35,AI73+AH74-AQ73,IF(A74&lt;'Données projet'!$A$62,$AF$205^A74,IF(A74='Données projet'!$A$62,'Données projet'!$B$62,AI73+AH74-AQ73)))</f>
        <v>158.62499999999997</v>
      </c>
      <c r="AJ74" s="13">
        <f>AI74*VLOOKUP('Données projet'!$B$10,Paramètres!$A$1:$I$89,3,0)*VLOOKUP('Données projet'!$B$10,Paramètres!$A$1:$I$89,5,0)</f>
        <v>143.52389999999997</v>
      </c>
      <c r="AK74" s="13">
        <f t="shared" si="89"/>
        <v>37.103109825509961</v>
      </c>
      <c r="AL74" s="20">
        <f t="shared" si="58"/>
        <v>314.59204211276312</v>
      </c>
      <c r="AM74" s="59">
        <f t="shared" si="59"/>
        <v>607.9253754460965</v>
      </c>
      <c r="AN74" s="59">
        <f ca="1">AVERAGE(OFFSET($AM$3,0,0,'Données projet'!$E$10+1,1))-AVERAGE(OFFSET($H$3,0,0,'Données projet'!$E$10+1,1))</f>
        <v>153.45079678708987</v>
      </c>
      <c r="AO74" s="59">
        <f t="shared" si="90"/>
        <v>115.4217868409637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>
        <f>VLOOKUP(A74,'Données projet'!$A$87:$I$107,2,0)</f>
        <v>413.95384615384614</v>
      </c>
      <c r="BB74" s="12">
        <f>VLOOKUP(A74,'Données projet'!$A$87:$I$107,9,0)</f>
        <v>13.737499999999997</v>
      </c>
      <c r="BC74" s="12">
        <f t="array" ref="BC74">INDEX(BB:BB,MIN(IF(ISNUMBER(BB74:BB270),ROW(BB74:BB270),"")))</f>
        <v>13.737499999999997</v>
      </c>
      <c r="BD74" s="12">
        <f>IF('Données projet'!$A$88&gt;35,BD73+BC74-BL73,IF(A74&lt;'Données projet'!$A$88,$BA$205^A74,IF(A74='Données projet'!$A$88,'Données projet'!$B$88,BD73+BC74-BL73)))</f>
        <v>413.9538461538462</v>
      </c>
      <c r="BE74" s="13">
        <f>BD74*VLOOKUP('Données projet'!$B$11,Paramètres!$A$1:$I$89,3,0)*VLOOKUP('Données projet'!$B$11,Paramètres!$A$1:$I$89,5,0)</f>
        <v>193.73040000000003</v>
      </c>
      <c r="BF74" s="13">
        <f t="shared" si="91"/>
        <v>48.363755728631737</v>
      </c>
      <c r="BG74" s="20">
        <f t="shared" si="61"/>
        <v>421.647321227367</v>
      </c>
      <c r="BH74" s="59">
        <f t="shared" si="62"/>
        <v>714.98065456070026</v>
      </c>
      <c r="BI74" s="59">
        <f ca="1">AVERAGE(OFFSET($BH$3,0,0,'Données projet'!$E$11+1,1))-AVERAGE(OFFSET($H$3,0,0,'Données projet'!$E$11+1,1))</f>
        <v>158.58786357608489</v>
      </c>
      <c r="BJ74" s="59">
        <f t="shared" si="92"/>
        <v>163.20074068819849</v>
      </c>
      <c r="BK74" s="15">
        <f>IF(ISNA(VLOOKUP(A74,'Données projet'!$A$87:$I$107,3,0)),0,VLOOKUP(A74,'Données projet'!$A$87:$I$107,3,0))</f>
        <v>5</v>
      </c>
      <c r="BL74" s="15">
        <f>IF(ISNA(VLOOKUP(A74,'Données projet'!$A$87:$I$107,4,0)),0,VLOOKUP(A74,'Données projet'!$A$87:$I$107,4,0))</f>
        <v>80.399999999999991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0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6</v>
      </c>
      <c r="BY74" s="12">
        <f>IF('Données projet'!$A$114&gt;35,BY73+BX74-CG73,IF(A74&lt;'Données projet'!$A$114,$BV$205^A74,IF(A74='Données projet'!$A$114,'Données projet'!$B$114,BY73+BX74-CG73)))</f>
        <v>388</v>
      </c>
      <c r="BZ74" s="13">
        <f>BY74*VLOOKUP('Données projet'!$B$12,Paramètres!$A$1:$I$89,3,0)*VLOOKUP('Données projet'!$B$12,Paramètres!$A$1:$I$89,5,0)</f>
        <v>242.11199999999999</v>
      </c>
      <c r="CA74" s="13">
        <f t="shared" si="93"/>
        <v>58.893705600066006</v>
      </c>
      <c r="CB74" s="20">
        <f t="shared" si="64"/>
        <v>524.25160392011492</v>
      </c>
      <c r="CC74" s="59">
        <f t="shared" si="65"/>
        <v>817.58493725344829</v>
      </c>
      <c r="CD74" s="59">
        <f ca="1">AVERAGE(OFFSET($CC$3,0,0,'Données projet'!$E$12+1,1))-AVERAGE(OFFSET($H$3,0,0,'Données projet'!$E$12+1,1))</f>
        <v>255.41017495879987</v>
      </c>
      <c r="CE74" s="59">
        <f t="shared" si="94"/>
        <v>297.50513563712764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3.7045745636836975</v>
      </c>
      <c r="CL74" s="21">
        <f>EXP(-LN(2)/25)*CL73+(1-EXP(-LN(2)/25))/(LN(2)/25)*Calculateur!CG74*Calculateur!CI74*VLOOKUP('Données projet'!$B$12,Paramètres!$A$1:$I$89,3,0)*0.475*44/12</f>
        <v>8.9422274951214309</v>
      </c>
      <c r="CM74" s="21">
        <f>EXP(-LN(2)/2)*CM73+(1-EXP(-LN(2)/2))/(LN(2)/2)*CG74*CJ74*VLOOKUP('Données projet'!$B$12,Paramètres!$A$1:$I$89,3,0)*0.475*44/12</f>
        <v>1.6454932901324722E-5</v>
      </c>
      <c r="CN74" s="22">
        <f t="shared" si="66"/>
        <v>12.64681851373803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5.5269230769230742</v>
      </c>
      <c r="CT74" s="12">
        <f>IF('Données projet'!$A$140&gt;35,CT73+CS74-DB73,IF(A74&lt;'Données projet'!$A$140,$CQ$205^A74,IF(A74='Données projet'!$A$140,'Données projet'!$B$140,CT73+CS74-DB73)))</f>
        <v>254.703846153846</v>
      </c>
      <c r="CU74" s="17">
        <f>CT74*VLOOKUP('Données projet'!$B$13,Paramètres!$A$1:$I$89,3,0)*VLOOKUP('Données projet'!$B$13,Paramètres!$A$1:$I$89,5,0)</f>
        <v>145.6905999999999</v>
      </c>
      <c r="CV74" s="13">
        <f t="shared" si="95"/>
        <v>37.597603749327881</v>
      </c>
      <c r="CW74" s="20">
        <f t="shared" si="67"/>
        <v>319.22695486341257</v>
      </c>
      <c r="CX74" s="59">
        <f t="shared" si="68"/>
        <v>612.56028819674589</v>
      </c>
      <c r="CY74" s="59">
        <f ca="1">AVERAGE(OFFSET($CX$3,0,0,'Données projet'!$E$13+1,1))-AVERAGE(OFFSET($H$3,0,0,'Données projet'!$E$13+1,1))</f>
        <v>134.70214882504786</v>
      </c>
      <c r="CZ74" s="59">
        <f t="shared" si="96"/>
        <v>102.18553029667771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0.47195135848765635</v>
      </c>
      <c r="DG74" s="21">
        <f>EXP(-LN(2)/25)*DG73+(1-EXP(-LN(2)/25))/(LN(2)/25)*Calculateur!DB74*Calculateur!DD74*VLOOKUP('Données projet'!$B$13,Paramètres!$A$1:$I$89,3,0)*0.475*44/12</f>
        <v>4.0266357834561752</v>
      </c>
      <c r="DH74" s="21">
        <f>EXP(-LN(2)/2)*DH73+(1-EXP(-LN(2)/2))/(LN(2)/2)*DB74*DE74*VLOOKUP('Données projet'!$B$13,Paramètres!$A$1:$I$89,3,0)*0.475*44/12</f>
        <v>5.1964679855589447E-6</v>
      </c>
      <c r="DI74" s="22">
        <f t="shared" si="69"/>
        <v>4.4985923384118172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7.5584615384615343</v>
      </c>
      <c r="DO74" s="12">
        <f>IF('Données projet'!$A$166&gt;35,DO73+DN74-DW73,IF(A74&lt;'Données projet'!$A$166,$DL$205^A74,IF(A74='Données projet'!$A$166,'Données projet'!$B$166,DO73+DN74-DW73)))</f>
        <v>334.88153846153824</v>
      </c>
      <c r="DP74" s="17">
        <f>DO74*VLOOKUP('Données projet'!$B$14,Paramètres!$A$1:$I$89,3,0)*VLOOKUP('Données projet'!$B$14,Paramètres!$A$1:$I$89,5,0)</f>
        <v>200.25915999999989</v>
      </c>
      <c r="DQ74" s="13">
        <f t="shared" si="97"/>
        <v>49.801118956127333</v>
      </c>
      <c r="DR74" s="20">
        <f t="shared" si="70"/>
        <v>435.52165251525486</v>
      </c>
      <c r="DS74" s="59">
        <f t="shared" si="71"/>
        <v>728.85498584858817</v>
      </c>
      <c r="DT74" s="59">
        <f ca="1">AVERAGE(OFFSET($DS$3,0,0,'Données projet'!$E$14+1,1))-AVERAGE(OFFSET($H$3,0,0,'Données projet'!$E$14+1,1))</f>
        <v>179.32848817523677</v>
      </c>
      <c r="DU74" s="59">
        <f t="shared" si="98"/>
        <v>131.3292389103035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4.228913515887232</v>
      </c>
      <c r="EC74" s="21">
        <f>EXP(-LN(2)/2)*EC73+(1-EXP(-LN(2)/2))/(LN(2)/2)*DW74*DZ74*VLOOKUP('Données projet'!$B$14,Paramètres!$A$1:$I$89,3,0)*0.475*44/12</f>
        <v>3.5490137340061887E-6</v>
      </c>
      <c r="ED74" s="22">
        <f t="shared" si="72"/>
        <v>4.2289170649009664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-2.2737367544323206E-13</v>
      </c>
      <c r="EK74" s="17">
        <f>EJ74*VLOOKUP('Données projet'!$B$15,Paramètres!$A$1:$I$89,3,0)*VLOOKUP('Données projet'!$B$15,Paramètres!$A$1:$I$89,5,0)</f>
        <v>-1.0049916454590858E-13</v>
      </c>
      <c r="EL74" s="13" t="e">
        <f t="shared" si="99"/>
        <v>#NUM!</v>
      </c>
      <c r="EM74" s="20" t="e">
        <f t="shared" si="73"/>
        <v>#NUM!</v>
      </c>
      <c r="EN74" s="59" t="e">
        <f t="shared" si="74"/>
        <v>#NUM!</v>
      </c>
      <c r="EO74" s="59">
        <f ca="1">AVERAGE(OFFSET($EN$3,0,0,'Données projet'!$E$15+1,1))-AVERAGE(OFFSET($H$3,0,0,'Données projet'!$E$15+1,1))</f>
        <v>191.932060106699</v>
      </c>
      <c r="EP74" s="59">
        <f t="shared" si="100"/>
        <v>260.28593152736903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1.0847746908019928</v>
      </c>
      <c r="EW74" s="21">
        <f>EXP(-LN(2)/25)*EW73+(1-EXP(-LN(2)/25))/(LN(2)/25)*Calculateur!ER74*Calculateur!ET74*VLOOKUP('Données projet'!$B$15,Paramètres!$A$1:$I$89,3,0)*0.475*44/12</f>
        <v>4.0491252127117798</v>
      </c>
      <c r="EX74" s="21">
        <f>EXP(-LN(2)/2)*EX73+(1-EXP(-LN(2)/2))/(LN(2)/2)*ER74*EU74*VLOOKUP('Données projet'!$B$15,Paramètres!$A$1:$I$89,3,0)*0.475*44/12</f>
        <v>9.0253333072729968E-7</v>
      </c>
      <c r="EY74" s="22">
        <f t="shared" si="75"/>
        <v>5.1339008060471034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3.4</v>
      </c>
      <c r="FE74" s="12">
        <f>IF('Données projet'!$A$218&gt;35,FE73+FD74-FM73,IF(A74&lt;'Données projet'!$A$218,$FB$205^A74,IF(A74='Données projet'!$A$218,'Données projet'!$B$218,FE73+FD74-FM73)))</f>
        <v>125.39999999999998</v>
      </c>
      <c r="FF74" s="17">
        <f>FE74*VLOOKUP('Données projet'!$B$16,Paramètres!$A$1:$I$89,3,0)*VLOOKUP('Données projet'!$B$16,Paramètres!$A$1:$I$89,5,0)</f>
        <v>121.28687999999998</v>
      </c>
      <c r="FG74" s="13">
        <f t="shared" si="101"/>
        <v>31.974956333849104</v>
      </c>
      <c r="FH74" s="20">
        <f t="shared" si="76"/>
        <v>266.93103161478717</v>
      </c>
      <c r="FI74" s="59">
        <f t="shared" si="77"/>
        <v>560.26436494812049</v>
      </c>
      <c r="FJ74" s="59">
        <f ca="1">AVERAGE(OFFSET($FI$3,0,0,'Données projet'!$E$16+1,1))-AVERAGE(OFFSET($H$3,0,0,'Données projet'!$E$16+1,1))</f>
        <v>102.86738524979938</v>
      </c>
      <c r="FK74" s="59">
        <f t="shared" si="102"/>
        <v>56.347130462109817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0</v>
      </c>
      <c r="FR74" s="21">
        <f>EXP(-LN(2)/25)*FR73+(1-EXP(-LN(2)/25))/(LN(2)/25)*Calculateur!FM74*Calculateur!FO74*VLOOKUP('Données projet'!$B$16,Paramètres!$A$1:$I$89,3,0)*0.475*44/12</f>
        <v>0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0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7.3</v>
      </c>
      <c r="FZ74" s="12">
        <f>IF('Données projet'!$A$244&gt;35,FZ73+FY74-GH73,IF(A74&lt;'Données projet'!$A$244,$FW$205^A74,IF(A74='Données projet'!$A$244,'Données projet'!$B$244,FZ73+FY74-GH73)))</f>
        <v>230.30000000000013</v>
      </c>
      <c r="GA74" s="17">
        <f>FZ74*VLOOKUP('Données projet'!$B$17,Paramètres!$A$1:$I$89,3,0)*VLOOKUP('Données projet'!$B$17,Paramètres!$A$1:$I$89,5,0)</f>
        <v>154.48524000000009</v>
      </c>
      <c r="GB74" s="13">
        <f t="shared" si="103"/>
        <v>39.596118099555191</v>
      </c>
      <c r="GC74" s="20">
        <f t="shared" si="79"/>
        <v>338.0250320233921</v>
      </c>
      <c r="GD74" s="59">
        <f t="shared" si="80"/>
        <v>631.35836535672547</v>
      </c>
      <c r="GE74" s="59">
        <f ca="1">AVERAGE(OFFSET($GD$3,0,0,'Données projet'!$E$17+1,1))-AVERAGE(OFFSET($H$3,0,0,'Données projet'!$E$17+1,1))</f>
        <v>168.00454652899231</v>
      </c>
      <c r="GF74" s="59">
        <f t="shared" si="104"/>
        <v>135.31958994080446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0</v>
      </c>
      <c r="GM74" s="21">
        <f>EXP(-LN(2)/25)*GM73+(1-EXP(-LN(2)/25))/(LN(2)/25)*Calculateur!GH74*Calculateur!GJ74*VLOOKUP('Données projet'!$B$17,Paramètres!$A$1:$I$89,3,0)*0.475*44/12</f>
        <v>0</v>
      </c>
      <c r="GN74" s="21">
        <f>EXP(-LN(2)/2)*GN73+(1-EXP(-LN(2)/2))/(LN(2)/2)*GH74*GK74*VLOOKUP('Données projet'!$B$17,Paramètres!$A$1:$I$89,3,0)*0.475*44/12</f>
        <v>0</v>
      </c>
      <c r="GO74" s="21">
        <f t="shared" si="81"/>
        <v>0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7.8425925925925934</v>
      </c>
      <c r="N75" s="13">
        <f>IF('Données projet'!$A$36&gt;35,N74+M75-V74,IF(A75&lt;'Données projet'!$A$36,$K$205^A75,IF(A75='Données projet'!$A$36,'Données projet'!$B$36,N74+M75-V74)))</f>
        <v>211.27207977207976</v>
      </c>
      <c r="O75" s="13">
        <f>N75*VLOOKUP('Données projet'!$B$9,Paramètres!$A$1:$I$89,3,0)*VLOOKUP('Données projet'!$B$9,Paramètres!$A$1:$I$89,5,0)</f>
        <v>191.15897777777778</v>
      </c>
      <c r="P75" s="13">
        <f t="shared" si="87"/>
        <v>47.796095622022946</v>
      </c>
      <c r="Q75" s="20">
        <f t="shared" si="54"/>
        <v>416.18008617131954</v>
      </c>
      <c r="R75" s="59">
        <f t="shared" si="55"/>
        <v>709.5134195046528</v>
      </c>
      <c r="S75" s="59">
        <f ca="1">AVERAGE(OFFSET($R$3,0,0,'Données projet'!$E$9+1,1))-AVERAGE(OFFSET($H$3,0,0,'Données projet'!$E$9+1,1))</f>
        <v>221.7429870520005</v>
      </c>
      <c r="T75" s="59">
        <f t="shared" si="88"/>
        <v>182.2029938397186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0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5.6899038461538431</v>
      </c>
      <c r="AI75" s="13">
        <f>IF('Données projet'!$A$62&gt;35,AI74+AH75-AQ74,IF(A75&lt;'Données projet'!$A$62,$AF$205^A75,IF(A75='Données projet'!$A$62,'Données projet'!$B$62,AI74+AH75-AQ74)))</f>
        <v>164.31490384615381</v>
      </c>
      <c r="AJ75" s="13">
        <f>AI75*VLOOKUP('Données projet'!$B$10,Paramètres!$A$1:$I$89,3,0)*VLOOKUP('Données projet'!$B$10,Paramètres!$A$1:$I$89,5,0)</f>
        <v>148.67212499999997</v>
      </c>
      <c r="AK75" s="13">
        <f t="shared" si="89"/>
        <v>38.276665273939201</v>
      </c>
      <c r="AL75" s="20">
        <f t="shared" si="58"/>
        <v>325.60247639377735</v>
      </c>
      <c r="AM75" s="59">
        <f t="shared" si="59"/>
        <v>618.93580972711061</v>
      </c>
      <c r="AN75" s="59">
        <f ca="1">AVERAGE(OFFSET($AM$3,0,0,'Données projet'!$E$10+1,1))-AVERAGE(OFFSET($H$3,0,0,'Données projet'!$E$10+1,1))</f>
        <v>153.45079678708987</v>
      </c>
      <c r="AO75" s="59">
        <f t="shared" si="90"/>
        <v>115.4217868409637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12.913461538461533</v>
      </c>
      <c r="BD75" s="12">
        <f>IF('Données projet'!$A$88&gt;35,BD74+BC75-BL74,IF(A75&lt;'Données projet'!$A$88,$BA$205^A75,IF(A75='Données projet'!$A$88,'Données projet'!$B$88,BD74+BC75-BL74)))</f>
        <v>346.46730769230777</v>
      </c>
      <c r="BE75" s="13">
        <f>BD75*VLOOKUP('Données projet'!$B$11,Paramètres!$A$1:$I$89,3,0)*VLOOKUP('Données projet'!$B$11,Paramètres!$A$1:$I$89,5,0)</f>
        <v>162.14670000000004</v>
      </c>
      <c r="BF75" s="13">
        <f t="shared" si="91"/>
        <v>41.326333369414826</v>
      </c>
      <c r="BG75" s="20">
        <f t="shared" si="61"/>
        <v>354.38219978506419</v>
      </c>
      <c r="BH75" s="59">
        <f t="shared" si="62"/>
        <v>647.7155331183975</v>
      </c>
      <c r="BI75" s="59">
        <f ca="1">AVERAGE(OFFSET($BH$3,0,0,'Données projet'!$E$11+1,1))-AVERAGE(OFFSET($H$3,0,0,'Données projet'!$E$11+1,1))</f>
        <v>158.58786357608489</v>
      </c>
      <c r="BJ75" s="59">
        <f t="shared" si="92"/>
        <v>163.20074068819849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0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6</v>
      </c>
      <c r="BY75" s="12">
        <f>IF('Données projet'!$A$114&gt;35,BY74+BX75-CG74,IF(A75&lt;'Données projet'!$A$114,$BV$205^A75,IF(A75='Données projet'!$A$114,'Données projet'!$B$114,BY74+BX75-CG74)))</f>
        <v>394</v>
      </c>
      <c r="BZ75" s="13">
        <f>BY75*VLOOKUP('Données projet'!$B$12,Paramètres!$A$1:$I$89,3,0)*VLOOKUP('Données projet'!$B$12,Paramètres!$A$1:$I$89,5,0)</f>
        <v>245.85600000000002</v>
      </c>
      <c r="CA75" s="13">
        <f t="shared" si="93"/>
        <v>59.697704223314012</v>
      </c>
      <c r="CB75" s="20">
        <f t="shared" si="64"/>
        <v>532.17270152227195</v>
      </c>
      <c r="CC75" s="59">
        <f t="shared" si="65"/>
        <v>825.50603485560532</v>
      </c>
      <c r="CD75" s="59">
        <f ca="1">AVERAGE(OFFSET($CC$3,0,0,'Données projet'!$E$12+1,1))-AVERAGE(OFFSET($H$3,0,0,'Données projet'!$E$12+1,1))</f>
        <v>255.41017495879987</v>
      </c>
      <c r="CE75" s="59">
        <f t="shared" si="94"/>
        <v>297.50513563712764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3.6319301160572302</v>
      </c>
      <c r="CL75" s="21">
        <f>EXP(-LN(2)/25)*CL74+(1-EXP(-LN(2)/25))/(LN(2)/25)*Calculateur!CG75*Calculateur!CI75*VLOOKUP('Données projet'!$B$12,Paramètres!$A$1:$I$89,3,0)*0.475*44/12</f>
        <v>8.6977018140160283</v>
      </c>
      <c r="CM75" s="21">
        <f>EXP(-LN(2)/2)*CM74+(1-EXP(-LN(2)/2))/(LN(2)/2)*CG75*CJ75*VLOOKUP('Données projet'!$B$12,Paramètres!$A$1:$I$89,3,0)*0.475*44/12</f>
        <v>1.1635394638496342E-5</v>
      </c>
      <c r="CN75" s="22">
        <f t="shared" si="66"/>
        <v>12.329643565467897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5.5269230769230742</v>
      </c>
      <c r="CT75" s="12">
        <f>IF('Données projet'!$A$140&gt;35,CT74+CS75-DB74,IF(A75&lt;'Données projet'!$A$140,$CQ$205^A75,IF(A75='Données projet'!$A$140,'Données projet'!$B$140,CT74+CS75-DB74)))</f>
        <v>260.23076923076906</v>
      </c>
      <c r="CU75" s="17">
        <f>CT75*VLOOKUP('Données projet'!$B$13,Paramètres!$A$1:$I$89,3,0)*VLOOKUP('Données projet'!$B$13,Paramètres!$A$1:$I$89,5,0)</f>
        <v>148.85199999999992</v>
      </c>
      <c r="CV75" s="13">
        <f t="shared" si="95"/>
        <v>38.31758196372104</v>
      </c>
      <c r="CW75" s="20">
        <f t="shared" si="67"/>
        <v>325.98702192014736</v>
      </c>
      <c r="CX75" s="59">
        <f t="shared" si="68"/>
        <v>619.32035525348067</v>
      </c>
      <c r="CY75" s="59">
        <f ca="1">AVERAGE(OFFSET($CX$3,0,0,'Données projet'!$E$13+1,1))-AVERAGE(OFFSET($H$3,0,0,'Données projet'!$E$13+1,1))</f>
        <v>134.70214882504786</v>
      </c>
      <c r="CZ75" s="59">
        <f t="shared" si="96"/>
        <v>102.18553029667771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0.46269668020961807</v>
      </c>
      <c r="DG75" s="21">
        <f>EXP(-LN(2)/25)*DG74+(1-EXP(-LN(2)/25))/(LN(2)/25)*Calculateur!DB75*Calculateur!DD75*VLOOKUP('Données projet'!$B$13,Paramètres!$A$1:$I$89,3,0)*0.475*44/12</f>
        <v>3.9165272162059934</v>
      </c>
      <c r="DH75" s="21">
        <f>EXP(-LN(2)/2)*DH74+(1-EXP(-LN(2)/2))/(LN(2)/2)*DB75*DE75*VLOOKUP('Données projet'!$B$13,Paramètres!$A$1:$I$89,3,0)*0.475*44/12</f>
        <v>3.6744577508075282E-6</v>
      </c>
      <c r="DI75" s="22">
        <f t="shared" si="69"/>
        <v>4.3792275708733621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7.5584615384615343</v>
      </c>
      <c r="DO75" s="12">
        <f>IF('Données projet'!$A$166&gt;35,DO74+DN75-DW74,IF(A75&lt;'Données projet'!$A$166,$DL$205^A75,IF(A75='Données projet'!$A$166,'Données projet'!$B$166,DO74+DN75-DW74)))</f>
        <v>342.43999999999977</v>
      </c>
      <c r="DP75" s="17">
        <f>DO75*VLOOKUP('Données projet'!$B$14,Paramètres!$A$1:$I$89,3,0)*VLOOKUP('Données projet'!$B$14,Paramètres!$A$1:$I$89,5,0)</f>
        <v>204.77911999999986</v>
      </c>
      <c r="DQ75" s="13">
        <f t="shared" si="97"/>
        <v>50.79302579334589</v>
      </c>
      <c r="DR75" s="20">
        <f t="shared" si="70"/>
        <v>445.12148725674388</v>
      </c>
      <c r="DS75" s="59">
        <f t="shared" si="71"/>
        <v>738.45482059007713</v>
      </c>
      <c r="DT75" s="59">
        <f ca="1">AVERAGE(OFFSET($DS$3,0,0,'Données projet'!$E$14+1,1))-AVERAGE(OFFSET($H$3,0,0,'Données projet'!$E$14+1,1))</f>
        <v>179.32848817523677</v>
      </c>
      <c r="DU75" s="59">
        <f t="shared" si="98"/>
        <v>131.3292389103035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4.1132736534063987</v>
      </c>
      <c r="EC75" s="21">
        <f>EXP(-LN(2)/2)*EC74+(1-EXP(-LN(2)/2))/(LN(2)/2)*DW75*DZ75*VLOOKUP('Données projet'!$B$14,Paramètres!$A$1:$I$89,3,0)*0.475*44/12</f>
        <v>2.509531677839966E-6</v>
      </c>
      <c r="ED75" s="22">
        <f t="shared" si="72"/>
        <v>4.1132761629380763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-2.2737367544323206E-13</v>
      </c>
      <c r="EK75" s="17">
        <f>EJ75*VLOOKUP('Données projet'!$B$15,Paramètres!$A$1:$I$89,3,0)*VLOOKUP('Données projet'!$B$15,Paramètres!$A$1:$I$89,5,0)</f>
        <v>-1.0049916454590858E-13</v>
      </c>
      <c r="EL75" s="13" t="e">
        <f t="shared" si="99"/>
        <v>#NUM!</v>
      </c>
      <c r="EM75" s="20" t="e">
        <f t="shared" si="73"/>
        <v>#NUM!</v>
      </c>
      <c r="EN75" s="59" t="e">
        <f t="shared" si="74"/>
        <v>#NUM!</v>
      </c>
      <c r="EO75" s="59">
        <f ca="1">AVERAGE(OFFSET($EN$3,0,0,'Données projet'!$E$15+1,1))-AVERAGE(OFFSET($H$3,0,0,'Données projet'!$E$15+1,1))</f>
        <v>191.932060106699</v>
      </c>
      <c r="EP75" s="59">
        <f t="shared" si="100"/>
        <v>260.28593152736903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1.063502920762595</v>
      </c>
      <c r="EW75" s="21">
        <f>EXP(-LN(2)/25)*EW74+(1-EXP(-LN(2)/25))/(LN(2)/25)*Calculateur!ER75*Calculateur!ET75*VLOOKUP('Données projet'!$B$15,Paramètres!$A$1:$I$89,3,0)*0.475*44/12</f>
        <v>3.9384016708359355</v>
      </c>
      <c r="EX75" s="21">
        <f>EXP(-LN(2)/2)*EX74+(1-EXP(-LN(2)/2))/(LN(2)/2)*ER75*EU75*VLOOKUP('Données projet'!$B$15,Paramètres!$A$1:$I$89,3,0)*0.475*44/12</f>
        <v>6.3818743840415462E-7</v>
      </c>
      <c r="EY75" s="22">
        <f t="shared" si="75"/>
        <v>5.0019052297859687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3.4</v>
      </c>
      <c r="FE75" s="12">
        <f>IF('Données projet'!$A$218&gt;35,FE74+FD75-FM74,IF(A75&lt;'Données projet'!$A$218,$FB$205^A75,IF(A75='Données projet'!$A$218,'Données projet'!$B$218,FE74+FD75-FM74)))</f>
        <v>128.79999999999998</v>
      </c>
      <c r="FF75" s="17">
        <f>FE75*VLOOKUP('Données projet'!$B$16,Paramètres!$A$1:$I$89,3,0)*VLOOKUP('Données projet'!$B$16,Paramètres!$A$1:$I$89,5,0)</f>
        <v>124.57535999999999</v>
      </c>
      <c r="FG75" s="13">
        <f t="shared" si="101"/>
        <v>32.739791806000952</v>
      </c>
      <c r="FH75" s="20">
        <f t="shared" si="76"/>
        <v>273.99055606211823</v>
      </c>
      <c r="FI75" s="59">
        <f t="shared" si="77"/>
        <v>567.32388939545149</v>
      </c>
      <c r="FJ75" s="59">
        <f ca="1">AVERAGE(OFFSET($FI$3,0,0,'Données projet'!$E$16+1,1))-AVERAGE(OFFSET($H$3,0,0,'Données projet'!$E$16+1,1))</f>
        <v>102.86738524979938</v>
      </c>
      <c r="FK75" s="59">
        <f t="shared" si="102"/>
        <v>56.347130462109817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0</v>
      </c>
      <c r="FR75" s="21">
        <f>EXP(-LN(2)/25)*FR74+(1-EXP(-LN(2)/25))/(LN(2)/25)*Calculateur!FM75*Calculateur!FO75*VLOOKUP('Données projet'!$B$16,Paramètres!$A$1:$I$89,3,0)*0.475*44/12</f>
        <v>0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0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7.3</v>
      </c>
      <c r="FZ75" s="12">
        <f>IF('Données projet'!$A$244&gt;35,FZ74+FY75-GH74,IF(A75&lt;'Données projet'!$A$244,$FW$205^A75,IF(A75='Données projet'!$A$244,'Données projet'!$B$244,FZ74+FY75-GH74)))</f>
        <v>237.60000000000014</v>
      </c>
      <c r="GA75" s="17">
        <f>FZ75*VLOOKUP('Données projet'!$B$17,Paramètres!$A$1:$I$89,3,0)*VLOOKUP('Données projet'!$B$17,Paramètres!$A$1:$I$89,5,0)</f>
        <v>159.38208000000012</v>
      </c>
      <c r="GB75" s="13">
        <f t="shared" si="103"/>
        <v>40.703110453983911</v>
      </c>
      <c r="GC75" s="20">
        <f t="shared" si="79"/>
        <v>348.48170670735544</v>
      </c>
      <c r="GD75" s="59">
        <f t="shared" si="80"/>
        <v>641.8150400406887</v>
      </c>
      <c r="GE75" s="59">
        <f ca="1">AVERAGE(OFFSET($GD$3,0,0,'Données projet'!$E$17+1,1))-AVERAGE(OFFSET($H$3,0,0,'Données projet'!$E$17+1,1))</f>
        <v>168.00454652899231</v>
      </c>
      <c r="GF75" s="59">
        <f t="shared" si="104"/>
        <v>135.31958994080446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0</v>
      </c>
      <c r="GM75" s="21">
        <f>EXP(-LN(2)/25)*GM74+(1-EXP(-LN(2)/25))/(LN(2)/25)*Calculateur!GH75*Calculateur!GJ75*VLOOKUP('Données projet'!$B$17,Paramètres!$A$1:$I$89,3,0)*0.475*44/12</f>
        <v>0</v>
      </c>
      <c r="GN75" s="21">
        <f>EXP(-LN(2)/2)*GN74+(1-EXP(-LN(2)/2))/(LN(2)/2)*GH75*GK75*VLOOKUP('Données projet'!$B$17,Paramètres!$A$1:$I$89,3,0)*0.475*44/12</f>
        <v>0</v>
      </c>
      <c r="GO75" s="21">
        <f t="shared" si="81"/>
        <v>0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7.8425925925925934</v>
      </c>
      <c r="N76" s="13">
        <f>IF('Données projet'!$A$36&gt;35,N75+M76-V75,IF(A76&lt;'Données projet'!$A$36,$K$205^A76,IF(A76='Données projet'!$A$36,'Données projet'!$B$36,N75+M76-V75)))</f>
        <v>219.11467236467234</v>
      </c>
      <c r="O76" s="13">
        <f>N76*VLOOKUP('Données projet'!$B$9,Paramètres!$A$1:$I$89,3,0)*VLOOKUP('Données projet'!$B$9,Paramètres!$A$1:$I$89,5,0)</f>
        <v>198.25495555555554</v>
      </c>
      <c r="P76" s="13">
        <f t="shared" si="87"/>
        <v>49.360464390082761</v>
      </c>
      <c r="Q76" s="20">
        <f t="shared" si="54"/>
        <v>431.26352307198675</v>
      </c>
      <c r="R76" s="59">
        <f t="shared" si="55"/>
        <v>724.59685640532007</v>
      </c>
      <c r="S76" s="59">
        <f ca="1">AVERAGE(OFFSET($R$3,0,0,'Données projet'!$E$9+1,1))-AVERAGE(OFFSET($H$3,0,0,'Données projet'!$E$9+1,1))</f>
        <v>221.7429870520005</v>
      </c>
      <c r="T76" s="59">
        <f t="shared" si="88"/>
        <v>182.2029938397186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0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5.6899038461538431</v>
      </c>
      <c r="AI76" s="13">
        <f>IF('Données projet'!$A$62&gt;35,AI75+AH76-AQ75,IF(A76&lt;'Données projet'!$A$62,$AF$205^A76,IF(A76='Données projet'!$A$62,'Données projet'!$B$62,AI75+AH76-AQ75)))</f>
        <v>170.00480769230765</v>
      </c>
      <c r="AJ76" s="13">
        <f>AI76*VLOOKUP('Données projet'!$B$10,Paramètres!$A$1:$I$89,3,0)*VLOOKUP('Données projet'!$B$10,Paramètres!$A$1:$I$89,5,0)</f>
        <v>153.82034999999993</v>
      </c>
      <c r="AK76" s="13">
        <f t="shared" si="89"/>
        <v>39.445498990742948</v>
      </c>
      <c r="AL76" s="20">
        <f t="shared" si="58"/>
        <v>336.60468699221047</v>
      </c>
      <c r="AM76" s="59">
        <f t="shared" si="59"/>
        <v>629.93802032554379</v>
      </c>
      <c r="AN76" s="59">
        <f ca="1">AVERAGE(OFFSET($AM$3,0,0,'Données projet'!$E$10+1,1))-AVERAGE(OFFSET($H$3,0,0,'Données projet'!$E$10+1,1))</f>
        <v>153.45079678708987</v>
      </c>
      <c r="AO76" s="59">
        <f t="shared" si="90"/>
        <v>115.4217868409637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12.913461538461533</v>
      </c>
      <c r="BD76" s="12">
        <f>IF('Données projet'!$A$88&gt;35,BD75+BC76-BL75,IF(A76&lt;'Données projet'!$A$88,$BA$205^A76,IF(A76='Données projet'!$A$88,'Données projet'!$B$88,BD75+BC76-BL75)))</f>
        <v>359.38076923076932</v>
      </c>
      <c r="BE76" s="13">
        <f>BD76*VLOOKUP('Données projet'!$B$11,Paramètres!$A$1:$I$89,3,0)*VLOOKUP('Données projet'!$B$11,Paramètres!$A$1:$I$89,5,0)</f>
        <v>168.19020000000003</v>
      </c>
      <c r="BF76" s="13">
        <f t="shared" si="91"/>
        <v>42.684436447240749</v>
      </c>
      <c r="BG76" s="20">
        <f t="shared" si="61"/>
        <v>367.27332514561107</v>
      </c>
      <c r="BH76" s="59">
        <f t="shared" si="62"/>
        <v>660.60665847894438</v>
      </c>
      <c r="BI76" s="59">
        <f ca="1">AVERAGE(OFFSET($BH$3,0,0,'Données projet'!$E$11+1,1))-AVERAGE(OFFSET($H$3,0,0,'Données projet'!$E$11+1,1))</f>
        <v>158.58786357608489</v>
      </c>
      <c r="BJ76" s="59">
        <f t="shared" si="92"/>
        <v>163.20074068819849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0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6</v>
      </c>
      <c r="BY76" s="12">
        <f>IF('Données projet'!$A$114&gt;35,BY75+BX76-CG75,IF(A76&lt;'Données projet'!$A$114,$BV$205^A76,IF(A76='Données projet'!$A$114,'Données projet'!$B$114,BY75+BX76-CG75)))</f>
        <v>400</v>
      </c>
      <c r="BZ76" s="13">
        <f>BY76*VLOOKUP('Données projet'!$B$12,Paramètres!$A$1:$I$89,3,0)*VLOOKUP('Données projet'!$B$12,Paramètres!$A$1:$I$89,5,0)</f>
        <v>249.60000000000002</v>
      </c>
      <c r="CA76" s="13">
        <f t="shared" si="93"/>
        <v>60.500278891753695</v>
      </c>
      <c r="CB76" s="20">
        <f t="shared" si="64"/>
        <v>540.0913190698044</v>
      </c>
      <c r="CC76" s="59">
        <f t="shared" si="65"/>
        <v>833.42465240313777</v>
      </c>
      <c r="CD76" s="59">
        <f ca="1">AVERAGE(OFFSET($CC$3,0,0,'Données projet'!$E$12+1,1))-AVERAGE(OFFSET($H$3,0,0,'Données projet'!$E$12+1,1))</f>
        <v>255.41017495879987</v>
      </c>
      <c r="CE76" s="59">
        <f t="shared" si="94"/>
        <v>297.50513563712764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3.5607101817399802</v>
      </c>
      <c r="CL76" s="21">
        <f>EXP(-LN(2)/25)*CL75+(1-EXP(-LN(2)/25))/(LN(2)/25)*Calculateur!CG76*Calculateur!CI76*VLOOKUP('Données projet'!$B$12,Paramètres!$A$1:$I$89,3,0)*0.475*44/12</f>
        <v>8.4598627005195013</v>
      </c>
      <c r="CM76" s="21">
        <f>EXP(-LN(2)/2)*CM75+(1-EXP(-LN(2)/2))/(LN(2)/2)*CG76*CJ76*VLOOKUP('Données projet'!$B$12,Paramètres!$A$1:$I$89,3,0)*0.475*44/12</f>
        <v>8.2274664506623608E-6</v>
      </c>
      <c r="CN76" s="22">
        <f t="shared" si="66"/>
        <v>12.020581109725931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5.5269230769230742</v>
      </c>
      <c r="CT76" s="12">
        <f>IF('Données projet'!$A$140&gt;35,CT75+CS76-DB75,IF(A76&lt;'Données projet'!$A$140,$CQ$205^A76,IF(A76='Données projet'!$A$140,'Données projet'!$B$140,CT75+CS76-DB75)))</f>
        <v>265.75769230769214</v>
      </c>
      <c r="CU76" s="17">
        <f>CT76*VLOOKUP('Données projet'!$B$13,Paramètres!$A$1:$I$89,3,0)*VLOOKUP('Données projet'!$B$13,Paramètres!$A$1:$I$89,5,0)</f>
        <v>152.0133999999999</v>
      </c>
      <c r="CV76" s="13">
        <f t="shared" si="95"/>
        <v>39.035782328959868</v>
      </c>
      <c r="CW76" s="20">
        <f t="shared" si="67"/>
        <v>332.74399255627156</v>
      </c>
      <c r="CX76" s="59">
        <f t="shared" si="68"/>
        <v>626.07732588960494</v>
      </c>
      <c r="CY76" s="59">
        <f ca="1">AVERAGE(OFFSET($CX$3,0,0,'Données projet'!$E$13+1,1))-AVERAGE(OFFSET($H$3,0,0,'Données projet'!$E$13+1,1))</f>
        <v>134.70214882504786</v>
      </c>
      <c r="CZ76" s="59">
        <f t="shared" si="96"/>
        <v>102.18553029667771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0.45362348052781576</v>
      </c>
      <c r="DG76" s="21">
        <f>EXP(-LN(2)/25)*DG75+(1-EXP(-LN(2)/25))/(LN(2)/25)*Calculateur!DB76*Calculateur!DD76*VLOOKUP('Données projet'!$B$13,Paramètres!$A$1:$I$89,3,0)*0.475*44/12</f>
        <v>3.8094295735176256</v>
      </c>
      <c r="DH76" s="21">
        <f>EXP(-LN(2)/2)*DH75+(1-EXP(-LN(2)/2))/(LN(2)/2)*DB76*DE76*VLOOKUP('Données projet'!$B$13,Paramètres!$A$1:$I$89,3,0)*0.475*44/12</f>
        <v>2.5982339927794724E-6</v>
      </c>
      <c r="DI76" s="22">
        <f t="shared" si="69"/>
        <v>4.2630556522794336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7.5584615384615343</v>
      </c>
      <c r="DO76" s="12">
        <f>IF('Données projet'!$A$166&gt;35,DO75+DN76-DW75,IF(A76&lt;'Données projet'!$A$166,$DL$205^A76,IF(A76='Données projet'!$A$166,'Données projet'!$B$166,DO75+DN76-DW75)))</f>
        <v>349.9984615384613</v>
      </c>
      <c r="DP76" s="17">
        <f>DO76*VLOOKUP('Données projet'!$B$14,Paramètres!$A$1:$I$89,3,0)*VLOOKUP('Données projet'!$B$14,Paramètres!$A$1:$I$89,5,0)</f>
        <v>209.29907999999986</v>
      </c>
      <c r="DQ76" s="13">
        <f t="shared" si="97"/>
        <v>51.782387252616175</v>
      </c>
      <c r="DR76" s="20">
        <f t="shared" si="70"/>
        <v>454.71688879830623</v>
      </c>
      <c r="DS76" s="59">
        <f t="shared" si="71"/>
        <v>748.05022213163954</v>
      </c>
      <c r="DT76" s="59">
        <f ca="1">AVERAGE(OFFSET($DS$3,0,0,'Données projet'!$E$14+1,1))-AVERAGE(OFFSET($H$3,0,0,'Données projet'!$E$14+1,1))</f>
        <v>179.32848817523677</v>
      </c>
      <c r="DU76" s="59">
        <f t="shared" si="98"/>
        <v>131.3292389103035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4.0007959690463402</v>
      </c>
      <c r="EC76" s="21">
        <f>EXP(-LN(2)/2)*EC75+(1-EXP(-LN(2)/2))/(LN(2)/2)*DW76*DZ76*VLOOKUP('Données projet'!$B$14,Paramètres!$A$1:$I$89,3,0)*0.475*44/12</f>
        <v>1.7745068670030944E-6</v>
      </c>
      <c r="ED76" s="22">
        <f t="shared" si="72"/>
        <v>4.0007977435532069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-2.2737367544323206E-13</v>
      </c>
      <c r="EK76" s="17">
        <f>EJ76*VLOOKUP('Données projet'!$B$15,Paramètres!$A$1:$I$89,3,0)*VLOOKUP('Données projet'!$B$15,Paramètres!$A$1:$I$89,5,0)</f>
        <v>-1.0049916454590858E-13</v>
      </c>
      <c r="EL76" s="13" t="e">
        <f t="shared" si="99"/>
        <v>#NUM!</v>
      </c>
      <c r="EM76" s="20" t="e">
        <f t="shared" si="73"/>
        <v>#NUM!</v>
      </c>
      <c r="EN76" s="59" t="e">
        <f t="shared" si="74"/>
        <v>#NUM!</v>
      </c>
      <c r="EO76" s="59">
        <f ca="1">AVERAGE(OFFSET($EN$3,0,0,'Données projet'!$E$15+1,1))-AVERAGE(OFFSET($H$3,0,0,'Données projet'!$E$15+1,1))</f>
        <v>191.932060106699</v>
      </c>
      <c r="EP76" s="59">
        <f t="shared" si="100"/>
        <v>260.28593152736903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1.042648277159171</v>
      </c>
      <c r="EW76" s="21">
        <f>EXP(-LN(2)/25)*EW75+(1-EXP(-LN(2)/25))/(LN(2)/25)*Calculateur!ER76*Calculateur!ET76*VLOOKUP('Données projet'!$B$15,Paramètres!$A$1:$I$89,3,0)*0.475*44/12</f>
        <v>3.8307058700353842</v>
      </c>
      <c r="EX76" s="21">
        <f>EXP(-LN(2)/2)*EX75+(1-EXP(-LN(2)/2))/(LN(2)/2)*ER76*EU76*VLOOKUP('Données projet'!$B$15,Paramètres!$A$1:$I$89,3,0)*0.475*44/12</f>
        <v>4.5126666536364984E-7</v>
      </c>
      <c r="EY76" s="22">
        <f t="shared" si="75"/>
        <v>4.8733545984612201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3.4</v>
      </c>
      <c r="FE76" s="12">
        <f>IF('Données projet'!$A$218&gt;35,FE75+FD76-FM75,IF(A76&lt;'Données projet'!$A$218,$FB$205^A76,IF(A76='Données projet'!$A$218,'Données projet'!$B$218,FE75+FD76-FM75)))</f>
        <v>132.19999999999999</v>
      </c>
      <c r="FF76" s="17">
        <f>FE76*VLOOKUP('Données projet'!$B$16,Paramètres!$A$1:$I$89,3,0)*VLOOKUP('Données projet'!$B$16,Paramètres!$A$1:$I$89,5,0)</f>
        <v>127.86384</v>
      </c>
      <c r="FG76" s="13">
        <f t="shared" si="101"/>
        <v>33.502280509335172</v>
      </c>
      <c r="FH76" s="20">
        <f t="shared" si="76"/>
        <v>281.04599322042537</v>
      </c>
      <c r="FI76" s="59">
        <f t="shared" si="77"/>
        <v>574.37932655375869</v>
      </c>
      <c r="FJ76" s="59">
        <f ca="1">AVERAGE(OFFSET($FI$3,0,0,'Données projet'!$E$16+1,1))-AVERAGE(OFFSET($H$3,0,0,'Données projet'!$E$16+1,1))</f>
        <v>102.86738524979938</v>
      </c>
      <c r="FK76" s="59">
        <f t="shared" si="102"/>
        <v>56.347130462109817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0</v>
      </c>
      <c r="FR76" s="21">
        <f>EXP(-LN(2)/25)*FR75+(1-EXP(-LN(2)/25))/(LN(2)/25)*Calculateur!FM76*Calculateur!FO76*VLOOKUP('Données projet'!$B$16,Paramètres!$A$1:$I$89,3,0)*0.475*44/12</f>
        <v>0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0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7.3</v>
      </c>
      <c r="FZ76" s="12">
        <f>IF('Données projet'!$A$244&gt;35,FZ75+FY76-GH75,IF(A76&lt;'Données projet'!$A$244,$FW$205^A76,IF(A76='Données projet'!$A$244,'Données projet'!$B$244,FZ75+FY76-GH75)))</f>
        <v>244.90000000000015</v>
      </c>
      <c r="GA76" s="17">
        <f>FZ76*VLOOKUP('Données projet'!$B$17,Paramètres!$A$1:$I$89,3,0)*VLOOKUP('Données projet'!$B$17,Paramètres!$A$1:$I$89,5,0)</f>
        <v>164.27892000000008</v>
      </c>
      <c r="GB76" s="13">
        <f t="shared" si="103"/>
        <v>41.806150326626771</v>
      </c>
      <c r="GC76" s="20">
        <f t="shared" si="79"/>
        <v>358.93149748554174</v>
      </c>
      <c r="GD76" s="59">
        <f t="shared" si="80"/>
        <v>652.264830818875</v>
      </c>
      <c r="GE76" s="59">
        <f ca="1">AVERAGE(OFFSET($GD$3,0,0,'Données projet'!$E$17+1,1))-AVERAGE(OFFSET($H$3,0,0,'Données projet'!$E$17+1,1))</f>
        <v>168.00454652899231</v>
      </c>
      <c r="GF76" s="59">
        <f t="shared" si="104"/>
        <v>135.31958994080446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0</v>
      </c>
      <c r="GM76" s="21">
        <f>EXP(-LN(2)/25)*GM75+(1-EXP(-LN(2)/25))/(LN(2)/25)*Calculateur!GH76*Calculateur!GJ76*VLOOKUP('Données projet'!$B$17,Paramètres!$A$1:$I$89,3,0)*0.475*44/12</f>
        <v>0</v>
      </c>
      <c r="GN76" s="21">
        <f>EXP(-LN(2)/2)*GN75+(1-EXP(-LN(2)/2))/(LN(2)/2)*GH76*GK76*VLOOKUP('Données projet'!$B$17,Paramètres!$A$1:$I$89,3,0)*0.475*44/12</f>
        <v>0</v>
      </c>
      <c r="GO76" s="21">
        <f t="shared" si="81"/>
        <v>0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7.8425925925925934</v>
      </c>
      <c r="N77" s="13">
        <f>IF('Données projet'!$A$36&gt;35,N76+M77-V76,IF(A77&lt;'Données projet'!$A$36,$K$205^A77,IF(A77='Données projet'!$A$36,'Données projet'!$B$36,N76+M77-V76)))</f>
        <v>226.95726495726493</v>
      </c>
      <c r="O77" s="13">
        <f>N77*VLOOKUP('Données projet'!$B$9,Paramètres!$A$1:$I$89,3,0)*VLOOKUP('Données projet'!$B$9,Paramètres!$A$1:$I$89,5,0)</f>
        <v>205.35093333333327</v>
      </c>
      <c r="P77" s="13">
        <f t="shared" si="87"/>
        <v>50.91832775961656</v>
      </c>
      <c r="Q77" s="20">
        <f t="shared" si="54"/>
        <v>446.33562973688754</v>
      </c>
      <c r="R77" s="59">
        <f t="shared" si="55"/>
        <v>739.6689630702208</v>
      </c>
      <c r="S77" s="59">
        <f ca="1">AVERAGE(OFFSET($R$3,0,0,'Données projet'!$E$9+1,1))-AVERAGE(OFFSET($H$3,0,0,'Données projet'!$E$9+1,1))</f>
        <v>221.7429870520005</v>
      </c>
      <c r="T77" s="59">
        <f t="shared" si="88"/>
        <v>182.2029938397186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0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5.6899038461538431</v>
      </c>
      <c r="AI77" s="13">
        <f>IF('Données projet'!$A$62&gt;35,AI76+AH77-AQ76,IF(A77&lt;'Données projet'!$A$62,$AF$205^A77,IF(A77='Données projet'!$A$62,'Données projet'!$B$62,AI76+AH77-AQ76)))</f>
        <v>175.69471153846149</v>
      </c>
      <c r="AJ77" s="13">
        <f>AI77*VLOOKUP('Données projet'!$B$10,Paramètres!$A$1:$I$89,3,0)*VLOOKUP('Données projet'!$B$10,Paramètres!$A$1:$I$89,5,0)</f>
        <v>158.96857499999996</v>
      </c>
      <c r="AK77" s="13">
        <f t="shared" si="89"/>
        <v>40.609787126426944</v>
      </c>
      <c r="AL77" s="20">
        <f t="shared" si="58"/>
        <v>347.59898070352688</v>
      </c>
      <c r="AM77" s="59">
        <f t="shared" si="59"/>
        <v>640.93231403686013</v>
      </c>
      <c r="AN77" s="59">
        <f ca="1">AVERAGE(OFFSET($AM$3,0,0,'Données projet'!$E$10+1,1))-AVERAGE(OFFSET($H$3,0,0,'Données projet'!$E$10+1,1))</f>
        <v>153.45079678708987</v>
      </c>
      <c r="AO77" s="59">
        <f t="shared" si="90"/>
        <v>115.4217868409637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12.913461538461533</v>
      </c>
      <c r="BD77" s="12">
        <f>IF('Données projet'!$A$88&gt;35,BD76+BC77-BL76,IF(A77&lt;'Données projet'!$A$88,$BA$205^A77,IF(A77='Données projet'!$A$88,'Données projet'!$B$88,BD76+BC77-BL76)))</f>
        <v>372.29423076923086</v>
      </c>
      <c r="BE77" s="13">
        <f>BD77*VLOOKUP('Données projet'!$B$11,Paramètres!$A$1:$I$89,3,0)*VLOOKUP('Données projet'!$B$11,Paramètres!$A$1:$I$89,5,0)</f>
        <v>174.23370000000006</v>
      </c>
      <c r="BF77" s="13">
        <f t="shared" si="91"/>
        <v>44.036869769028705</v>
      </c>
      <c r="BG77" s="20">
        <f t="shared" si="61"/>
        <v>380.15457568105836</v>
      </c>
      <c r="BH77" s="59">
        <f t="shared" si="62"/>
        <v>673.48790901439168</v>
      </c>
      <c r="BI77" s="59">
        <f ca="1">AVERAGE(OFFSET($BH$3,0,0,'Données projet'!$E$11+1,1))-AVERAGE(OFFSET($H$3,0,0,'Données projet'!$E$11+1,1))</f>
        <v>158.58786357608489</v>
      </c>
      <c r="BJ77" s="59">
        <f t="shared" si="92"/>
        <v>163.20074068819849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0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6</v>
      </c>
      <c r="BY77" s="12">
        <f>IF('Données projet'!$A$114&gt;35,BY76+BX77-CG76,IF(A77&lt;'Données projet'!$A$114,$BV$205^A77,IF(A77='Données projet'!$A$114,'Données projet'!$B$114,BY76+BX77-CG76)))</f>
        <v>406</v>
      </c>
      <c r="BZ77" s="13">
        <f>BY77*VLOOKUP('Données projet'!$B$12,Paramètres!$A$1:$I$89,3,0)*VLOOKUP('Données projet'!$B$12,Paramètres!$A$1:$I$89,5,0)</f>
        <v>253.34399999999999</v>
      </c>
      <c r="CA77" s="13">
        <f t="shared" si="93"/>
        <v>61.301453431926305</v>
      </c>
      <c r="CB77" s="20">
        <f t="shared" si="64"/>
        <v>548.00749806060492</v>
      </c>
      <c r="CC77" s="59">
        <f t="shared" si="65"/>
        <v>841.34083139393829</v>
      </c>
      <c r="CD77" s="59">
        <f ca="1">AVERAGE(OFFSET($CC$3,0,0,'Données projet'!$E$12+1,1))-AVERAGE(OFFSET($H$3,0,0,'Données projet'!$E$12+1,1))</f>
        <v>255.41017495879987</v>
      </c>
      <c r="CE77" s="59">
        <f t="shared" si="94"/>
        <v>297.50513563712764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3.4908868268948208</v>
      </c>
      <c r="CL77" s="21">
        <f>EXP(-LN(2)/25)*CL76+(1-EXP(-LN(2)/25))/(LN(2)/25)*Calculateur!CG77*Calculateur!CI77*VLOOKUP('Données projet'!$B$12,Paramètres!$A$1:$I$89,3,0)*0.475*44/12</f>
        <v>8.2285273100889516</v>
      </c>
      <c r="CM77" s="21">
        <f>EXP(-LN(2)/2)*CM76+(1-EXP(-LN(2)/2))/(LN(2)/2)*CG77*CJ77*VLOOKUP('Données projet'!$B$12,Paramètres!$A$1:$I$89,3,0)*0.475*44/12</f>
        <v>5.8176973192481708E-6</v>
      </c>
      <c r="CN77" s="22">
        <f t="shared" si="66"/>
        <v>11.719419954681092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5.5269230769230742</v>
      </c>
      <c r="CT77" s="12">
        <f>IF('Données projet'!$A$140&gt;35,CT76+CS77-DB76,IF(A77&lt;'Données projet'!$A$140,$CQ$205^A77,IF(A77='Données projet'!$A$140,'Données projet'!$B$140,CT76+CS77-DB76)))</f>
        <v>271.28461538461522</v>
      </c>
      <c r="CU77" s="17">
        <f>CT77*VLOOKUP('Données projet'!$B$13,Paramètres!$A$1:$I$89,3,0)*VLOOKUP('Données projet'!$B$13,Paramètres!$A$1:$I$89,5,0)</f>
        <v>155.17479999999989</v>
      </c>
      <c r="CV77" s="13">
        <f t="shared" si="95"/>
        <v>39.752246078522639</v>
      </c>
      <c r="CW77" s="20">
        <f t="shared" si="67"/>
        <v>339.49793858676009</v>
      </c>
      <c r="CX77" s="59">
        <f t="shared" si="68"/>
        <v>632.8312719200934</v>
      </c>
      <c r="CY77" s="59">
        <f ca="1">AVERAGE(OFFSET($CX$3,0,0,'Données projet'!$E$13+1,1))-AVERAGE(OFFSET($H$3,0,0,'Données projet'!$E$13+1,1))</f>
        <v>134.70214882504786</v>
      </c>
      <c r="CZ77" s="59">
        <f t="shared" si="96"/>
        <v>102.18553029667771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0.44472820075766822</v>
      </c>
      <c r="DG77" s="21">
        <f>EXP(-LN(2)/25)*DG76+(1-EXP(-LN(2)/25))/(LN(2)/25)*Calculateur!DB77*Calculateur!DD77*VLOOKUP('Données projet'!$B$13,Paramètres!$A$1:$I$89,3,0)*0.475*44/12</f>
        <v>3.7052605215005916</v>
      </c>
      <c r="DH77" s="21">
        <f>EXP(-LN(2)/2)*DH76+(1-EXP(-LN(2)/2))/(LN(2)/2)*DB77*DE77*VLOOKUP('Données projet'!$B$13,Paramètres!$A$1:$I$89,3,0)*0.475*44/12</f>
        <v>1.8372288754037641E-6</v>
      </c>
      <c r="DI77" s="22">
        <f t="shared" si="69"/>
        <v>4.1499905594871356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7.5584615384615343</v>
      </c>
      <c r="DO77" s="12">
        <f>IF('Données projet'!$A$166&gt;35,DO76+DN77-DW76,IF(A77&lt;'Données projet'!$A$166,$DL$205^A77,IF(A77='Données projet'!$A$166,'Données projet'!$B$166,DO76+DN77-DW76)))</f>
        <v>357.55692307692283</v>
      </c>
      <c r="DP77" s="17">
        <f>DO77*VLOOKUP('Données projet'!$B$14,Paramètres!$A$1:$I$89,3,0)*VLOOKUP('Données projet'!$B$14,Paramètres!$A$1:$I$89,5,0)</f>
        <v>213.81903999999986</v>
      </c>
      <c r="DQ77" s="13">
        <f t="shared" si="97"/>
        <v>52.769264634128973</v>
      </c>
      <c r="DR77" s="20">
        <f t="shared" si="70"/>
        <v>464.30796390444101</v>
      </c>
      <c r="DS77" s="59">
        <f t="shared" si="71"/>
        <v>757.64129723777432</v>
      </c>
      <c r="DT77" s="59">
        <f ca="1">AVERAGE(OFFSET($DS$3,0,0,'Données projet'!$E$14+1,1))-AVERAGE(OFFSET($H$3,0,0,'Données projet'!$E$14+1,1))</f>
        <v>179.32848817523677</v>
      </c>
      <c r="DU77" s="59">
        <f t="shared" si="98"/>
        <v>131.3292389103035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3.8913939928800518</v>
      </c>
      <c r="EC77" s="21">
        <f>EXP(-LN(2)/2)*EC76+(1-EXP(-LN(2)/2))/(LN(2)/2)*DW77*DZ77*VLOOKUP('Données projet'!$B$14,Paramètres!$A$1:$I$89,3,0)*0.475*44/12</f>
        <v>1.254765838919983E-6</v>
      </c>
      <c r="ED77" s="22">
        <f t="shared" si="72"/>
        <v>3.8913952476458906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-2.2737367544323206E-13</v>
      </c>
      <c r="EK77" s="17">
        <f>EJ77*VLOOKUP('Données projet'!$B$15,Paramètres!$A$1:$I$89,3,0)*VLOOKUP('Données projet'!$B$15,Paramètres!$A$1:$I$89,5,0)</f>
        <v>-1.0049916454590858E-13</v>
      </c>
      <c r="EL77" s="13" t="e">
        <f t="shared" si="99"/>
        <v>#NUM!</v>
      </c>
      <c r="EM77" s="20" t="e">
        <f t="shared" si="73"/>
        <v>#NUM!</v>
      </c>
      <c r="EN77" s="59" t="e">
        <f t="shared" si="74"/>
        <v>#NUM!</v>
      </c>
      <c r="EO77" s="59">
        <f ca="1">AVERAGE(OFFSET($EN$3,0,0,'Données projet'!$E$15+1,1))-AVERAGE(OFFSET($H$3,0,0,'Données projet'!$E$15+1,1))</f>
        <v>191.932060106699</v>
      </c>
      <c r="EP77" s="59">
        <f t="shared" si="100"/>
        <v>260.28593152736903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1.0222025803967336</v>
      </c>
      <c r="EW77" s="21">
        <f>EXP(-LN(2)/25)*EW76+(1-EXP(-LN(2)/25))/(LN(2)/25)*Calculateur!ER77*Calculateur!ET77*VLOOKUP('Données projet'!$B$15,Paramètres!$A$1:$I$89,3,0)*0.475*44/12</f>
        <v>3.7259550165712003</v>
      </c>
      <c r="EX77" s="21">
        <f>EXP(-LN(2)/2)*EX76+(1-EXP(-LN(2)/2))/(LN(2)/2)*ER77*EU77*VLOOKUP('Données projet'!$B$15,Paramètres!$A$1:$I$89,3,0)*0.475*44/12</f>
        <v>3.1909371920207731E-7</v>
      </c>
      <c r="EY77" s="22">
        <f t="shared" si="75"/>
        <v>4.7481579160616532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3.4</v>
      </c>
      <c r="FE77" s="12">
        <f>IF('Données projet'!$A$218&gt;35,FE76+FD77-FM76,IF(A77&lt;'Données projet'!$A$218,$FB$205^A77,IF(A77='Données projet'!$A$218,'Données projet'!$B$218,FE76+FD77-FM76)))</f>
        <v>135.6</v>
      </c>
      <c r="FF77" s="17">
        <f>FE77*VLOOKUP('Données projet'!$B$16,Paramètres!$A$1:$I$89,3,0)*VLOOKUP('Données projet'!$B$16,Paramètres!$A$1:$I$89,5,0)</f>
        <v>131.15232</v>
      </c>
      <c r="FG77" s="13">
        <f t="shared" si="101"/>
        <v>34.262489739130991</v>
      </c>
      <c r="FH77" s="20">
        <f t="shared" si="76"/>
        <v>288.09746029565309</v>
      </c>
      <c r="FI77" s="59">
        <f t="shared" si="77"/>
        <v>581.43079362898641</v>
      </c>
      <c r="FJ77" s="59">
        <f ca="1">AVERAGE(OFFSET($FI$3,0,0,'Données projet'!$E$16+1,1))-AVERAGE(OFFSET($H$3,0,0,'Données projet'!$E$16+1,1))</f>
        <v>102.86738524979938</v>
      </c>
      <c r="FK77" s="59">
        <f t="shared" si="102"/>
        <v>56.347130462109817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0</v>
      </c>
      <c r="FR77" s="21">
        <f>EXP(-LN(2)/25)*FR76+(1-EXP(-LN(2)/25))/(LN(2)/25)*Calculateur!FM77*Calculateur!FO77*VLOOKUP('Données projet'!$B$16,Paramètres!$A$1:$I$89,3,0)*0.475*44/12</f>
        <v>0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0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7.3</v>
      </c>
      <c r="FZ77" s="12">
        <f>IF('Données projet'!$A$244&gt;35,FZ76+FY77-GH76,IF(A77&lt;'Données projet'!$A$244,$FW$205^A77,IF(A77='Données projet'!$A$244,'Données projet'!$B$244,FZ76+FY77-GH76)))</f>
        <v>252.20000000000016</v>
      </c>
      <c r="GA77" s="17">
        <f>FZ77*VLOOKUP('Données projet'!$B$17,Paramètres!$A$1:$I$89,3,0)*VLOOKUP('Données projet'!$B$17,Paramètres!$A$1:$I$89,5,0)</f>
        <v>169.17576000000011</v>
      </c>
      <c r="GB77" s="13">
        <f t="shared" si="103"/>
        <v>42.905369058689196</v>
      </c>
      <c r="GC77" s="20">
        <f t="shared" si="79"/>
        <v>369.37463311055052</v>
      </c>
      <c r="GD77" s="59">
        <f t="shared" si="80"/>
        <v>662.70796644388383</v>
      </c>
      <c r="GE77" s="59">
        <f ca="1">AVERAGE(OFFSET($GD$3,0,0,'Données projet'!$E$17+1,1))-AVERAGE(OFFSET($H$3,0,0,'Données projet'!$E$17+1,1))</f>
        <v>168.00454652899231</v>
      </c>
      <c r="GF77" s="59">
        <f t="shared" si="104"/>
        <v>135.31958994080446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0</v>
      </c>
      <c r="GM77" s="21">
        <f>EXP(-LN(2)/25)*GM76+(1-EXP(-LN(2)/25))/(LN(2)/25)*Calculateur!GH77*Calculateur!GJ77*VLOOKUP('Données projet'!$B$17,Paramètres!$A$1:$I$89,3,0)*0.475*44/12</f>
        <v>0</v>
      </c>
      <c r="GN77" s="21">
        <f>EXP(-LN(2)/2)*GN76+(1-EXP(-LN(2)/2))/(LN(2)/2)*GH77*GK77*VLOOKUP('Données projet'!$B$17,Paramètres!$A$1:$I$89,3,0)*0.475*44/12</f>
        <v>0</v>
      </c>
      <c r="GO77" s="21">
        <f t="shared" si="81"/>
        <v>0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7.8425925925925934</v>
      </c>
      <c r="N78" s="13">
        <f>IF('Données projet'!$A$36&gt;35,N77+M78-V77,IF(A78&lt;'Données projet'!$A$36,$K$205^A78,IF(A78='Données projet'!$A$36,'Données projet'!$B$36,N77+M78-V77)))</f>
        <v>234.79985754985751</v>
      </c>
      <c r="O78" s="13">
        <f>N78*VLOOKUP('Données projet'!$B$9,Paramètres!$A$1:$I$89,3,0)*VLOOKUP('Données projet'!$B$9,Paramètres!$A$1:$I$89,5,0)</f>
        <v>212.44691111111109</v>
      </c>
      <c r="P78" s="13">
        <f t="shared" si="87"/>
        <v>52.469936290697454</v>
      </c>
      <c r="Q78" s="20">
        <f t="shared" si="54"/>
        <v>461.3968425581499</v>
      </c>
      <c r="R78" s="59">
        <f t="shared" si="55"/>
        <v>754.73017589148321</v>
      </c>
      <c r="S78" s="59">
        <f ca="1">AVERAGE(OFFSET($R$3,0,0,'Données projet'!$E$9+1,1))-AVERAGE(OFFSET($H$3,0,0,'Données projet'!$E$9+1,1))</f>
        <v>221.7429870520005</v>
      </c>
      <c r="T78" s="59">
        <f t="shared" si="88"/>
        <v>182.2029938397186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0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181.38461538461536</v>
      </c>
      <c r="AG78" s="12">
        <f>VLOOKUP(A78,'Données projet'!$A$61:$I$81,9,0)</f>
        <v>5.6899038461538431</v>
      </c>
      <c r="AH78" s="12">
        <f t="array" ref="AH78">INDEX(AG:AG,MIN(IF(ISNUMBER(AG78:AG274),ROW(AG78:AG274),"")))</f>
        <v>5.6899038461538431</v>
      </c>
      <c r="AI78" s="13">
        <f>IF('Données projet'!$A$62&gt;35,AI77+AH78-AQ77,IF(A78&lt;'Données projet'!$A$62,$AF$205^A78,IF(A78='Données projet'!$A$62,'Données projet'!$B$62,AI77+AH78-AQ77)))</f>
        <v>181.38461538461533</v>
      </c>
      <c r="AJ78" s="13">
        <f>AI78*VLOOKUP('Données projet'!$B$10,Paramètres!$A$1:$I$89,3,0)*VLOOKUP('Données projet'!$B$10,Paramètres!$A$1:$I$89,5,0)</f>
        <v>164.11679999999993</v>
      </c>
      <c r="AK78" s="13">
        <f t="shared" si="89"/>
        <v>41.769693774469289</v>
      </c>
      <c r="AL78" s="20">
        <f t="shared" si="58"/>
        <v>358.58564332386726</v>
      </c>
      <c r="AM78" s="59">
        <f t="shared" si="59"/>
        <v>651.91897665720057</v>
      </c>
      <c r="AN78" s="59">
        <f ca="1">AVERAGE(OFFSET($AM$3,0,0,'Données projet'!$E$10+1,1))-AVERAGE(OFFSET($H$3,0,0,'Données projet'!$E$10+1,1))</f>
        <v>153.45079678708987</v>
      </c>
      <c r="AO78" s="59">
        <f t="shared" si="90"/>
        <v>115.4217868409637</v>
      </c>
      <c r="AP78" s="15">
        <f>IF(ISNA(VLOOKUP(A78,'Données projet'!$A$61:$I$81,3,0)),0,VLOOKUP(A78,'Données projet'!$A$61:$I$81,3,0))</f>
        <v>5</v>
      </c>
      <c r="AQ78" s="15">
        <f>IF(ISNA(VLOOKUP(A78,'Données projet'!$A$61:$I$81,4,0)),0,VLOOKUP(A78,'Données projet'!$A$61:$I$81,4,0))</f>
        <v>30.916666666666664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0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12.913461538461533</v>
      </c>
      <c r="BD78" s="12">
        <f>IF('Données projet'!$A$88&gt;35,BD77+BC78-BL77,IF(A78&lt;'Données projet'!$A$88,$BA$205^A78,IF(A78='Données projet'!$A$88,'Données projet'!$B$88,BD77+BC78-BL77)))</f>
        <v>385.20769230769241</v>
      </c>
      <c r="BE78" s="13">
        <f>BD78*VLOOKUP('Données projet'!$B$11,Paramètres!$A$1:$I$89,3,0)*VLOOKUP('Données projet'!$B$11,Paramètres!$A$1:$I$89,5,0)</f>
        <v>180.27720000000005</v>
      </c>
      <c r="BF78" s="13">
        <f t="shared" si="91"/>
        <v>45.383852535093837</v>
      </c>
      <c r="BG78" s="20">
        <f t="shared" si="61"/>
        <v>393.02633316528846</v>
      </c>
      <c r="BH78" s="59">
        <f t="shared" si="62"/>
        <v>686.35966649862178</v>
      </c>
      <c r="BI78" s="59">
        <f ca="1">AVERAGE(OFFSET($BH$3,0,0,'Données projet'!$E$11+1,1))-AVERAGE(OFFSET($H$3,0,0,'Données projet'!$E$11+1,1))</f>
        <v>158.58786357608489</v>
      </c>
      <c r="BJ78" s="59">
        <f t="shared" si="92"/>
        <v>163.20074068819849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0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6</v>
      </c>
      <c r="BY78" s="12">
        <f>IF('Données projet'!$A$114&gt;35,BY77+BX78-CG77,IF(A78&lt;'Données projet'!$A$114,$BV$205^A78,IF(A78='Données projet'!$A$114,'Données projet'!$B$114,BY77+BX78-CG77)))</f>
        <v>412</v>
      </c>
      <c r="BZ78" s="13">
        <f>BY78*VLOOKUP('Données projet'!$B$12,Paramètres!$A$1:$I$89,3,0)*VLOOKUP('Données projet'!$B$12,Paramètres!$A$1:$I$89,5,0)</f>
        <v>257.08800000000002</v>
      </c>
      <c r="CA78" s="13">
        <f t="shared" si="93"/>
        <v>62.101250925713771</v>
      </c>
      <c r="CB78" s="20">
        <f t="shared" si="64"/>
        <v>555.92127869561818</v>
      </c>
      <c r="CC78" s="59">
        <f t="shared" si="65"/>
        <v>849.25461202895144</v>
      </c>
      <c r="CD78" s="59">
        <f ca="1">AVERAGE(OFFSET($CC$3,0,0,'Données projet'!$E$12+1,1))-AVERAGE(OFFSET($H$3,0,0,'Données projet'!$E$12+1,1))</f>
        <v>255.41017495879987</v>
      </c>
      <c r="CE78" s="59">
        <f t="shared" si="94"/>
        <v>297.50513563712764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3.4224326654501338</v>
      </c>
      <c r="CL78" s="21">
        <f>EXP(-LN(2)/25)*CL77+(1-EXP(-LN(2)/25))/(LN(2)/25)*Calculateur!CG78*Calculateur!CI78*VLOOKUP('Données projet'!$B$12,Paramètres!$A$1:$I$89,3,0)*0.475*44/12</f>
        <v>8.0035177980751246</v>
      </c>
      <c r="CM78" s="21">
        <f>EXP(-LN(2)/2)*CM77+(1-EXP(-LN(2)/2))/(LN(2)/2)*CG78*CJ78*VLOOKUP('Données projet'!$B$12,Paramètres!$A$1:$I$89,3,0)*0.475*44/12</f>
        <v>4.1137332253311804E-6</v>
      </c>
      <c r="CN78" s="22">
        <f t="shared" si="66"/>
        <v>11.425954577258484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5.5269230769230742</v>
      </c>
      <c r="CT78" s="12">
        <f>IF('Données projet'!$A$140&gt;35,CT77+CS78-DB77,IF(A78&lt;'Données projet'!$A$140,$CQ$205^A78,IF(A78='Données projet'!$A$140,'Données projet'!$B$140,CT77+CS78-DB77)))</f>
        <v>276.81153846153831</v>
      </c>
      <c r="CU78" s="17">
        <f>CT78*VLOOKUP('Données projet'!$B$13,Paramètres!$A$1:$I$89,3,0)*VLOOKUP('Données projet'!$B$13,Paramètres!$A$1:$I$89,5,0)</f>
        <v>158.33619999999993</v>
      </c>
      <c r="CV78" s="13">
        <f t="shared" si="95"/>
        <v>40.46701266973087</v>
      </c>
      <c r="CW78" s="20">
        <f t="shared" si="67"/>
        <v>346.2489287331145</v>
      </c>
      <c r="CX78" s="59">
        <f t="shared" si="68"/>
        <v>639.58226206644781</v>
      </c>
      <c r="CY78" s="59">
        <f ca="1">AVERAGE(OFFSET($CX$3,0,0,'Données projet'!$E$13+1,1))-AVERAGE(OFFSET($H$3,0,0,'Données projet'!$E$13+1,1))</f>
        <v>134.70214882504786</v>
      </c>
      <c r="CZ78" s="59">
        <f t="shared" si="96"/>
        <v>102.18553029667771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0.43600735199822838</v>
      </c>
      <c r="DG78" s="21">
        <f>EXP(-LN(2)/25)*DG77+(1-EXP(-LN(2)/25))/(LN(2)/25)*Calculateur!DB78*Calculateur!DD78*VLOOKUP('Données projet'!$B$13,Paramètres!$A$1:$I$89,3,0)*0.475*44/12</f>
        <v>3.6039399776889756</v>
      </c>
      <c r="DH78" s="21">
        <f>EXP(-LN(2)/2)*DH77+(1-EXP(-LN(2)/2))/(LN(2)/2)*DB78*DE78*VLOOKUP('Données projet'!$B$13,Paramètres!$A$1:$I$89,3,0)*0.475*44/12</f>
        <v>1.2991169963897362E-6</v>
      </c>
      <c r="DI78" s="22">
        <f t="shared" si="69"/>
        <v>4.0399486288041997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7.5584615384615343</v>
      </c>
      <c r="DO78" s="12">
        <f>IF('Données projet'!$A$166&gt;35,DO77+DN78-DW77,IF(A78&lt;'Données projet'!$A$166,$DL$205^A78,IF(A78='Données projet'!$A$166,'Données projet'!$B$166,DO77+DN78-DW77)))</f>
        <v>365.11538461538436</v>
      </c>
      <c r="DP78" s="17">
        <f>DO78*VLOOKUP('Données projet'!$B$14,Paramètres!$A$1:$I$89,3,0)*VLOOKUP('Données projet'!$B$14,Paramètres!$A$1:$I$89,5,0)</f>
        <v>218.33899999999988</v>
      </c>
      <c r="DQ78" s="13">
        <f t="shared" si="97"/>
        <v>53.753716498326504</v>
      </c>
      <c r="DR78" s="20">
        <f t="shared" si="70"/>
        <v>473.8948145679185</v>
      </c>
      <c r="DS78" s="59">
        <f t="shared" si="71"/>
        <v>767.22814790125176</v>
      </c>
      <c r="DT78" s="59">
        <f ca="1">AVERAGE(OFFSET($DS$3,0,0,'Données projet'!$E$14+1,1))-AVERAGE(OFFSET($H$3,0,0,'Données projet'!$E$14+1,1))</f>
        <v>179.32848817523677</v>
      </c>
      <c r="DU78" s="59">
        <f t="shared" si="98"/>
        <v>131.3292389103035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</v>
      </c>
      <c r="EB78" s="21">
        <f>EXP(-LN(2)/25)*EB77+(1-EXP(-LN(2)/25))/(LN(2)/25)*Calculateur!DW78*Calculateur!DY78*VLOOKUP('Données projet'!$B$14,Paramètres!$A$1:$I$89,3,0)*0.475*44/12</f>
        <v>3.7849836195052307</v>
      </c>
      <c r="EC78" s="21">
        <f>EXP(-LN(2)/2)*EC77+(1-EXP(-LN(2)/2))/(LN(2)/2)*DW78*DZ78*VLOOKUP('Données projet'!$B$14,Paramètres!$A$1:$I$89,3,0)*0.475*44/12</f>
        <v>8.8725343350154718E-7</v>
      </c>
      <c r="ED78" s="22">
        <f t="shared" si="72"/>
        <v>3.784984506758664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-2.2737367544323206E-13</v>
      </c>
      <c r="EK78" s="17">
        <f>EJ78*VLOOKUP('Données projet'!$B$15,Paramètres!$A$1:$I$89,3,0)*VLOOKUP('Données projet'!$B$15,Paramètres!$A$1:$I$89,5,0)</f>
        <v>-1.0049916454590858E-13</v>
      </c>
      <c r="EL78" s="13" t="e">
        <f t="shared" si="99"/>
        <v>#NUM!</v>
      </c>
      <c r="EM78" s="20" t="e">
        <f t="shared" si="73"/>
        <v>#NUM!</v>
      </c>
      <c r="EN78" s="59" t="e">
        <f t="shared" si="74"/>
        <v>#NUM!</v>
      </c>
      <c r="EO78" s="59">
        <f ca="1">AVERAGE(OFFSET($EN$3,0,0,'Données projet'!$E$15+1,1))-AVERAGE(OFFSET($H$3,0,0,'Données projet'!$E$15+1,1))</f>
        <v>191.932060106699</v>
      </c>
      <c r="EP78" s="59">
        <f t="shared" si="100"/>
        <v>260.28593152736903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1.0021578112771641</v>
      </c>
      <c r="EW78" s="21">
        <f>EXP(-LN(2)/25)*EW77+(1-EXP(-LN(2)/25))/(LN(2)/25)*Calculateur!ER78*Calculateur!ET78*VLOOKUP('Données projet'!$B$15,Paramètres!$A$1:$I$89,3,0)*0.475*44/12</f>
        <v>3.6240685807036024</v>
      </c>
      <c r="EX78" s="21">
        <f>EXP(-LN(2)/2)*EX77+(1-EXP(-LN(2)/2))/(LN(2)/2)*ER78*EU78*VLOOKUP('Données projet'!$B$15,Paramètres!$A$1:$I$89,3,0)*0.475*44/12</f>
        <v>2.2563333268182492E-7</v>
      </c>
      <c r="EY78" s="22">
        <f t="shared" si="75"/>
        <v>4.6262266176140994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3.4</v>
      </c>
      <c r="FE78" s="12">
        <f>IF('Données projet'!$A$218&gt;35,FE77+FD78-FM77,IF(A78&lt;'Données projet'!$A$218,$FB$205^A78,IF(A78='Données projet'!$A$218,'Données projet'!$B$218,FE77+FD78-FM77)))</f>
        <v>139</v>
      </c>
      <c r="FF78" s="17">
        <f>FE78*VLOOKUP('Données projet'!$B$16,Paramètres!$A$1:$I$89,3,0)*VLOOKUP('Données projet'!$B$16,Paramètres!$A$1:$I$89,5,0)</f>
        <v>134.4408</v>
      </c>
      <c r="FG78" s="13">
        <f t="shared" si="101"/>
        <v>35.02048322365038</v>
      </c>
      <c r="FH78" s="20">
        <f t="shared" si="76"/>
        <v>295.14506828119107</v>
      </c>
      <c r="FI78" s="59">
        <f t="shared" si="77"/>
        <v>588.47840161452439</v>
      </c>
      <c r="FJ78" s="59">
        <f ca="1">AVERAGE(OFFSET($FI$3,0,0,'Données projet'!$E$16+1,1))-AVERAGE(OFFSET($H$3,0,0,'Données projet'!$E$16+1,1))</f>
        <v>102.86738524979938</v>
      </c>
      <c r="FK78" s="59">
        <f t="shared" si="102"/>
        <v>56.347130462109817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0</v>
      </c>
      <c r="FR78" s="21">
        <f>EXP(-LN(2)/25)*FR77+(1-EXP(-LN(2)/25))/(LN(2)/25)*Calculateur!FM78*Calculateur!FO78*VLOOKUP('Données projet'!$B$16,Paramètres!$A$1:$I$89,3,0)*0.475*44/12</f>
        <v>0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0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7.3</v>
      </c>
      <c r="FZ78" s="12">
        <f>IF('Données projet'!$A$244&gt;35,FZ77+FY78-GH77,IF(A78&lt;'Données projet'!$A$244,$FW$205^A78,IF(A78='Données projet'!$A$244,'Données projet'!$B$244,FZ77+FY78-GH77)))</f>
        <v>259.50000000000017</v>
      </c>
      <c r="GA78" s="17">
        <f>FZ78*VLOOKUP('Données projet'!$B$17,Paramètres!$A$1:$I$89,3,0)*VLOOKUP('Données projet'!$B$17,Paramètres!$A$1:$I$89,5,0)</f>
        <v>174.07260000000011</v>
      </c>
      <c r="GB78" s="13">
        <f t="shared" si="103"/>
        <v>44.000889955583744</v>
      </c>
      <c r="GC78" s="20">
        <f t="shared" si="79"/>
        <v>379.81132833930855</v>
      </c>
      <c r="GD78" s="59">
        <f t="shared" si="80"/>
        <v>673.14466167264186</v>
      </c>
      <c r="GE78" s="59">
        <f ca="1">AVERAGE(OFFSET($GD$3,0,0,'Données projet'!$E$17+1,1))-AVERAGE(OFFSET($H$3,0,0,'Données projet'!$E$17+1,1))</f>
        <v>168.00454652899231</v>
      </c>
      <c r="GF78" s="59">
        <f t="shared" si="104"/>
        <v>135.31958994080446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0</v>
      </c>
      <c r="GM78" s="21">
        <f>EXP(-LN(2)/25)*GM77+(1-EXP(-LN(2)/25))/(LN(2)/25)*Calculateur!GH78*Calculateur!GJ78*VLOOKUP('Données projet'!$B$17,Paramètres!$A$1:$I$89,3,0)*0.475*44/12</f>
        <v>0</v>
      </c>
      <c r="GN78" s="21">
        <f>EXP(-LN(2)/2)*GN77+(1-EXP(-LN(2)/2))/(LN(2)/2)*GH78*GK78*VLOOKUP('Données projet'!$B$17,Paramètres!$A$1:$I$89,3,0)*0.475*44/12</f>
        <v>0</v>
      </c>
      <c r="GO78" s="21">
        <f t="shared" si="81"/>
        <v>0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7.8425925925925934</v>
      </c>
      <c r="N79" s="13">
        <f>IF('Données projet'!$A$36&gt;35,N78+M79-V78,IF(A79&lt;'Données projet'!$A$36,$K$205^A79,IF(A79='Données projet'!$A$36,'Données projet'!$B$36,N78+M79-V78)))</f>
        <v>242.64245014245009</v>
      </c>
      <c r="O79" s="13">
        <f>N79*VLOOKUP('Données projet'!$B$9,Paramètres!$A$1:$I$89,3,0)*VLOOKUP('Données projet'!$B$9,Paramètres!$A$1:$I$89,5,0)</f>
        <v>219.54288888888885</v>
      </c>
      <c r="P79" s="13">
        <f t="shared" si="87"/>
        <v>54.015522855627438</v>
      </c>
      <c r="Q79" s="20">
        <f t="shared" si="54"/>
        <v>476.44756712169919</v>
      </c>
      <c r="R79" s="59">
        <f t="shared" si="55"/>
        <v>769.78090045503245</v>
      </c>
      <c r="S79" s="59">
        <f ca="1">AVERAGE(OFFSET($R$3,0,0,'Données projet'!$E$9+1,1))-AVERAGE(OFFSET($H$3,0,0,'Données projet'!$E$9+1,1))</f>
        <v>221.7429870520005</v>
      </c>
      <c r="T79" s="59">
        <f t="shared" si="88"/>
        <v>182.2029938397186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0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5.5042735042735051</v>
      </c>
      <c r="AI79" s="13">
        <f>IF('Données projet'!$A$62&gt;35,AI78+AH79-AQ78,IF(A79&lt;'Données projet'!$A$62,$AF$205^A79,IF(A79='Données projet'!$A$62,'Données projet'!$B$62,AI78+AH79-AQ78)))</f>
        <v>155.97222222222217</v>
      </c>
      <c r="AJ79" s="13">
        <f>AI79*VLOOKUP('Données projet'!$B$10,Paramètres!$A$1:$I$89,3,0)*VLOOKUP('Données projet'!$B$10,Paramètres!$A$1:$I$89,5,0)</f>
        <v>141.12366666666662</v>
      </c>
      <c r="AK79" s="13">
        <f t="shared" si="89"/>
        <v>36.554301861544381</v>
      </c>
      <c r="AL79" s="20">
        <f t="shared" si="58"/>
        <v>309.45579518663413</v>
      </c>
      <c r="AM79" s="59">
        <f t="shared" si="59"/>
        <v>602.78912851996745</v>
      </c>
      <c r="AN79" s="59">
        <f ca="1">AVERAGE(OFFSET($AM$3,0,0,'Données projet'!$E$10+1,1))-AVERAGE(OFFSET($H$3,0,0,'Données projet'!$E$10+1,1))</f>
        <v>153.45079678708987</v>
      </c>
      <c r="AO79" s="59">
        <f t="shared" si="90"/>
        <v>115.4217868409637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0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12.913461538461533</v>
      </c>
      <c r="BD79" s="12">
        <f>IF('Données projet'!$A$88&gt;35,BD78+BC79-BL78,IF(A79&lt;'Données projet'!$A$88,$BA$205^A79,IF(A79='Données projet'!$A$88,'Données projet'!$B$88,BD78+BC79-BL78)))</f>
        <v>398.12115384615396</v>
      </c>
      <c r="BE79" s="13">
        <f>BD79*VLOOKUP('Données projet'!$B$11,Paramètres!$A$1:$I$89,3,0)*VLOOKUP('Données projet'!$B$11,Paramètres!$A$1:$I$89,5,0)</f>
        <v>186.32070000000004</v>
      </c>
      <c r="BF79" s="13">
        <f t="shared" si="91"/>
        <v>46.725588415193215</v>
      </c>
      <c r="BG79" s="20">
        <f t="shared" si="61"/>
        <v>405.88895232312825</v>
      </c>
      <c r="BH79" s="59">
        <f t="shared" si="62"/>
        <v>699.22228565646151</v>
      </c>
      <c r="BI79" s="59">
        <f ca="1">AVERAGE(OFFSET($BH$3,0,0,'Données projet'!$E$11+1,1))-AVERAGE(OFFSET($H$3,0,0,'Données projet'!$E$11+1,1))</f>
        <v>158.58786357608489</v>
      </c>
      <c r="BJ79" s="59">
        <f t="shared" si="92"/>
        <v>163.20074068819849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0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6</v>
      </c>
      <c r="BY79" s="12">
        <f>IF('Données projet'!$A$114&gt;35,BY78+BX79-CG78,IF(A79&lt;'Données projet'!$A$114,$BV$205^A79,IF(A79='Données projet'!$A$114,'Données projet'!$B$114,BY78+BX79-CG78)))</f>
        <v>418</v>
      </c>
      <c r="BZ79" s="13">
        <f>BY79*VLOOKUP('Données projet'!$B$12,Paramètres!$A$1:$I$89,3,0)*VLOOKUP('Données projet'!$B$12,Paramètres!$A$1:$I$89,5,0)</f>
        <v>260.83199999999999</v>
      </c>
      <c r="CA79" s="13">
        <f t="shared" si="93"/>
        <v>62.899693744110721</v>
      </c>
      <c r="CB79" s="20">
        <f t="shared" si="64"/>
        <v>563.83269993765953</v>
      </c>
      <c r="CC79" s="59">
        <f t="shared" si="65"/>
        <v>857.16603327099278</v>
      </c>
      <c r="CD79" s="59">
        <f ca="1">AVERAGE(OFFSET($CC$3,0,0,'Données projet'!$E$12+1,1))-AVERAGE(OFFSET($H$3,0,0,'Données projet'!$E$12+1,1))</f>
        <v>255.41017495879987</v>
      </c>
      <c r="CE79" s="59">
        <f t="shared" si="94"/>
        <v>297.50513563712764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3.3553208483584611</v>
      </c>
      <c r="CL79" s="21">
        <f>EXP(-LN(2)/25)*CL78+(1-EXP(-LN(2)/25))/(LN(2)/25)*Calculateur!CG79*Calculateur!CI79*VLOOKUP('Données projet'!$B$12,Paramètres!$A$1:$I$89,3,0)*0.475*44/12</f>
        <v>7.7846611830000514</v>
      </c>
      <c r="CM79" s="21">
        <f>EXP(-LN(2)/2)*CM78+(1-EXP(-LN(2)/2))/(LN(2)/2)*CG79*CJ79*VLOOKUP('Données projet'!$B$12,Paramètres!$A$1:$I$89,3,0)*0.475*44/12</f>
        <v>2.9088486596240854E-6</v>
      </c>
      <c r="CN79" s="22">
        <f t="shared" si="66"/>
        <v>11.139984940207171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5.5269230769230742</v>
      </c>
      <c r="CT79" s="12">
        <f>IF('Données projet'!$A$140&gt;35,CT78+CS79-DB78,IF(A79&lt;'Données projet'!$A$140,$CQ$205^A79,IF(A79='Données projet'!$A$140,'Données projet'!$B$140,CT78+CS79-DB78)))</f>
        <v>282.33846153846139</v>
      </c>
      <c r="CU79" s="17">
        <f>CT79*VLOOKUP('Données projet'!$B$13,Paramètres!$A$1:$I$89,3,0)*VLOOKUP('Données projet'!$B$13,Paramètres!$A$1:$I$89,5,0)</f>
        <v>161.49759999999992</v>
      </c>
      <c r="CV79" s="13">
        <f t="shared" si="95"/>
        <v>41.180119894168456</v>
      </c>
      <c r="CW79" s="20">
        <f t="shared" si="67"/>
        <v>352.99702881567652</v>
      </c>
      <c r="CX79" s="59">
        <f t="shared" si="68"/>
        <v>646.33036214900983</v>
      </c>
      <c r="CY79" s="59">
        <f ca="1">AVERAGE(OFFSET($CX$3,0,0,'Données projet'!$E$13+1,1))-AVERAGE(OFFSET($H$3,0,0,'Données projet'!$E$13+1,1))</f>
        <v>134.70214882504786</v>
      </c>
      <c r="CZ79" s="59">
        <f t="shared" si="96"/>
        <v>102.18553029667771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0.42745751376376862</v>
      </c>
      <c r="DG79" s="21">
        <f>EXP(-LN(2)/25)*DG78+(1-EXP(-LN(2)/25))/(LN(2)/25)*Calculateur!DB79*Calculateur!DD79*VLOOKUP('Données projet'!$B$13,Paramètres!$A$1:$I$89,3,0)*0.475*44/12</f>
        <v>3.5053900494761039</v>
      </c>
      <c r="DH79" s="21">
        <f>EXP(-LN(2)/2)*DH78+(1-EXP(-LN(2)/2))/(LN(2)/2)*DB79*DE79*VLOOKUP('Données projet'!$B$13,Paramètres!$A$1:$I$89,3,0)*0.475*44/12</f>
        <v>9.1861443770188204E-7</v>
      </c>
      <c r="DI79" s="22">
        <f t="shared" si="69"/>
        <v>3.9328484818543101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7.5584615384615343</v>
      </c>
      <c r="DO79" s="12">
        <f>IF('Données projet'!$A$166&gt;35,DO78+DN79-DW78,IF(A79&lt;'Données projet'!$A$166,$DL$205^A79,IF(A79='Données projet'!$A$166,'Données projet'!$B$166,DO78+DN79-DW78)))</f>
        <v>372.67384615384589</v>
      </c>
      <c r="DP79" s="17">
        <f>DO79*VLOOKUP('Données projet'!$B$14,Paramètres!$A$1:$I$89,3,0)*VLOOKUP('Données projet'!$B$14,Paramètres!$A$1:$I$89,5,0)</f>
        <v>222.85895999999985</v>
      </c>
      <c r="DQ79" s="13">
        <f t="shared" si="97"/>
        <v>54.735798842493168</v>
      </c>
      <c r="DR79" s="20">
        <f t="shared" si="70"/>
        <v>483.47753831734195</v>
      </c>
      <c r="DS79" s="59">
        <f t="shared" si="71"/>
        <v>776.81087165067527</v>
      </c>
      <c r="DT79" s="59">
        <f ca="1">AVERAGE(OFFSET($DS$3,0,0,'Données projet'!$E$14+1,1))-AVERAGE(OFFSET($H$3,0,0,'Données projet'!$E$14+1,1))</f>
        <v>179.32848817523677</v>
      </c>
      <c r="DU79" s="59">
        <f t="shared" si="98"/>
        <v>131.3292389103035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</v>
      </c>
      <c r="EB79" s="21">
        <f>EXP(-LN(2)/25)*EB78+(1-EXP(-LN(2)/25))/(LN(2)/25)*Calculateur!DW79*Calculateur!DY79*VLOOKUP('Données projet'!$B$14,Paramètres!$A$1:$I$89,3,0)*0.475*44/12</f>
        <v>3.6814830433862222</v>
      </c>
      <c r="EC79" s="21">
        <f>EXP(-LN(2)/2)*EC78+(1-EXP(-LN(2)/2))/(LN(2)/2)*DW79*DZ79*VLOOKUP('Données projet'!$B$14,Paramètres!$A$1:$I$89,3,0)*0.475*44/12</f>
        <v>6.2738291945999151E-7</v>
      </c>
      <c r="ED79" s="22">
        <f t="shared" si="72"/>
        <v>3.6814836707691416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-2.2737367544323206E-13</v>
      </c>
      <c r="EK79" s="17">
        <f>EJ79*VLOOKUP('Données projet'!$B$15,Paramètres!$A$1:$I$89,3,0)*VLOOKUP('Données projet'!$B$15,Paramètres!$A$1:$I$89,5,0)</f>
        <v>-1.0049916454590858E-13</v>
      </c>
      <c r="EL79" s="13" t="e">
        <f t="shared" si="99"/>
        <v>#NUM!</v>
      </c>
      <c r="EM79" s="20" t="e">
        <f t="shared" si="73"/>
        <v>#NUM!</v>
      </c>
      <c r="EN79" s="59" t="e">
        <f t="shared" si="74"/>
        <v>#NUM!</v>
      </c>
      <c r="EO79" s="59">
        <f ca="1">AVERAGE(OFFSET($EN$3,0,0,'Données projet'!$E$15+1,1))-AVERAGE(OFFSET($H$3,0,0,'Données projet'!$E$15+1,1))</f>
        <v>191.932060106699</v>
      </c>
      <c r="EP79" s="59">
        <f t="shared" si="100"/>
        <v>260.28593152736903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0.98250610785392722</v>
      </c>
      <c r="EW79" s="21">
        <f>EXP(-LN(2)/25)*EW78+(1-EXP(-LN(2)/25))/(LN(2)/25)*Calculateur!ER79*Calculateur!ET79*VLOOKUP('Données projet'!$B$15,Paramètres!$A$1:$I$89,3,0)*0.475*44/12</f>
        <v>3.5249682347827784</v>
      </c>
      <c r="EX79" s="21">
        <f>EXP(-LN(2)/2)*EX78+(1-EXP(-LN(2)/2))/(LN(2)/2)*ER79*EU79*VLOOKUP('Données projet'!$B$15,Paramètres!$A$1:$I$89,3,0)*0.475*44/12</f>
        <v>1.5954685960103866E-7</v>
      </c>
      <c r="EY79" s="22">
        <f t="shared" si="75"/>
        <v>4.5074745021835652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3.4</v>
      </c>
      <c r="FE79" s="12">
        <f>IF('Données projet'!$A$218&gt;35,FE78+FD79-FM78,IF(A79&lt;'Données projet'!$A$218,$FB$205^A79,IF(A79='Données projet'!$A$218,'Données projet'!$B$218,FE78+FD79-FM78)))</f>
        <v>142.4</v>
      </c>
      <c r="FF79" s="17">
        <f>FE79*VLOOKUP('Données projet'!$B$16,Paramètres!$A$1:$I$89,3,0)*VLOOKUP('Données projet'!$B$16,Paramètres!$A$1:$I$89,5,0)</f>
        <v>137.72927999999999</v>
      </c>
      <c r="FG79" s="13">
        <f t="shared" si="101"/>
        <v>35.776321395769124</v>
      </c>
      <c r="FH79" s="20">
        <f t="shared" si="76"/>
        <v>302.18892243096451</v>
      </c>
      <c r="FI79" s="59">
        <f t="shared" si="77"/>
        <v>595.52225576429782</v>
      </c>
      <c r="FJ79" s="59">
        <f ca="1">AVERAGE(OFFSET($FI$3,0,0,'Données projet'!$E$16+1,1))-AVERAGE(OFFSET($H$3,0,0,'Données projet'!$E$16+1,1))</f>
        <v>102.86738524979938</v>
      </c>
      <c r="FK79" s="59">
        <f t="shared" si="102"/>
        <v>56.347130462109817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0</v>
      </c>
      <c r="FR79" s="21">
        <f>EXP(-LN(2)/25)*FR78+(1-EXP(-LN(2)/25))/(LN(2)/25)*Calculateur!FM79*Calculateur!FO79*VLOOKUP('Données projet'!$B$16,Paramètres!$A$1:$I$89,3,0)*0.475*44/12</f>
        <v>0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0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7.3</v>
      </c>
      <c r="FZ79" s="12">
        <f>IF('Données projet'!$A$244&gt;35,FZ78+FY79-GH78,IF(A79&lt;'Données projet'!$A$244,$FW$205^A79,IF(A79='Données projet'!$A$244,'Données projet'!$B$244,FZ78+FY79-GH78)))</f>
        <v>266.80000000000018</v>
      </c>
      <c r="GA79" s="17">
        <f>FZ79*VLOOKUP('Données projet'!$B$17,Paramètres!$A$1:$I$89,3,0)*VLOOKUP('Données projet'!$B$17,Paramètres!$A$1:$I$89,5,0)</f>
        <v>178.96944000000013</v>
      </c>
      <c r="GB79" s="13">
        <f t="shared" si="103"/>
        <v>45.092828990632661</v>
      </c>
      <c r="GC79" s="20">
        <f t="shared" si="79"/>
        <v>390.24178515868539</v>
      </c>
      <c r="GD79" s="59">
        <f t="shared" si="80"/>
        <v>683.57511849201865</v>
      </c>
      <c r="GE79" s="59">
        <f ca="1">AVERAGE(OFFSET($GD$3,0,0,'Données projet'!$E$17+1,1))-AVERAGE(OFFSET($H$3,0,0,'Données projet'!$E$17+1,1))</f>
        <v>168.00454652899231</v>
      </c>
      <c r="GF79" s="59">
        <f t="shared" si="104"/>
        <v>135.31958994080446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0</v>
      </c>
      <c r="GM79" s="21">
        <f>EXP(-LN(2)/25)*GM78+(1-EXP(-LN(2)/25))/(LN(2)/25)*Calculateur!GH79*Calculateur!GJ79*VLOOKUP('Données projet'!$B$17,Paramètres!$A$1:$I$89,3,0)*0.475*44/12</f>
        <v>0</v>
      </c>
      <c r="GN79" s="21">
        <f>EXP(-LN(2)/2)*GN78+(1-EXP(-LN(2)/2))/(LN(2)/2)*GH79*GK79*VLOOKUP('Données projet'!$B$17,Paramètres!$A$1:$I$89,3,0)*0.475*44/12</f>
        <v>0</v>
      </c>
      <c r="GO79" s="21">
        <f t="shared" si="81"/>
        <v>0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7.8425925925925934</v>
      </c>
      <c r="N80" s="13">
        <f>IF('Données projet'!$A$36&gt;35,N79+M80-V79,IF(A80&lt;'Données projet'!$A$36,$K$205^A80,IF(A80='Données projet'!$A$36,'Données projet'!$B$36,N79+M80-V79)))</f>
        <v>250.48504273504267</v>
      </c>
      <c r="O80" s="13">
        <f>N80*VLOOKUP('Données projet'!$B$9,Paramètres!$A$1:$I$89,3,0)*VLOOKUP('Données projet'!$B$9,Paramètres!$A$1:$I$89,5,0)</f>
        <v>226.63886666666662</v>
      </c>
      <c r="P80" s="13">
        <f t="shared" si="87"/>
        <v>55.555304418491211</v>
      </c>
      <c r="Q80" s="20">
        <f t="shared" si="54"/>
        <v>491.48818130664989</v>
      </c>
      <c r="R80" s="59">
        <f t="shared" si="55"/>
        <v>784.82151463998321</v>
      </c>
      <c r="S80" s="59">
        <f ca="1">AVERAGE(OFFSET($R$3,0,0,'Données projet'!$E$9+1,1))-AVERAGE(OFFSET($H$3,0,0,'Données projet'!$E$9+1,1))</f>
        <v>221.7429870520005</v>
      </c>
      <c r="T80" s="59">
        <f t="shared" si="88"/>
        <v>182.2029938397186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0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5.5042735042735051</v>
      </c>
      <c r="AI80" s="13">
        <f>IF('Données projet'!$A$62&gt;35,AI79+AH80-AQ79,IF(A80&lt;'Données projet'!$A$62,$AF$205^A80,IF(A80='Données projet'!$A$62,'Données projet'!$B$62,AI79+AH80-AQ79)))</f>
        <v>161.47649572649567</v>
      </c>
      <c r="AJ80" s="13">
        <f>AI80*VLOOKUP('Données projet'!$B$10,Paramètres!$A$1:$I$89,3,0)*VLOOKUP('Données projet'!$B$10,Paramètres!$A$1:$I$89,5,0)</f>
        <v>146.10393333333329</v>
      </c>
      <c r="AK80" s="13">
        <f t="shared" si="89"/>
        <v>37.691838944088502</v>
      </c>
      <c r="AL80" s="20">
        <f t="shared" si="58"/>
        <v>320.11097004984299</v>
      </c>
      <c r="AM80" s="59">
        <f t="shared" si="59"/>
        <v>613.44430338317625</v>
      </c>
      <c r="AN80" s="59">
        <f ca="1">AVERAGE(OFFSET($AM$3,0,0,'Données projet'!$E$10+1,1))-AVERAGE(OFFSET($H$3,0,0,'Données projet'!$E$10+1,1))</f>
        <v>153.45079678708987</v>
      </c>
      <c r="AO80" s="59">
        <f t="shared" si="90"/>
        <v>115.4217868409637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0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12.913461538461533</v>
      </c>
      <c r="BD80" s="12">
        <f>IF('Données projet'!$A$88&gt;35,BD79+BC80-BL79,IF(A80&lt;'Données projet'!$A$88,$BA$205^A80,IF(A80='Données projet'!$A$88,'Données projet'!$B$88,BD79+BC80-BL79)))</f>
        <v>411.03461538461551</v>
      </c>
      <c r="BE80" s="13">
        <f>BD80*VLOOKUP('Données projet'!$B$11,Paramètres!$A$1:$I$89,3,0)*VLOOKUP('Données projet'!$B$11,Paramètres!$A$1:$I$89,5,0)</f>
        <v>192.36420000000004</v>
      </c>
      <c r="BF80" s="13">
        <f t="shared" si="91"/>
        <v>48.062267116572606</v>
      </c>
      <c r="BG80" s="20">
        <f t="shared" si="61"/>
        <v>418.74276356136397</v>
      </c>
      <c r="BH80" s="59">
        <f t="shared" si="62"/>
        <v>712.07609689469723</v>
      </c>
      <c r="BI80" s="59">
        <f ca="1">AVERAGE(OFFSET($BH$3,0,0,'Données projet'!$E$11+1,1))-AVERAGE(OFFSET($H$3,0,0,'Données projet'!$E$11+1,1))</f>
        <v>158.58786357608489</v>
      </c>
      <c r="BJ80" s="59">
        <f t="shared" si="92"/>
        <v>163.20074068819849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0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6</v>
      </c>
      <c r="BY80" s="12">
        <f>IF('Données projet'!$A$114&gt;35,BY79+BX80-CG79,IF(A80&lt;'Données projet'!$A$114,$BV$205^A80,IF(A80='Données projet'!$A$114,'Données projet'!$B$114,BY79+BX80-CG79)))</f>
        <v>424</v>
      </c>
      <c r="BZ80" s="13">
        <f>BY80*VLOOKUP('Données projet'!$B$12,Paramètres!$A$1:$I$89,3,0)*VLOOKUP('Données projet'!$B$12,Paramètres!$A$1:$I$89,5,0)</f>
        <v>264.57599999999996</v>
      </c>
      <c r="CA80" s="13">
        <f t="shared" si="93"/>
        <v>63.696803579002321</v>
      </c>
      <c r="CB80" s="20">
        <f t="shared" si="64"/>
        <v>571.74179956676232</v>
      </c>
      <c r="CC80" s="59">
        <f t="shared" si="65"/>
        <v>865.0751329000957</v>
      </c>
      <c r="CD80" s="59">
        <f ca="1">AVERAGE(OFFSET($CC$3,0,0,'Données projet'!$E$12+1,1))-AVERAGE(OFFSET($H$3,0,0,'Données projet'!$E$12+1,1))</f>
        <v>255.41017495879987</v>
      </c>
      <c r="CE80" s="59">
        <f t="shared" si="94"/>
        <v>297.50513563712764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3.2895250530657898</v>
      </c>
      <c r="CL80" s="21">
        <f>EXP(-LN(2)/25)*CL79+(1-EXP(-LN(2)/25))/(LN(2)/25)*Calculateur!CG80*Calculateur!CI80*VLOOKUP('Données projet'!$B$12,Paramètres!$A$1:$I$89,3,0)*0.475*44/12</f>
        <v>7.5717892135733758</v>
      </c>
      <c r="CM80" s="21">
        <f>EXP(-LN(2)/2)*CM79+(1-EXP(-LN(2)/2))/(LN(2)/2)*CG80*CJ80*VLOOKUP('Données projet'!$B$12,Paramètres!$A$1:$I$89,3,0)*0.475*44/12</f>
        <v>2.0568666126655902E-6</v>
      </c>
      <c r="CN80" s="22">
        <f t="shared" si="66"/>
        <v>10.861316323505779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5.5269230769230742</v>
      </c>
      <c r="CT80" s="12">
        <f>IF('Données projet'!$A$140&gt;35,CT79+CS80-DB79,IF(A80&lt;'Données projet'!$A$140,$CQ$205^A80,IF(A80='Données projet'!$A$140,'Données projet'!$B$140,CT79+CS80-DB79)))</f>
        <v>287.86538461538447</v>
      </c>
      <c r="CU80" s="17">
        <f>CT80*VLOOKUP('Données projet'!$B$13,Paramètres!$A$1:$I$89,3,0)*VLOOKUP('Données projet'!$B$13,Paramètres!$A$1:$I$89,5,0)</f>
        <v>164.65899999999991</v>
      </c>
      <c r="CV80" s="13">
        <f t="shared" si="95"/>
        <v>41.891603979210757</v>
      </c>
      <c r="CW80" s="20">
        <f t="shared" si="67"/>
        <v>359.74230193045855</v>
      </c>
      <c r="CX80" s="59">
        <f t="shared" si="68"/>
        <v>653.07563526379181</v>
      </c>
      <c r="CY80" s="59">
        <f ca="1">AVERAGE(OFFSET($CX$3,0,0,'Données projet'!$E$13+1,1))-AVERAGE(OFFSET($H$3,0,0,'Données projet'!$E$13+1,1))</f>
        <v>134.70214882504786</v>
      </c>
      <c r="CZ80" s="59">
        <f t="shared" si="96"/>
        <v>102.18553029667771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0.4190753326422002</v>
      </c>
      <c r="DG80" s="21">
        <f>EXP(-LN(2)/25)*DG79+(1-EXP(-LN(2)/25))/(LN(2)/25)*Calculateur!DB80*Calculateur!DD80*VLOOKUP('Données projet'!$B$13,Paramètres!$A$1:$I$89,3,0)*0.475*44/12</f>
        <v>3.409534974232729</v>
      </c>
      <c r="DH80" s="21">
        <f>EXP(-LN(2)/2)*DH79+(1-EXP(-LN(2)/2))/(LN(2)/2)*DB80*DE80*VLOOKUP('Données projet'!$B$13,Paramètres!$A$1:$I$89,3,0)*0.475*44/12</f>
        <v>6.4955849819486809E-7</v>
      </c>
      <c r="DI80" s="22">
        <f t="shared" si="69"/>
        <v>3.8286109564334274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7.5584615384615343</v>
      </c>
      <c r="DO80" s="12">
        <f>IF('Données projet'!$A$166&gt;35,DO79+DN80-DW79,IF(A80&lt;'Données projet'!$A$166,$DL$205^A80,IF(A80='Données projet'!$A$166,'Données projet'!$B$166,DO79+DN80-DW79)))</f>
        <v>380.23230769230742</v>
      </c>
      <c r="DP80" s="17">
        <f>DO80*VLOOKUP('Données projet'!$B$14,Paramètres!$A$1:$I$89,3,0)*VLOOKUP('Données projet'!$B$14,Paramètres!$A$1:$I$89,5,0)</f>
        <v>227.37891999999985</v>
      </c>
      <c r="DQ80" s="13">
        <f t="shared" si="97"/>
        <v>55.715565262615499</v>
      </c>
      <c r="DR80" s="20">
        <f t="shared" si="70"/>
        <v>493.05622849905507</v>
      </c>
      <c r="DS80" s="59">
        <f t="shared" si="71"/>
        <v>786.38956183238838</v>
      </c>
      <c r="DT80" s="59">
        <f ca="1">AVERAGE(OFFSET($DS$3,0,0,'Données projet'!$E$14+1,1))-AVERAGE(OFFSET($H$3,0,0,'Données projet'!$E$14+1,1))</f>
        <v>179.32848817523677</v>
      </c>
      <c r="DU80" s="59">
        <f t="shared" si="98"/>
        <v>131.3292389103035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</v>
      </c>
      <c r="EB80" s="21">
        <f>EXP(-LN(2)/25)*EB79+(1-EXP(-LN(2)/25))/(LN(2)/25)*Calculateur!DW80*Calculateur!DY80*VLOOKUP('Données projet'!$B$14,Paramètres!$A$1:$I$89,3,0)*0.475*44/12</f>
        <v>3.5808126959640467</v>
      </c>
      <c r="EC80" s="21">
        <f>EXP(-LN(2)/2)*EC79+(1-EXP(-LN(2)/2))/(LN(2)/2)*DW80*DZ80*VLOOKUP('Données projet'!$B$14,Paramètres!$A$1:$I$89,3,0)*0.475*44/12</f>
        <v>4.4362671675077359E-7</v>
      </c>
      <c r="ED80" s="22">
        <f t="shared" si="72"/>
        <v>3.5808131395907634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-2.2737367544323206E-13</v>
      </c>
      <c r="EK80" s="17">
        <f>EJ80*VLOOKUP('Données projet'!$B$15,Paramètres!$A$1:$I$89,3,0)*VLOOKUP('Données projet'!$B$15,Paramètres!$A$1:$I$89,5,0)</f>
        <v>-1.0049916454590858E-13</v>
      </c>
      <c r="EL80" s="13" t="e">
        <f t="shared" si="99"/>
        <v>#NUM!</v>
      </c>
      <c r="EM80" s="20" t="e">
        <f t="shared" si="73"/>
        <v>#NUM!</v>
      </c>
      <c r="EN80" s="59" t="e">
        <f t="shared" si="74"/>
        <v>#NUM!</v>
      </c>
      <c r="EO80" s="59">
        <f ca="1">AVERAGE(OFFSET($EN$3,0,0,'Données projet'!$E$15+1,1))-AVERAGE(OFFSET($H$3,0,0,'Données projet'!$E$15+1,1))</f>
        <v>191.932060106699</v>
      </c>
      <c r="EP80" s="59">
        <f t="shared" si="100"/>
        <v>260.28593152736903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0.96323976234846453</v>
      </c>
      <c r="EW80" s="21">
        <f>EXP(-LN(2)/25)*EW79+(1-EXP(-LN(2)/25))/(LN(2)/25)*Calculateur!ER80*Calculateur!ET80*VLOOKUP('Données projet'!$B$15,Paramètres!$A$1:$I$89,3,0)*0.475*44/12</f>
        <v>3.4285777930326202</v>
      </c>
      <c r="EX80" s="21">
        <f>EXP(-LN(2)/2)*EX79+(1-EXP(-LN(2)/2))/(LN(2)/2)*ER80*EU80*VLOOKUP('Données projet'!$B$15,Paramètres!$A$1:$I$89,3,0)*0.475*44/12</f>
        <v>1.1281666634091246E-7</v>
      </c>
      <c r="EY80" s="22">
        <f t="shared" si="75"/>
        <v>4.391817668197751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3.4</v>
      </c>
      <c r="FE80" s="12">
        <f>IF('Données projet'!$A$218&gt;35,FE79+FD80-FM79,IF(A80&lt;'Données projet'!$A$218,$FB$205^A80,IF(A80='Données projet'!$A$218,'Données projet'!$B$218,FE79+FD80-FM79)))</f>
        <v>145.80000000000001</v>
      </c>
      <c r="FF80" s="17">
        <f>FE80*VLOOKUP('Données projet'!$B$16,Paramètres!$A$1:$I$89,3,0)*VLOOKUP('Données projet'!$B$16,Paramètres!$A$1:$I$89,5,0)</f>
        <v>141.01776000000001</v>
      </c>
      <c r="FG80" s="13">
        <f t="shared" si="101"/>
        <v>36.530061637934431</v>
      </c>
      <c r="FH80" s="20">
        <f t="shared" si="76"/>
        <v>309.22912268606916</v>
      </c>
      <c r="FI80" s="59">
        <f t="shared" si="77"/>
        <v>602.56245601940248</v>
      </c>
      <c r="FJ80" s="59">
        <f ca="1">AVERAGE(OFFSET($FI$3,0,0,'Données projet'!$E$16+1,1))-AVERAGE(OFFSET($H$3,0,0,'Données projet'!$E$16+1,1))</f>
        <v>102.86738524979938</v>
      </c>
      <c r="FK80" s="59">
        <f t="shared" si="102"/>
        <v>56.347130462109817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0</v>
      </c>
      <c r="FR80" s="21">
        <f>EXP(-LN(2)/25)*FR79+(1-EXP(-LN(2)/25))/(LN(2)/25)*Calculateur!FM80*Calculateur!FO80*VLOOKUP('Données projet'!$B$16,Paramètres!$A$1:$I$89,3,0)*0.475*44/12</f>
        <v>0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0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7.3</v>
      </c>
      <c r="FZ80" s="12">
        <f>IF('Données projet'!$A$244&gt;35,FZ79+FY80-GH79,IF(A80&lt;'Données projet'!$A$244,$FW$205^A80,IF(A80='Données projet'!$A$244,'Données projet'!$B$244,FZ79+FY80-GH79)))</f>
        <v>274.10000000000019</v>
      </c>
      <c r="GA80" s="17">
        <f>FZ80*VLOOKUP('Données projet'!$B$17,Paramètres!$A$1:$I$89,3,0)*VLOOKUP('Données projet'!$B$17,Paramètres!$A$1:$I$89,5,0)</f>
        <v>183.86628000000013</v>
      </c>
      <c r="GB80" s="13">
        <f t="shared" si="103"/>
        <v>46.181295429587095</v>
      </c>
      <c r="GC80" s="20">
        <f t="shared" si="79"/>
        <v>400.6661938731977</v>
      </c>
      <c r="GD80" s="59">
        <f t="shared" si="80"/>
        <v>693.99952720653096</v>
      </c>
      <c r="GE80" s="59">
        <f ca="1">AVERAGE(OFFSET($GD$3,0,0,'Données projet'!$E$17+1,1))-AVERAGE(OFFSET($H$3,0,0,'Données projet'!$E$17+1,1))</f>
        <v>168.00454652899231</v>
      </c>
      <c r="GF80" s="59">
        <f t="shared" si="104"/>
        <v>135.31958994080446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0</v>
      </c>
      <c r="GM80" s="21">
        <f>EXP(-LN(2)/25)*GM79+(1-EXP(-LN(2)/25))/(LN(2)/25)*Calculateur!GH80*Calculateur!GJ80*VLOOKUP('Données projet'!$B$17,Paramètres!$A$1:$I$89,3,0)*0.475*44/12</f>
        <v>0</v>
      </c>
      <c r="GN80" s="21">
        <f>EXP(-LN(2)/2)*GN79+(1-EXP(-LN(2)/2))/(LN(2)/2)*GH80*GK80*VLOOKUP('Données projet'!$B$17,Paramètres!$A$1:$I$89,3,0)*0.475*44/12</f>
        <v>0</v>
      </c>
      <c r="GO80" s="21">
        <f t="shared" si="81"/>
        <v>0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7.8425925925925934</v>
      </c>
      <c r="N81" s="13">
        <f>IF('Données projet'!$A$36&gt;35,N80+M81-V80,IF(A81&lt;'Données projet'!$A$36,$K$205^A81,IF(A81='Données projet'!$A$36,'Données projet'!$B$36,N80+M81-V80)))</f>
        <v>258.32763532763528</v>
      </c>
      <c r="O81" s="13">
        <f>N81*VLOOKUP('Données projet'!$B$9,Paramètres!$A$1:$I$89,3,0)*VLOOKUP('Données projet'!$B$9,Paramètres!$A$1:$I$89,5,0)</f>
        <v>233.73484444444438</v>
      </c>
      <c r="P81" s="13">
        <f t="shared" si="87"/>
        <v>57.089483585580737</v>
      </c>
      <c r="Q81" s="20">
        <f t="shared" si="54"/>
        <v>506.51903798562699</v>
      </c>
      <c r="R81" s="59">
        <f t="shared" si="55"/>
        <v>799.85237131896031</v>
      </c>
      <c r="S81" s="59">
        <f ca="1">AVERAGE(OFFSET($R$3,0,0,'Données projet'!$E$9+1,1))-AVERAGE(OFFSET($H$3,0,0,'Données projet'!$E$9+1,1))</f>
        <v>221.7429870520005</v>
      </c>
      <c r="T81" s="59">
        <f t="shared" si="88"/>
        <v>182.2029938397186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0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5.5042735042735051</v>
      </c>
      <c r="AI81" s="13">
        <f>IF('Données projet'!$A$62&gt;35,AI80+AH81-AQ80,IF(A81&lt;'Données projet'!$A$62,$AF$205^A81,IF(A81='Données projet'!$A$62,'Données projet'!$B$62,AI80+AH81-AQ80)))</f>
        <v>166.98076923076917</v>
      </c>
      <c r="AJ81" s="13">
        <f>AI81*VLOOKUP('Données projet'!$B$10,Paramètres!$A$1:$I$89,3,0)*VLOOKUP('Données projet'!$B$10,Paramètres!$A$1:$I$89,5,0)</f>
        <v>151.08419999999992</v>
      </c>
      <c r="AK81" s="13">
        <f t="shared" si="89"/>
        <v>38.824870591002266</v>
      </c>
      <c r="AL81" s="20">
        <f t="shared" si="58"/>
        <v>330.75829794599554</v>
      </c>
      <c r="AM81" s="59">
        <f t="shared" si="59"/>
        <v>624.09163127932879</v>
      </c>
      <c r="AN81" s="59">
        <f ca="1">AVERAGE(OFFSET($AM$3,0,0,'Données projet'!$E$10+1,1))-AVERAGE(OFFSET($H$3,0,0,'Données projet'!$E$10+1,1))</f>
        <v>153.45079678708987</v>
      </c>
      <c r="AO81" s="59">
        <f t="shared" si="90"/>
        <v>115.4217868409637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0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12.913461538461533</v>
      </c>
      <c r="BD81" s="12">
        <f>IF('Données projet'!$A$88&gt;35,BD80+BC81-BL80,IF(A81&lt;'Données projet'!$A$88,$BA$205^A81,IF(A81='Données projet'!$A$88,'Données projet'!$B$88,BD80+BC81-BL80)))</f>
        <v>423.94807692307705</v>
      </c>
      <c r="BE81" s="13">
        <f>BD81*VLOOKUP('Données projet'!$B$11,Paramètres!$A$1:$I$89,3,0)*VLOOKUP('Données projet'!$B$11,Paramètres!$A$1:$I$89,5,0)</f>
        <v>198.40770000000006</v>
      </c>
      <c r="BF81" s="13">
        <f t="shared" si="91"/>
        <v>49.394065749424826</v>
      </c>
      <c r="BG81" s="20">
        <f t="shared" si="61"/>
        <v>431.58807534691499</v>
      </c>
      <c r="BH81" s="59">
        <f t="shared" si="62"/>
        <v>724.92140868024831</v>
      </c>
      <c r="BI81" s="59">
        <f ca="1">AVERAGE(OFFSET($BH$3,0,0,'Données projet'!$E$11+1,1))-AVERAGE(OFFSET($H$3,0,0,'Données projet'!$E$11+1,1))</f>
        <v>158.58786357608489</v>
      </c>
      <c r="BJ81" s="59">
        <f t="shared" si="92"/>
        <v>163.20074068819849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0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6</v>
      </c>
      <c r="BY81" s="12">
        <f>IF('Données projet'!$A$114&gt;35,BY80+BX81-CG80,IF(A81&lt;'Données projet'!$A$114,$BV$205^A81,IF(A81='Données projet'!$A$114,'Données projet'!$B$114,BY80+BX81-CG80)))</f>
        <v>430</v>
      </c>
      <c r="BZ81" s="13">
        <f>BY81*VLOOKUP('Données projet'!$B$12,Paramètres!$A$1:$I$89,3,0)*VLOOKUP('Données projet'!$B$12,Paramètres!$A$1:$I$89,5,0)</f>
        <v>268.32</v>
      </c>
      <c r="CA81" s="13">
        <f t="shared" si="93"/>
        <v>64.492601473092478</v>
      </c>
      <c r="CB81" s="20">
        <f t="shared" si="64"/>
        <v>579.64861423230275</v>
      </c>
      <c r="CC81" s="59">
        <f t="shared" si="65"/>
        <v>872.98194756563612</v>
      </c>
      <c r="CD81" s="59">
        <f ca="1">AVERAGE(OFFSET($CC$3,0,0,'Données projet'!$E$12+1,1))-AVERAGE(OFFSET($H$3,0,0,'Données projet'!$E$12+1,1))</f>
        <v>255.41017495879987</v>
      </c>
      <c r="CE81" s="59">
        <f t="shared" si="94"/>
        <v>297.50513563712764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3.2250194731873352</v>
      </c>
      <c r="CL81" s="21">
        <f>EXP(-LN(2)/25)*CL80+(1-EXP(-LN(2)/25))/(LN(2)/25)*Calculateur!CG81*Calculateur!CI81*VLOOKUP('Données projet'!$B$12,Paramètres!$A$1:$I$89,3,0)*0.475*44/12</f>
        <v>7.3647382393451224</v>
      </c>
      <c r="CM81" s="21">
        <f>EXP(-LN(2)/2)*CM80+(1-EXP(-LN(2)/2))/(LN(2)/2)*CG81*CJ81*VLOOKUP('Données projet'!$B$12,Paramètres!$A$1:$I$89,3,0)*0.475*44/12</f>
        <v>1.4544243298120427E-6</v>
      </c>
      <c r="CN81" s="22">
        <f t="shared" si="66"/>
        <v>10.589759166956787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5.5269230769230742</v>
      </c>
      <c r="CT81" s="12">
        <f>IF('Données projet'!$A$140&gt;35,CT80+CS81-DB80,IF(A81&lt;'Données projet'!$A$140,$CQ$205^A81,IF(A81='Données projet'!$A$140,'Données projet'!$B$140,CT80+CS81-DB80)))</f>
        <v>293.39230769230755</v>
      </c>
      <c r="CU81" s="17">
        <f>CT81*VLOOKUP('Données projet'!$B$13,Paramètres!$A$1:$I$89,3,0)*VLOOKUP('Données projet'!$B$13,Paramètres!$A$1:$I$89,5,0)</f>
        <v>167.82039999999992</v>
      </c>
      <c r="CV81" s="13">
        <f t="shared" si="95"/>
        <v>42.601499681535394</v>
      </c>
      <c r="CW81" s="20">
        <f t="shared" si="67"/>
        <v>366.48480861200733</v>
      </c>
      <c r="CX81" s="59">
        <f t="shared" si="68"/>
        <v>659.81814194534059</v>
      </c>
      <c r="CY81" s="59">
        <f ca="1">AVERAGE(OFFSET($CX$3,0,0,'Données projet'!$E$13+1,1))-AVERAGE(OFFSET($H$3,0,0,'Données projet'!$E$13+1,1))</f>
        <v>134.70214882504786</v>
      </c>
      <c r="CZ81" s="59">
        <f t="shared" si="96"/>
        <v>102.18553029667771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0.41085752097980011</v>
      </c>
      <c r="DG81" s="21">
        <f>EXP(-LN(2)/25)*DG80+(1-EXP(-LN(2)/25))/(LN(2)/25)*Calculateur!DB81*Calculateur!DD81*VLOOKUP('Données projet'!$B$13,Paramètres!$A$1:$I$89,3,0)*0.475*44/12</f>
        <v>3.3163010610626835</v>
      </c>
      <c r="DH81" s="21">
        <f>EXP(-LN(2)/2)*DH80+(1-EXP(-LN(2)/2))/(LN(2)/2)*DB81*DE81*VLOOKUP('Données projet'!$B$13,Paramètres!$A$1:$I$89,3,0)*0.475*44/12</f>
        <v>4.5930721885094102E-7</v>
      </c>
      <c r="DI81" s="22">
        <f t="shared" si="69"/>
        <v>3.7271590413497027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7.5584615384615343</v>
      </c>
      <c r="DO81" s="12">
        <f>IF('Données projet'!$A$166&gt;35,DO80+DN81-DW80,IF(A81&lt;'Données projet'!$A$166,$DL$205^A81,IF(A81='Données projet'!$A$166,'Données projet'!$B$166,DO80+DN81-DW80)))</f>
        <v>387.79076923076894</v>
      </c>
      <c r="DP81" s="17">
        <f>DO81*VLOOKUP('Données projet'!$B$14,Paramètres!$A$1:$I$89,3,0)*VLOOKUP('Données projet'!$B$14,Paramètres!$A$1:$I$89,5,0)</f>
        <v>231.89887999999985</v>
      </c>
      <c r="DQ81" s="13">
        <f t="shared" si="97"/>
        <v>56.693067102008712</v>
      </c>
      <c r="DR81" s="20">
        <f t="shared" si="70"/>
        <v>502.63097453599829</v>
      </c>
      <c r="DS81" s="59">
        <f t="shared" si="71"/>
        <v>795.96430786933161</v>
      </c>
      <c r="DT81" s="59">
        <f ca="1">AVERAGE(OFFSET($DS$3,0,0,'Données projet'!$E$14+1,1))-AVERAGE(OFFSET($H$3,0,0,'Données projet'!$E$14+1,1))</f>
        <v>179.32848817523677</v>
      </c>
      <c r="DU81" s="59">
        <f t="shared" si="98"/>
        <v>131.3292389103035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</v>
      </c>
      <c r="EB81" s="21">
        <f>EXP(-LN(2)/25)*EB80+(1-EXP(-LN(2)/25))/(LN(2)/25)*Calculateur!DW81*Calculateur!DY81*VLOOKUP('Données projet'!$B$14,Paramètres!$A$1:$I$89,3,0)*0.475*44/12</f>
        <v>3.4828951844861544</v>
      </c>
      <c r="EC81" s="21">
        <f>EXP(-LN(2)/2)*EC80+(1-EXP(-LN(2)/2))/(LN(2)/2)*DW81*DZ81*VLOOKUP('Données projet'!$B$14,Paramètres!$A$1:$I$89,3,0)*0.475*44/12</f>
        <v>3.1369145972999576E-7</v>
      </c>
      <c r="ED81" s="22">
        <f t="shared" si="72"/>
        <v>3.4828954981776143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-2.2737367544323206E-13</v>
      </c>
      <c r="EK81" s="17">
        <f>EJ81*VLOOKUP('Données projet'!$B$15,Paramètres!$A$1:$I$89,3,0)*VLOOKUP('Données projet'!$B$15,Paramètres!$A$1:$I$89,5,0)</f>
        <v>-1.0049916454590858E-13</v>
      </c>
      <c r="EL81" s="13" t="e">
        <f t="shared" si="99"/>
        <v>#NUM!</v>
      </c>
      <c r="EM81" s="20" t="e">
        <f t="shared" si="73"/>
        <v>#NUM!</v>
      </c>
      <c r="EN81" s="59" t="e">
        <f t="shared" si="74"/>
        <v>#NUM!</v>
      </c>
      <c r="EO81" s="59">
        <f ca="1">AVERAGE(OFFSET($EN$3,0,0,'Données projet'!$E$15+1,1))-AVERAGE(OFFSET($H$3,0,0,'Données projet'!$E$15+1,1))</f>
        <v>191.932060106699</v>
      </c>
      <c r="EP81" s="59">
        <f t="shared" si="100"/>
        <v>260.28593152736903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0.94435121812705358</v>
      </c>
      <c r="EW81" s="21">
        <f>EXP(-LN(2)/25)*EW80+(1-EXP(-LN(2)/25))/(LN(2)/25)*Calculateur!ER81*Calculateur!ET81*VLOOKUP('Données projet'!$B$15,Paramètres!$A$1:$I$89,3,0)*0.475*44/12</f>
        <v>3.3348231529810732</v>
      </c>
      <c r="EX81" s="21">
        <f>EXP(-LN(2)/2)*EX80+(1-EXP(-LN(2)/2))/(LN(2)/2)*ER81*EU81*VLOOKUP('Données projet'!$B$15,Paramètres!$A$1:$I$89,3,0)*0.475*44/12</f>
        <v>7.9773429800519328E-8</v>
      </c>
      <c r="EY81" s="22">
        <f t="shared" si="75"/>
        <v>4.2791744508815563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3.4</v>
      </c>
      <c r="FE81" s="12">
        <f>IF('Données projet'!$A$218&gt;35,FE80+FD81-FM80,IF(A81&lt;'Données projet'!$A$218,$FB$205^A81,IF(A81='Données projet'!$A$218,'Données projet'!$B$218,FE80+FD81-FM80)))</f>
        <v>149.20000000000002</v>
      </c>
      <c r="FF81" s="17">
        <f>FE81*VLOOKUP('Données projet'!$B$16,Paramètres!$A$1:$I$89,3,0)*VLOOKUP('Données projet'!$B$16,Paramètres!$A$1:$I$89,5,0)</f>
        <v>144.30624</v>
      </c>
      <c r="FG81" s="13">
        <f t="shared" si="101"/>
        <v>37.281758503629554</v>
      </c>
      <c r="FH81" s="20">
        <f t="shared" si="76"/>
        <v>316.26576406048815</v>
      </c>
      <c r="FI81" s="59">
        <f t="shared" si="77"/>
        <v>609.59909739382147</v>
      </c>
      <c r="FJ81" s="59">
        <f ca="1">AVERAGE(OFFSET($FI$3,0,0,'Données projet'!$E$16+1,1))-AVERAGE(OFFSET($H$3,0,0,'Données projet'!$E$16+1,1))</f>
        <v>102.86738524979938</v>
      </c>
      <c r="FK81" s="59">
        <f t="shared" si="102"/>
        <v>56.347130462109817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0</v>
      </c>
      <c r="FR81" s="21">
        <f>EXP(-LN(2)/25)*FR80+(1-EXP(-LN(2)/25))/(LN(2)/25)*Calculateur!FM81*Calculateur!FO81*VLOOKUP('Données projet'!$B$16,Paramètres!$A$1:$I$89,3,0)*0.475*44/12</f>
        <v>0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0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7.3</v>
      </c>
      <c r="FZ81" s="12">
        <f>IF('Données projet'!$A$244&gt;35,FZ80+FY81-GH80,IF(A81&lt;'Données projet'!$A$244,$FW$205^A81,IF(A81='Données projet'!$A$244,'Données projet'!$B$244,FZ80+FY81-GH80)))</f>
        <v>281.4000000000002</v>
      </c>
      <c r="GA81" s="17">
        <f>FZ81*VLOOKUP('Données projet'!$B$17,Paramètres!$A$1:$I$89,3,0)*VLOOKUP('Données projet'!$B$17,Paramètres!$A$1:$I$89,5,0)</f>
        <v>188.76312000000013</v>
      </c>
      <c r="GB81" s="13">
        <f t="shared" si="103"/>
        <v>47.266392386745366</v>
      </c>
      <c r="GC81" s="20">
        <f t="shared" si="79"/>
        <v>411.08473407358173</v>
      </c>
      <c r="GD81" s="59">
        <f t="shared" si="80"/>
        <v>704.41806740691504</v>
      </c>
      <c r="GE81" s="59">
        <f ca="1">AVERAGE(OFFSET($GD$3,0,0,'Données projet'!$E$17+1,1))-AVERAGE(OFFSET($H$3,0,0,'Données projet'!$E$17+1,1))</f>
        <v>168.00454652899231</v>
      </c>
      <c r="GF81" s="59">
        <f t="shared" si="104"/>
        <v>135.31958994080446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0</v>
      </c>
      <c r="GM81" s="21">
        <f>EXP(-LN(2)/25)*GM80+(1-EXP(-LN(2)/25))/(LN(2)/25)*Calculateur!GH81*Calculateur!GJ81*VLOOKUP('Données projet'!$B$17,Paramètres!$A$1:$I$89,3,0)*0.475*44/12</f>
        <v>0</v>
      </c>
      <c r="GN81" s="21">
        <f>EXP(-LN(2)/2)*GN80+(1-EXP(-LN(2)/2))/(LN(2)/2)*GH81*GK81*VLOOKUP('Données projet'!$B$17,Paramètres!$A$1:$I$89,3,0)*0.475*44/12</f>
        <v>0</v>
      </c>
      <c r="GO81" s="21">
        <f t="shared" si="81"/>
        <v>0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7.8425925925925934</v>
      </c>
      <c r="N82" s="13">
        <f>IF('Données projet'!$A$36&gt;35,N81+M82-V81,IF(A82&lt;'Données projet'!$A$36,$K$205^A82,IF(A82='Données projet'!$A$36,'Données projet'!$B$36,N81+M82-V81)))</f>
        <v>266.17022792022789</v>
      </c>
      <c r="O82" s="13">
        <f>N82*VLOOKUP('Données projet'!$B$9,Paramètres!$A$1:$I$89,3,0)*VLOOKUP('Données projet'!$B$9,Paramètres!$A$1:$I$89,5,0)</f>
        <v>240.83082222222217</v>
      </c>
      <c r="P82" s="13">
        <f t="shared" si="87"/>
        <v>58.618249962252214</v>
      </c>
      <c r="Q82" s="20">
        <f t="shared" si="54"/>
        <v>521.54046738795955</v>
      </c>
      <c r="R82" s="59">
        <f t="shared" si="55"/>
        <v>814.87380072129281</v>
      </c>
      <c r="S82" s="59">
        <f ca="1">AVERAGE(OFFSET($R$3,0,0,'Données projet'!$E$9+1,1))-AVERAGE(OFFSET($H$3,0,0,'Données projet'!$E$9+1,1))</f>
        <v>221.7429870520005</v>
      </c>
      <c r="T82" s="59">
        <f t="shared" si="88"/>
        <v>182.2029938397186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0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5.5042735042735051</v>
      </c>
      <c r="AI82" s="13">
        <f>IF('Données projet'!$A$62&gt;35,AI81+AH82-AQ81,IF(A82&lt;'Données projet'!$A$62,$AF$205^A82,IF(A82='Données projet'!$A$62,'Données projet'!$B$62,AI81+AH82-AQ81)))</f>
        <v>172.48504273504267</v>
      </c>
      <c r="AJ82" s="13">
        <f>AI82*VLOOKUP('Données projet'!$B$10,Paramètres!$A$1:$I$89,3,0)*VLOOKUP('Données projet'!$B$10,Paramètres!$A$1:$I$89,5,0)</f>
        <v>156.06446666666659</v>
      </c>
      <c r="AK82" s="13">
        <f t="shared" si="89"/>
        <v>39.953562347640762</v>
      </c>
      <c r="AL82" s="20">
        <f t="shared" si="58"/>
        <v>341.39806719991861</v>
      </c>
      <c r="AM82" s="59">
        <f t="shared" si="59"/>
        <v>634.73140053325187</v>
      </c>
      <c r="AN82" s="59">
        <f ca="1">AVERAGE(OFFSET($AM$3,0,0,'Données projet'!$E$10+1,1))-AVERAGE(OFFSET($H$3,0,0,'Données projet'!$E$10+1,1))</f>
        <v>153.45079678708987</v>
      </c>
      <c r="AO82" s="59">
        <f t="shared" si="90"/>
        <v>115.4217868409637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0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>
        <f>VLOOKUP(A82,'Données projet'!$A$87:$I$107,2,0)</f>
        <v>436.86153846153843</v>
      </c>
      <c r="BB82" s="12">
        <f>VLOOKUP(A82,'Données projet'!$A$87:$I$107,9,0)</f>
        <v>12.913461538461533</v>
      </c>
      <c r="BC82" s="12">
        <f t="array" ref="BC82">INDEX(BB:BB,MIN(IF(ISNUMBER(BB82:BB278),ROW(BB82:BB278),"")))</f>
        <v>12.913461538461533</v>
      </c>
      <c r="BD82" s="12">
        <f>IF('Données projet'!$A$88&gt;35,BD81+BC82-BL81,IF(A82&lt;'Données projet'!$A$88,$BA$205^A82,IF(A82='Données projet'!$A$88,'Données projet'!$B$88,BD81+BC82-BL81)))</f>
        <v>436.8615384615386</v>
      </c>
      <c r="BE82" s="13">
        <f>BD82*VLOOKUP('Données projet'!$B$11,Paramètres!$A$1:$I$89,3,0)*VLOOKUP('Données projet'!$B$11,Paramètres!$A$1:$I$89,5,0)</f>
        <v>204.45120000000009</v>
      </c>
      <c r="BF82" s="13">
        <f t="shared" si="91"/>
        <v>50.721150021305952</v>
      </c>
      <c r="BG82" s="20">
        <f t="shared" si="61"/>
        <v>444.42517628710794</v>
      </c>
      <c r="BH82" s="59">
        <f t="shared" si="62"/>
        <v>737.75850962044126</v>
      </c>
      <c r="BI82" s="59">
        <f ca="1">AVERAGE(OFFSET($BH$3,0,0,'Données projet'!$E$11+1,1))-AVERAGE(OFFSET($H$3,0,0,'Données projet'!$E$11+1,1))</f>
        <v>158.58786357608489</v>
      </c>
      <c r="BJ82" s="59">
        <f t="shared" si="92"/>
        <v>163.20074068819849</v>
      </c>
      <c r="BK82" s="15">
        <f>IF(ISNA(VLOOKUP(A82,'Données projet'!$A$87:$I$107,3,0)),0,VLOOKUP(A82,'Données projet'!$A$87:$I$107,3,0))</f>
        <v>6</v>
      </c>
      <c r="BL82" s="15">
        <f>IF(ISNA(VLOOKUP(A82,'Données projet'!$A$87:$I$107,4,0)),0,VLOOKUP(A82,'Données projet'!$A$87:$I$107,4,0))</f>
        <v>77.338461538461544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0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6</v>
      </c>
      <c r="BY82" s="12">
        <f>IF('Données projet'!$A$114&gt;35,BY81+BX82-CG81,IF(A82&lt;'Données projet'!$A$114,$BV$205^A82,IF(A82='Données projet'!$A$114,'Données projet'!$B$114,BY81+BX82-CG81)))</f>
        <v>436</v>
      </c>
      <c r="BZ82" s="13">
        <f>BY82*VLOOKUP('Données projet'!$B$12,Paramètres!$A$1:$I$89,3,0)*VLOOKUP('Données projet'!$B$12,Paramètres!$A$1:$I$89,5,0)</f>
        <v>272.06400000000002</v>
      </c>
      <c r="CA82" s="13">
        <f t="shared" si="93"/>
        <v>65.28710784811372</v>
      </c>
      <c r="CB82" s="20">
        <f t="shared" si="64"/>
        <v>587.55317950213146</v>
      </c>
      <c r="CC82" s="59">
        <f t="shared" si="65"/>
        <v>880.88651283546483</v>
      </c>
      <c r="CD82" s="59">
        <f ca="1">AVERAGE(OFFSET($CC$3,0,0,'Données projet'!$E$12+1,1))-AVERAGE(OFFSET($H$3,0,0,'Données projet'!$E$12+1,1))</f>
        <v>255.41017495879987</v>
      </c>
      <c r="CE82" s="59">
        <f t="shared" si="94"/>
        <v>297.50513563712764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3.1617788083857783</v>
      </c>
      <c r="CL82" s="21">
        <f>EXP(-LN(2)/25)*CL81+(1-EXP(-LN(2)/25))/(LN(2)/25)*Calculateur!CG82*Calculateur!CI82*VLOOKUP('Données projet'!$B$12,Paramètres!$A$1:$I$89,3,0)*0.475*44/12</f>
        <v>7.1633490848954784</v>
      </c>
      <c r="CM82" s="21">
        <f>EXP(-LN(2)/2)*CM81+(1-EXP(-LN(2)/2))/(LN(2)/2)*CG82*CJ82*VLOOKUP('Données projet'!$B$12,Paramètres!$A$1:$I$89,3,0)*0.475*44/12</f>
        <v>1.0284333063327951E-6</v>
      </c>
      <c r="CN82" s="22">
        <f t="shared" si="66"/>
        <v>10.325128921714564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5.5269230769230742</v>
      </c>
      <c r="CT82" s="12">
        <f>IF('Données projet'!$A$140&gt;35,CT81+CS82-DB81,IF(A82&lt;'Données projet'!$A$140,$CQ$205^A82,IF(A82='Données projet'!$A$140,'Données projet'!$B$140,CT81+CS82-DB81)))</f>
        <v>298.91923076923064</v>
      </c>
      <c r="CU82" s="17">
        <f>CT82*VLOOKUP('Données projet'!$B$13,Paramètres!$A$1:$I$89,3,0)*VLOOKUP('Données projet'!$B$13,Paramètres!$A$1:$I$89,5,0)</f>
        <v>170.98179999999994</v>
      </c>
      <c r="CV82" s="13">
        <f t="shared" si="95"/>
        <v>43.309840373388212</v>
      </c>
      <c r="CW82" s="20">
        <f t="shared" si="67"/>
        <v>373.22460698365103</v>
      </c>
      <c r="CX82" s="59">
        <f t="shared" si="68"/>
        <v>666.55794031698429</v>
      </c>
      <c r="CY82" s="59">
        <f ca="1">AVERAGE(OFFSET($CX$3,0,0,'Données projet'!$E$13+1,1))-AVERAGE(OFFSET($H$3,0,0,'Données projet'!$E$13+1,1))</f>
        <v>134.70214882504786</v>
      </c>
      <c r="CZ82" s="59">
        <f t="shared" si="96"/>
        <v>102.18553029667771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0.40280085559172951</v>
      </c>
      <c r="DG82" s="21">
        <f>EXP(-LN(2)/25)*DG81+(1-EXP(-LN(2)/25))/(LN(2)/25)*Calculateur!DB82*Calculateur!DD82*VLOOKUP('Données projet'!$B$13,Paramètres!$A$1:$I$89,3,0)*0.475*44/12</f>
        <v>3.2256166341512311</v>
      </c>
      <c r="DH82" s="21">
        <f>EXP(-LN(2)/2)*DH81+(1-EXP(-LN(2)/2))/(LN(2)/2)*DB82*DE82*VLOOKUP('Données projet'!$B$13,Paramètres!$A$1:$I$89,3,0)*0.475*44/12</f>
        <v>3.2477924909743404E-7</v>
      </c>
      <c r="DI82" s="22">
        <f t="shared" si="69"/>
        <v>3.6284178145222099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7.5584615384615343</v>
      </c>
      <c r="DO82" s="12">
        <f>IF('Données projet'!$A$166&gt;35,DO81+DN82-DW81,IF(A82&lt;'Données projet'!$A$166,$DL$205^A82,IF(A82='Données projet'!$A$166,'Données projet'!$B$166,DO81+DN82-DW81)))</f>
        <v>395.34923076923047</v>
      </c>
      <c r="DP82" s="17">
        <f>DO82*VLOOKUP('Données projet'!$B$14,Paramètres!$A$1:$I$89,3,0)*VLOOKUP('Données projet'!$B$14,Paramètres!$A$1:$I$89,5,0)</f>
        <v>236.41883999999985</v>
      </c>
      <c r="DQ82" s="13">
        <f t="shared" si="97"/>
        <v>57.668353588027863</v>
      </c>
      <c r="DR82" s="20">
        <f t="shared" si="70"/>
        <v>512.20186216581487</v>
      </c>
      <c r="DS82" s="59">
        <f t="shared" si="71"/>
        <v>805.53519549914813</v>
      </c>
      <c r="DT82" s="59">
        <f ca="1">AVERAGE(OFFSET($DS$3,0,0,'Données projet'!$E$14+1,1))-AVERAGE(OFFSET($H$3,0,0,'Données projet'!$E$14+1,1))</f>
        <v>179.32848817523677</v>
      </c>
      <c r="DU82" s="59">
        <f t="shared" si="98"/>
        <v>131.3292389103035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</v>
      </c>
      <c r="EB82" s="21">
        <f>EXP(-LN(2)/25)*EB81+(1-EXP(-LN(2)/25))/(LN(2)/25)*Calculateur!DW82*Calculateur!DY82*VLOOKUP('Données projet'!$B$14,Paramètres!$A$1:$I$89,3,0)*0.475*44/12</f>
        <v>3.3876552325088829</v>
      </c>
      <c r="EC82" s="21">
        <f>EXP(-LN(2)/2)*EC81+(1-EXP(-LN(2)/2))/(LN(2)/2)*DW82*DZ82*VLOOKUP('Données projet'!$B$14,Paramètres!$A$1:$I$89,3,0)*0.475*44/12</f>
        <v>2.218133583753868E-7</v>
      </c>
      <c r="ED82" s="22">
        <f t="shared" si="72"/>
        <v>3.3876554543222412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-2.2737367544323206E-13</v>
      </c>
      <c r="EK82" s="17">
        <f>EJ82*VLOOKUP('Données projet'!$B$15,Paramètres!$A$1:$I$89,3,0)*VLOOKUP('Données projet'!$B$15,Paramètres!$A$1:$I$89,5,0)</f>
        <v>-1.0049916454590858E-13</v>
      </c>
      <c r="EL82" s="13" t="e">
        <f t="shared" si="99"/>
        <v>#NUM!</v>
      </c>
      <c r="EM82" s="20" t="e">
        <f t="shared" si="73"/>
        <v>#NUM!</v>
      </c>
      <c r="EN82" s="59" t="e">
        <f t="shared" si="74"/>
        <v>#NUM!</v>
      </c>
      <c r="EO82" s="59">
        <f ca="1">AVERAGE(OFFSET($EN$3,0,0,'Données projet'!$E$15+1,1))-AVERAGE(OFFSET($H$3,0,0,'Données projet'!$E$15+1,1))</f>
        <v>191.932060106699</v>
      </c>
      <c r="EP82" s="59">
        <f t="shared" si="100"/>
        <v>260.28593152736903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0.92583306673695009</v>
      </c>
      <c r="EW82" s="21">
        <f>EXP(-LN(2)/25)*EW81+(1-EXP(-LN(2)/25))/(LN(2)/25)*Calculateur!ER82*Calculateur!ET82*VLOOKUP('Données projet'!$B$15,Paramètres!$A$1:$I$89,3,0)*0.475*44/12</f>
        <v>3.2436322384920779</v>
      </c>
      <c r="EX82" s="21">
        <f>EXP(-LN(2)/2)*EX81+(1-EXP(-LN(2)/2))/(LN(2)/2)*ER82*EU82*VLOOKUP('Données projet'!$B$15,Paramètres!$A$1:$I$89,3,0)*0.475*44/12</f>
        <v>5.640833317045623E-8</v>
      </c>
      <c r="EY82" s="22">
        <f t="shared" si="75"/>
        <v>4.1694653616373616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3.4</v>
      </c>
      <c r="FE82" s="12">
        <f>IF('Données projet'!$A$218&gt;35,FE81+FD82-FM81,IF(A82&lt;'Données projet'!$A$218,$FB$205^A82,IF(A82='Données projet'!$A$218,'Données projet'!$B$218,FE81+FD82-FM81)))</f>
        <v>152.60000000000002</v>
      </c>
      <c r="FF82" s="17">
        <f>FE82*VLOOKUP('Données projet'!$B$16,Paramètres!$A$1:$I$89,3,0)*VLOOKUP('Données projet'!$B$16,Paramètres!$A$1:$I$89,5,0)</f>
        <v>147.59472000000002</v>
      </c>
      <c r="FG82" s="13">
        <f t="shared" si="101"/>
        <v>38.031463918082679</v>
      </c>
      <c r="FH82" s="20">
        <f t="shared" si="76"/>
        <v>323.29893699066071</v>
      </c>
      <c r="FI82" s="59">
        <f t="shared" si="77"/>
        <v>616.63227032399402</v>
      </c>
      <c r="FJ82" s="59">
        <f ca="1">AVERAGE(OFFSET($FI$3,0,0,'Données projet'!$E$16+1,1))-AVERAGE(OFFSET($H$3,0,0,'Données projet'!$E$16+1,1))</f>
        <v>102.86738524979938</v>
      </c>
      <c r="FK82" s="59">
        <f t="shared" si="102"/>
        <v>56.347130462109817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0</v>
      </c>
      <c r="FR82" s="21">
        <f>EXP(-LN(2)/25)*FR81+(1-EXP(-LN(2)/25))/(LN(2)/25)*Calculateur!FM82*Calculateur!FO82*VLOOKUP('Données projet'!$B$16,Paramètres!$A$1:$I$89,3,0)*0.475*44/12</f>
        <v>0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0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7.3</v>
      </c>
      <c r="FZ82" s="12">
        <f>IF('Données projet'!$A$244&gt;35,FZ81+FY82-GH81,IF(A82&lt;'Données projet'!$A$244,$FW$205^A82,IF(A82='Données projet'!$A$244,'Données projet'!$B$244,FZ81+FY82-GH81)))</f>
        <v>288.70000000000022</v>
      </c>
      <c r="GA82" s="17">
        <f>FZ82*VLOOKUP('Données projet'!$B$17,Paramètres!$A$1:$I$89,3,0)*VLOOKUP('Données projet'!$B$17,Paramètres!$A$1:$I$89,5,0)</f>
        <v>193.65996000000015</v>
      </c>
      <c r="GB82" s="13">
        <f t="shared" si="103"/>
        <v>48.34821732174062</v>
      </c>
      <c r="GC82" s="20">
        <f t="shared" si="79"/>
        <v>421.49757550203185</v>
      </c>
      <c r="GD82" s="59">
        <f t="shared" si="80"/>
        <v>714.83090883536511</v>
      </c>
      <c r="GE82" s="59">
        <f ca="1">AVERAGE(OFFSET($GD$3,0,0,'Données projet'!$E$17+1,1))-AVERAGE(OFFSET($H$3,0,0,'Données projet'!$E$17+1,1))</f>
        <v>168.00454652899231</v>
      </c>
      <c r="GF82" s="59">
        <f t="shared" si="104"/>
        <v>135.31958994080446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0</v>
      </c>
      <c r="GM82" s="21">
        <f>EXP(-LN(2)/25)*GM81+(1-EXP(-LN(2)/25))/(LN(2)/25)*Calculateur!GH82*Calculateur!GJ82*VLOOKUP('Données projet'!$B$17,Paramètres!$A$1:$I$89,3,0)*0.475*44/12</f>
        <v>0</v>
      </c>
      <c r="GN82" s="21">
        <f>EXP(-LN(2)/2)*GN81+(1-EXP(-LN(2)/2))/(LN(2)/2)*GH82*GK82*VLOOKUP('Données projet'!$B$17,Paramètres!$A$1:$I$89,3,0)*0.475*44/12</f>
        <v>0</v>
      </c>
      <c r="GO82" s="21">
        <f t="shared" si="81"/>
        <v>0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274.0128205128205</v>
      </c>
      <c r="L83" s="12">
        <f>VLOOKUP(A83,'Données projet'!$A$35:$I$55,9,0)</f>
        <v>7.8425925925925934</v>
      </c>
      <c r="M83" s="12">
        <f t="array" ref="M83">INDEX(L:L,MIN(IF(ISNUMBER(L83:L279),ROW(L83:L279),"")))</f>
        <v>7.8425925925925934</v>
      </c>
      <c r="N83" s="13">
        <f>IF('Données projet'!$A$36&gt;35,N82+M83-V82,IF(A83&lt;'Données projet'!$A$36,$K$205^A83,IF(A83='Données projet'!$A$36,'Données projet'!$B$36,N82+M83-V82)))</f>
        <v>274.0128205128205</v>
      </c>
      <c r="O83" s="13">
        <f>N83*VLOOKUP('Données projet'!$B$9,Paramètres!$A$1:$I$89,3,0)*VLOOKUP('Données projet'!$B$9,Paramètres!$A$1:$I$89,5,0)</f>
        <v>247.92679999999999</v>
      </c>
      <c r="P83" s="13">
        <f t="shared" si="87"/>
        <v>60.141781345371967</v>
      </c>
      <c r="Q83" s="20">
        <f t="shared" si="54"/>
        <v>536.55277917652279</v>
      </c>
      <c r="R83" s="59">
        <f t="shared" si="55"/>
        <v>829.88611250985605</v>
      </c>
      <c r="S83" s="59">
        <f ca="1">AVERAGE(OFFSET($R$3,0,0,'Données projet'!$E$9+1,1))-AVERAGE(OFFSET($H$3,0,0,'Données projet'!$E$9+1,1))</f>
        <v>221.7429870520005</v>
      </c>
      <c r="T83" s="59">
        <f t="shared" si="88"/>
        <v>182.2029938397186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45.608974358974358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0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5.5042735042735051</v>
      </c>
      <c r="AI83" s="13">
        <f>IF('Données projet'!$A$62&gt;35,AI82+AH83-AQ82,IF(A83&lt;'Données projet'!$A$62,$AF$205^A83,IF(A83='Données projet'!$A$62,'Données projet'!$B$62,AI82+AH83-AQ82)))</f>
        <v>177.98931623931617</v>
      </c>
      <c r="AJ83" s="13">
        <f>AI83*VLOOKUP('Données projet'!$B$10,Paramètres!$A$1:$I$89,3,0)*VLOOKUP('Données projet'!$B$10,Paramètres!$A$1:$I$89,5,0)</f>
        <v>161.04473333333328</v>
      </c>
      <c r="AK83" s="13">
        <f t="shared" si="89"/>
        <v>41.078068593790562</v>
      </c>
      <c r="AL83" s="20">
        <f t="shared" si="58"/>
        <v>352.03054668974067</v>
      </c>
      <c r="AM83" s="59">
        <f t="shared" si="59"/>
        <v>645.36388002307399</v>
      </c>
      <c r="AN83" s="59">
        <f ca="1">AVERAGE(OFFSET($AM$3,0,0,'Données projet'!$E$10+1,1))-AVERAGE(OFFSET($H$3,0,0,'Données projet'!$E$10+1,1))</f>
        <v>153.45079678708987</v>
      </c>
      <c r="AO83" s="59">
        <f t="shared" si="90"/>
        <v>115.4217868409637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0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12.124038461538468</v>
      </c>
      <c r="BD83" s="12">
        <f>IF('Données projet'!$A$88&gt;35,BD82+BC83-BL82,IF(A83&lt;'Données projet'!$A$88,$BA$205^A83,IF(A83='Données projet'!$A$88,'Données projet'!$B$88,BD82+BC83-BL82)))</f>
        <v>371.64711538461552</v>
      </c>
      <c r="BE83" s="13">
        <f>BD83*VLOOKUP('Données projet'!$B$11,Paramètres!$A$1:$I$89,3,0)*VLOOKUP('Données projet'!$B$11,Paramètres!$A$1:$I$89,5,0)</f>
        <v>173.93085000000008</v>
      </c>
      <c r="BF83" s="13">
        <f t="shared" si="91"/>
        <v>43.969228534222836</v>
      </c>
      <c r="BG83" s="20">
        <f t="shared" si="61"/>
        <v>379.50930344710491</v>
      </c>
      <c r="BH83" s="59">
        <f t="shared" si="62"/>
        <v>672.84263678043817</v>
      </c>
      <c r="BI83" s="59">
        <f ca="1">AVERAGE(OFFSET($BH$3,0,0,'Données projet'!$E$11+1,1))-AVERAGE(OFFSET($H$3,0,0,'Données projet'!$E$11+1,1))</f>
        <v>158.58786357608489</v>
      </c>
      <c r="BJ83" s="59">
        <f t="shared" si="92"/>
        <v>163.20074068819849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0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442</v>
      </c>
      <c r="BW83" s="12">
        <f>VLOOKUP(A83,'Données projet'!$A$113:$I$133,9,0)</f>
        <v>6</v>
      </c>
      <c r="BX83" s="12">
        <f t="array" ref="BX83">INDEX(BW:BW,MIN(IF(ISNUMBER(BW83:BW279),ROW(BW83:BW279),"")))</f>
        <v>6</v>
      </c>
      <c r="BY83" s="12">
        <f>IF('Données projet'!$A$114&gt;35,BY82+BX83-CG82,IF(A83&lt;'Données projet'!$A$114,$BV$205^A83,IF(A83='Données projet'!$A$114,'Données projet'!$B$114,BY82+BX83-CG82)))</f>
        <v>442</v>
      </c>
      <c r="BZ83" s="13">
        <f>BY83*VLOOKUP('Données projet'!$B$12,Paramètres!$A$1:$I$89,3,0)*VLOOKUP('Données projet'!$B$12,Paramètres!$A$1:$I$89,5,0)</f>
        <v>275.80799999999999</v>
      </c>
      <c r="CA83" s="13">
        <f t="shared" si="93"/>
        <v>66.08034253144065</v>
      </c>
      <c r="CB83" s="20">
        <f t="shared" si="64"/>
        <v>595.45552990892566</v>
      </c>
      <c r="CC83" s="59">
        <f t="shared" si="65"/>
        <v>888.78886324225891</v>
      </c>
      <c r="CD83" s="59">
        <f ca="1">AVERAGE(OFFSET($CC$3,0,0,'Données projet'!$E$12+1,1))-AVERAGE(OFFSET($H$3,0,0,'Données projet'!$E$12+1,1))</f>
        <v>255.41017495879987</v>
      </c>
      <c r="CE83" s="59">
        <f t="shared" si="94"/>
        <v>297.50513563712764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442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3.0997782544479833</v>
      </c>
      <c r="CL83" s="21">
        <f>EXP(-LN(2)/25)*CL82+(1-EXP(-LN(2)/25))/(LN(2)/25)*Calculateur!CG83*Calculateur!CI83*VLOOKUP('Données projet'!$B$12,Paramètres!$A$1:$I$89,3,0)*0.475*44/12</f>
        <v>6.9674669274648551</v>
      </c>
      <c r="CM83" s="21">
        <f>EXP(-LN(2)/2)*CM82+(1-EXP(-LN(2)/2))/(LN(2)/2)*CG83*CJ83*VLOOKUP('Données projet'!$B$12,Paramètres!$A$1:$I$89,3,0)*0.475*44/12</f>
        <v>7.2721216490602135E-7</v>
      </c>
      <c r="CN83" s="22">
        <f t="shared" si="66"/>
        <v>10.067245909125003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304.44615384615383</v>
      </c>
      <c r="CR83" s="12">
        <f>VLOOKUP(A83,'Données projet'!$A$139:$I$159,9,0)</f>
        <v>5.5269230769230742</v>
      </c>
      <c r="CS83" s="12">
        <f t="array" ref="CS83">INDEX(CR:CR,MIN(IF(ISNUMBER(CR83:CR279),ROW(CR83:CR279),"")))</f>
        <v>5.5269230769230742</v>
      </c>
      <c r="CT83" s="12">
        <f>IF('Données projet'!$A$140&gt;35,CT82+CS83-DB82,IF(A83&lt;'Données projet'!$A$140,$CQ$205^A83,IF(A83='Données projet'!$A$140,'Données projet'!$B$140,CT82+CS83-DB82)))</f>
        <v>304.44615384615372</v>
      </c>
      <c r="CU83" s="17">
        <f>CT83*VLOOKUP('Données projet'!$B$13,Paramètres!$A$1:$I$89,3,0)*VLOOKUP('Données projet'!$B$13,Paramètres!$A$1:$I$89,5,0)</f>
        <v>174.14319999999992</v>
      </c>
      <c r="CV83" s="13">
        <f t="shared" si="95"/>
        <v>44.016658122288042</v>
      </c>
      <c r="CW83" s="20">
        <f t="shared" si="67"/>
        <v>379.96175289631816</v>
      </c>
      <c r="CX83" s="59">
        <f t="shared" si="68"/>
        <v>673.29508622965147</v>
      </c>
      <c r="CY83" s="59">
        <f ca="1">AVERAGE(OFFSET($CX$3,0,0,'Données projet'!$E$13+1,1))-AVERAGE(OFFSET($H$3,0,0,'Données projet'!$E$13+1,1))</f>
        <v>134.70214882504786</v>
      </c>
      <c r="CZ83" s="59">
        <f t="shared" si="96"/>
        <v>102.18553029667771</v>
      </c>
      <c r="DA83" s="15">
        <f>IF(ISNA(VLOOKUP(A83,'Données projet'!$A$139:$I$159,3,0)),0,VLOOKUP(A83,'Données projet'!$A$139:$I$159,3,0))</f>
        <v>8</v>
      </c>
      <c r="DB83" s="15">
        <f>IF(ISNA(VLOOKUP(A83,'Données projet'!$A$139:$I$159,4,0)),0,VLOOKUP(A83,'Données projet'!$A$139:$I$159,4,0))</f>
        <v>34.915384615384617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0.39490217649783832</v>
      </c>
      <c r="DG83" s="21">
        <f>EXP(-LN(2)/25)*DG82+(1-EXP(-LN(2)/25))/(LN(2)/25)*Calculateur!DB83*Calculateur!DD83*VLOOKUP('Données projet'!$B$13,Paramètres!$A$1:$I$89,3,0)*0.475*44/12</f>
        <v>3.1374119776625591</v>
      </c>
      <c r="DH83" s="21">
        <f>EXP(-LN(2)/2)*DH82+(1-EXP(-LN(2)/2))/(LN(2)/2)*DB83*DE83*VLOOKUP('Données projet'!$B$13,Paramètres!$A$1:$I$89,3,0)*0.475*44/12</f>
        <v>2.2965360942547051E-7</v>
      </c>
      <c r="DI83" s="22">
        <f t="shared" si="69"/>
        <v>3.5323143838140068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402.90769230769229</v>
      </c>
      <c r="DM83" s="12">
        <f>VLOOKUP(A83,'Données projet'!$A$165:$I$185,9,0)</f>
        <v>7.5584615384615343</v>
      </c>
      <c r="DN83" s="12">
        <f t="array" ref="DN83">INDEX(DM:DM,MIN(IF(ISNUMBER(DM83:DM279),ROW(DM83:DM279),"")))</f>
        <v>7.5584615384615343</v>
      </c>
      <c r="DO83" s="12">
        <f>IF('Données projet'!$A$166&gt;35,DO82+DN83-DW82,IF(A83&lt;'Données projet'!$A$166,$DL$205^A83,IF(A83='Données projet'!$A$166,'Données projet'!$B$166,DO82+DN83-DW82)))</f>
        <v>402.907692307692</v>
      </c>
      <c r="DP83" s="17">
        <f>DO83*VLOOKUP('Données projet'!$B$14,Paramètres!$A$1:$I$89,3,0)*VLOOKUP('Données projet'!$B$14,Paramètres!$A$1:$I$89,5,0)</f>
        <v>240.93879999999982</v>
      </c>
      <c r="DQ83" s="13">
        <f t="shared" si="97"/>
        <v>58.64147195802866</v>
      </c>
      <c r="DR83" s="20">
        <f t="shared" si="70"/>
        <v>521.76897366023286</v>
      </c>
      <c r="DS83" s="59">
        <f t="shared" si="71"/>
        <v>815.10230699356612</v>
      </c>
      <c r="DT83" s="59">
        <f ca="1">AVERAGE(OFFSET($DS$3,0,0,'Données projet'!$E$14+1,1))-AVERAGE(OFFSET($H$3,0,0,'Données projet'!$E$14+1,1))</f>
        <v>179.32848817523677</v>
      </c>
      <c r="DU83" s="59">
        <f t="shared" si="98"/>
        <v>131.3292389103035</v>
      </c>
      <c r="DV83" s="15">
        <f>IF(ISNA(VLOOKUP(A83,'Données projet'!$A$165:$I$185,3,0)),0,VLOOKUP(A83,'Données projet'!$A$165:$I$185,3,0))</f>
        <v>8</v>
      </c>
      <c r="DW83" s="15">
        <f>IF(ISNA(VLOOKUP(A83,'Données projet'!$A$165:$I$185,4,0)),0,VLOOKUP(A83,'Données projet'!$A$165:$I$185,4,0))</f>
        <v>402.90769230769229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</v>
      </c>
      <c r="EB83" s="21">
        <f>EXP(-LN(2)/25)*EB82+(1-EXP(-LN(2)/25))/(LN(2)/25)*Calculateur!DW83*Calculateur!DY83*VLOOKUP('Données projet'!$B$14,Paramètres!$A$1:$I$89,3,0)*0.475*44/12</f>
        <v>3.2950196220268815</v>
      </c>
      <c r="EC83" s="21">
        <f>EXP(-LN(2)/2)*EC82+(1-EXP(-LN(2)/2))/(LN(2)/2)*DW83*DZ83*VLOOKUP('Données projet'!$B$14,Paramètres!$A$1:$I$89,3,0)*0.475*44/12</f>
        <v>1.5684572986499788E-7</v>
      </c>
      <c r="ED83" s="22">
        <f t="shared" si="72"/>
        <v>3.2950197788726112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-2.2737367544323206E-13</v>
      </c>
      <c r="EK83" s="17">
        <f>EJ83*VLOOKUP('Données projet'!$B$15,Paramètres!$A$1:$I$89,3,0)*VLOOKUP('Données projet'!$B$15,Paramètres!$A$1:$I$89,5,0)</f>
        <v>-1.0049916454590858E-13</v>
      </c>
      <c r="EL83" s="13" t="e">
        <f t="shared" si="99"/>
        <v>#NUM!</v>
      </c>
      <c r="EM83" s="20" t="e">
        <f t="shared" si="73"/>
        <v>#NUM!</v>
      </c>
      <c r="EN83" s="59" t="e">
        <f t="shared" si="74"/>
        <v>#NUM!</v>
      </c>
      <c r="EO83" s="59">
        <f ca="1">AVERAGE(OFFSET($EN$3,0,0,'Données projet'!$E$15+1,1))-AVERAGE(OFFSET($H$3,0,0,'Données projet'!$E$15+1,1))</f>
        <v>191.932060106699</v>
      </c>
      <c r="EP83" s="59">
        <f t="shared" si="100"/>
        <v>260.28593152736903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0.90767804500064952</v>
      </c>
      <c r="EW83" s="21">
        <f>EXP(-LN(2)/25)*EW82+(1-EXP(-LN(2)/25))/(LN(2)/25)*Calculateur!ER83*Calculateur!ET83*VLOOKUP('Données projet'!$B$15,Paramètres!$A$1:$I$89,3,0)*0.475*44/12</f>
        <v>3.1549349443553059</v>
      </c>
      <c r="EX83" s="21">
        <f>EXP(-LN(2)/2)*EX82+(1-EXP(-LN(2)/2))/(LN(2)/2)*ER83*EU83*VLOOKUP('Données projet'!$B$15,Paramètres!$A$1:$I$89,3,0)*0.475*44/12</f>
        <v>3.9886714900259664E-8</v>
      </c>
      <c r="EY83" s="22">
        <f t="shared" si="75"/>
        <v>4.0626130292426703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156</v>
      </c>
      <c r="FC83" s="12">
        <f>VLOOKUP(A83,'Données projet'!$A$217:$I$237,9,0)</f>
        <v>3.4</v>
      </c>
      <c r="FD83" s="12">
        <f t="array" ref="FD83">INDEX(FC:FC,MIN(IF(ISNUMBER(FC83:FC279),ROW(FC83:FC279),"")))</f>
        <v>3.4</v>
      </c>
      <c r="FE83" s="12">
        <f>IF('Données projet'!$A$218&gt;35,FE82+FD83-FM82,IF(A83&lt;'Données projet'!$A$218,$FB$205^A83,IF(A83='Données projet'!$A$218,'Données projet'!$B$218,FE82+FD83-FM82)))</f>
        <v>156.00000000000003</v>
      </c>
      <c r="FF83" s="17">
        <f>FE83*VLOOKUP('Données projet'!$B$16,Paramètres!$A$1:$I$89,3,0)*VLOOKUP('Données projet'!$B$16,Paramètres!$A$1:$I$89,5,0)</f>
        <v>150.88320000000002</v>
      </c>
      <c r="FG83" s="13">
        <f t="shared" si="101"/>
        <v>38.779227360583199</v>
      </c>
      <c r="FH83" s="20">
        <f t="shared" si="76"/>
        <v>330.32872765301573</v>
      </c>
      <c r="FI83" s="59">
        <f t="shared" si="77"/>
        <v>623.66206098634905</v>
      </c>
      <c r="FJ83" s="59">
        <f ca="1">AVERAGE(OFFSET($FI$3,0,0,'Données projet'!$E$16+1,1))-AVERAGE(OFFSET($H$3,0,0,'Données projet'!$E$16+1,1))</f>
        <v>102.86738524979938</v>
      </c>
      <c r="FK83" s="59">
        <f t="shared" si="102"/>
        <v>56.347130462109817</v>
      </c>
      <c r="FL83" s="15">
        <f>IF(ISNA(VLOOKUP(A83,'Données projet'!$A$217:$I$237,3,0)),0,VLOOKUP(A83,'Données projet'!$A$217:$I$237,3,0))</f>
        <v>6</v>
      </c>
      <c r="FM83" s="15">
        <f>IF(ISNA(VLOOKUP(A83,'Données projet'!$A$217:$I$237,4,0)),0,VLOOKUP(A83,'Données projet'!$A$217:$I$237,4,0))</f>
        <v>19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0</v>
      </c>
      <c r="FR83" s="21">
        <f>EXP(-LN(2)/25)*FR82+(1-EXP(-LN(2)/25))/(LN(2)/25)*Calculateur!FM83*Calculateur!FO83*VLOOKUP('Données projet'!$B$16,Paramètres!$A$1:$I$89,3,0)*0.475*44/12</f>
        <v>0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0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>
        <f>VLOOKUP(A83,'Données projet'!$A$243:$I$263,2,0)</f>
        <v>296</v>
      </c>
      <c r="FX83" s="12">
        <f>VLOOKUP(A83,'Données projet'!$A$243:$I$263,9,0)</f>
        <v>7.3</v>
      </c>
      <c r="FY83" s="12">
        <f t="array" ref="FY83">INDEX(FX:FX,MIN(IF(ISNUMBER(FX83:FX279),ROW(FX83:FX279),"")))</f>
        <v>7.3</v>
      </c>
      <c r="FZ83" s="12">
        <f>IF('Données projet'!$A$244&gt;35,FZ82+FY83-GH82,IF(A83&lt;'Données projet'!$A$244,$FW$205^A83,IF(A83='Données projet'!$A$244,'Données projet'!$B$244,FZ82+FY83-GH82)))</f>
        <v>296.00000000000023</v>
      </c>
      <c r="GA83" s="17">
        <f>FZ83*VLOOKUP('Données projet'!$B$17,Paramètres!$A$1:$I$89,3,0)*VLOOKUP('Données projet'!$B$17,Paramètres!$A$1:$I$89,5,0)</f>
        <v>198.55680000000015</v>
      </c>
      <c r="GB83" s="13">
        <f t="shared" si="103"/>
        <v>49.426862484667978</v>
      </c>
      <c r="GC83" s="20">
        <f t="shared" si="79"/>
        <v>431.90487882746362</v>
      </c>
      <c r="GD83" s="59">
        <f t="shared" si="80"/>
        <v>725.23821216079693</v>
      </c>
      <c r="GE83" s="59">
        <f ca="1">AVERAGE(OFFSET($GD$3,0,0,'Données projet'!$E$17+1,1))-AVERAGE(OFFSET($H$3,0,0,'Données projet'!$E$17+1,1))</f>
        <v>168.00454652899231</v>
      </c>
      <c r="GF83" s="59">
        <f t="shared" si="104"/>
        <v>135.31958994080446</v>
      </c>
      <c r="GG83" s="15">
        <f>IF(ISNA(VLOOKUP(A83,'Données projet'!$A$243:$I$263,3,0)),0,VLOOKUP(A83,'Données projet'!$A$243:$I$263,3,0))</f>
        <v>7</v>
      </c>
      <c r="GH83" s="15">
        <f>IF(ISNA(VLOOKUP(A83,'Données projet'!$A$243:$I$263,4,0)),0,VLOOKUP(A83,'Données projet'!$A$243:$I$263,4,0))</f>
        <v>51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0</v>
      </c>
      <c r="GM83" s="21">
        <f>EXP(-LN(2)/25)*GM82+(1-EXP(-LN(2)/25))/(LN(2)/25)*Calculateur!GH83*Calculateur!GJ83*VLOOKUP('Données projet'!$B$17,Paramètres!$A$1:$I$89,3,0)*0.475*44/12</f>
        <v>0</v>
      </c>
      <c r="GN83" s="21">
        <f>EXP(-LN(2)/2)*GN82+(1-EXP(-LN(2)/2))/(LN(2)/2)*GH83*GK83*VLOOKUP('Données projet'!$B$17,Paramètres!$A$1:$I$89,3,0)*0.475*44/12</f>
        <v>0</v>
      </c>
      <c r="GO83" s="21">
        <f t="shared" si="81"/>
        <v>0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7.4950142450142483</v>
      </c>
      <c r="N84" s="13">
        <f>IF('Données projet'!$A$36&gt;35,N83+M84-V83,IF(A84&lt;'Données projet'!$A$36,$K$205^A84,IF(A84='Données projet'!$A$36,'Données projet'!$B$36,N83+M84-V83)))</f>
        <v>235.89886039886039</v>
      </c>
      <c r="O84" s="13">
        <f>N84*VLOOKUP('Données projet'!$B$9,Paramètres!$A$1:$I$89,3,0)*VLOOKUP('Données projet'!$B$9,Paramètres!$A$1:$I$89,5,0)</f>
        <v>213.44128888888889</v>
      </c>
      <c r="P84" s="13">
        <f t="shared" si="87"/>
        <v>52.686881026481927</v>
      </c>
      <c r="Q84" s="20">
        <f t="shared" si="54"/>
        <v>463.50656260260411</v>
      </c>
      <c r="R84" s="59">
        <f t="shared" si="55"/>
        <v>756.83989593593742</v>
      </c>
      <c r="S84" s="59">
        <f ca="1">AVERAGE(OFFSET($R$3,0,0,'Données projet'!$E$9+1,1))-AVERAGE(OFFSET($H$3,0,0,'Données projet'!$E$9+1,1))</f>
        <v>221.7429870520005</v>
      </c>
      <c r="T84" s="59">
        <f t="shared" si="88"/>
        <v>182.2029938397186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0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5.5042735042735051</v>
      </c>
      <c r="AI84" s="13">
        <f>IF('Données projet'!$A$62&gt;35,AI83+AH84-AQ83,IF(A84&lt;'Données projet'!$A$62,$AF$205^A84,IF(A84='Données projet'!$A$62,'Données projet'!$B$62,AI83+AH84-AQ83)))</f>
        <v>183.49358974358967</v>
      </c>
      <c r="AJ84" s="13">
        <f>AI84*VLOOKUP('Données projet'!$B$10,Paramètres!$A$1:$I$89,3,0)*VLOOKUP('Données projet'!$B$10,Paramètres!$A$1:$I$89,5,0)</f>
        <v>166.02499999999992</v>
      </c>
      <c r="AK84" s="13">
        <f t="shared" si="89"/>
        <v>42.198533618502132</v>
      </c>
      <c r="AL84" s="20">
        <f t="shared" si="58"/>
        <v>362.65598771889108</v>
      </c>
      <c r="AM84" s="59">
        <f t="shared" si="59"/>
        <v>655.98932105222434</v>
      </c>
      <c r="AN84" s="59">
        <f ca="1">AVERAGE(OFFSET($AM$3,0,0,'Données projet'!$E$10+1,1))-AVERAGE(OFFSET($H$3,0,0,'Données projet'!$E$10+1,1))</f>
        <v>153.45079678708987</v>
      </c>
      <c r="AO84" s="59">
        <f t="shared" si="90"/>
        <v>115.4217868409637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0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12.124038461538468</v>
      </c>
      <c r="BD84" s="12">
        <f>IF('Données projet'!$A$88&gt;35,BD83+BC84-BL83,IF(A84&lt;'Données projet'!$A$88,$BA$205^A84,IF(A84='Données projet'!$A$88,'Données projet'!$B$88,BD83+BC84-BL83)))</f>
        <v>383.77115384615399</v>
      </c>
      <c r="BE84" s="13">
        <f>BD84*VLOOKUP('Données projet'!$B$11,Paramètres!$A$1:$I$89,3,0)*VLOOKUP('Données projet'!$B$11,Paramètres!$A$1:$I$89,5,0)</f>
        <v>179.60490000000007</v>
      </c>
      <c r="BF84" s="13">
        <f t="shared" si="91"/>
        <v>45.234272457213635</v>
      </c>
      <c r="BG84" s="20">
        <f t="shared" si="61"/>
        <v>391.59489202964716</v>
      </c>
      <c r="BH84" s="59">
        <f t="shared" si="62"/>
        <v>684.92822536298047</v>
      </c>
      <c r="BI84" s="59">
        <f ca="1">AVERAGE(OFFSET($BH$3,0,0,'Données projet'!$E$11+1,1))-AVERAGE(OFFSET($H$3,0,0,'Données projet'!$E$11+1,1))</f>
        <v>158.58786357608489</v>
      </c>
      <c r="BJ84" s="59">
        <f t="shared" si="92"/>
        <v>163.20074068819849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0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>
        <f>BY84*VLOOKUP('Données projet'!$B$12,Paramètres!$A$1:$I$89,3,0)*VLOOKUP('Données projet'!$B$12,Paramètres!$A$1:$I$89,5,0)</f>
        <v>0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255.41017495879987</v>
      </c>
      <c r="CE84" s="59">
        <f t="shared" si="94"/>
        <v>297.50513563712764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3.0389934935563048</v>
      </c>
      <c r="CL84" s="21">
        <f>EXP(-LN(2)/25)*CL83+(1-EXP(-LN(2)/25))/(LN(2)/25)*Calculateur!CG84*Calculateur!CI84*VLOOKUP('Données projet'!$B$12,Paramètres!$A$1:$I$89,3,0)*0.475*44/12</f>
        <v>6.7769411779301674</v>
      </c>
      <c r="CM84" s="21">
        <f>EXP(-LN(2)/2)*CM83+(1-EXP(-LN(2)/2))/(LN(2)/2)*CG84*CJ84*VLOOKUP('Données projet'!$B$12,Paramètres!$A$1:$I$89,3,0)*0.475*44/12</f>
        <v>5.1421665316639755E-7</v>
      </c>
      <c r="CN84" s="22">
        <f t="shared" si="66"/>
        <v>9.8159351857031254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4.7676923076923057</v>
      </c>
      <c r="CT84" s="12">
        <f>IF('Données projet'!$A$140&gt;35,CT83+CS84-DB83,IF(A84&lt;'Données projet'!$A$140,$CQ$205^A84,IF(A84='Données projet'!$A$140,'Données projet'!$B$140,CT83+CS84-DB83)))</f>
        <v>274.29846153846142</v>
      </c>
      <c r="CU84" s="17">
        <f>CT84*VLOOKUP('Données projet'!$B$13,Paramètres!$A$1:$I$89,3,0)*VLOOKUP('Données projet'!$B$13,Paramètres!$A$1:$I$89,5,0)</f>
        <v>156.89871999999994</v>
      </c>
      <c r="CV84" s="13">
        <f t="shared" si="95"/>
        <v>40.142218193023027</v>
      </c>
      <c r="CW84" s="20">
        <f t="shared" si="67"/>
        <v>343.17963401951494</v>
      </c>
      <c r="CX84" s="59">
        <f t="shared" si="68"/>
        <v>636.51296735284825</v>
      </c>
      <c r="CY84" s="59">
        <f ca="1">AVERAGE(OFFSET($CX$3,0,0,'Données projet'!$E$13+1,1))-AVERAGE(OFFSET($H$3,0,0,'Données projet'!$E$13+1,1))</f>
        <v>134.70214882504786</v>
      </c>
      <c r="CZ84" s="59">
        <f t="shared" si="96"/>
        <v>102.18553029667771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0.38715838568325978</v>
      </c>
      <c r="DG84" s="21">
        <f>EXP(-LN(2)/25)*DG83+(1-EXP(-LN(2)/25))/(LN(2)/25)*Calculateur!DB84*Calculateur!DD84*VLOOKUP('Données projet'!$B$13,Paramètres!$A$1:$I$89,3,0)*0.475*44/12</f>
        <v>3.0516192821440513</v>
      </c>
      <c r="DH84" s="21">
        <f>EXP(-LN(2)/2)*DH83+(1-EXP(-LN(2)/2))/(LN(2)/2)*DB84*DE84*VLOOKUP('Données projet'!$B$13,Paramètres!$A$1:$I$89,3,0)*0.475*44/12</f>
        <v>1.6238962454871702E-7</v>
      </c>
      <c r="DI84" s="22">
        <f t="shared" si="69"/>
        <v>3.4387778302169356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-2.8421709430404007E-13</v>
      </c>
      <c r="DP84" s="17">
        <f>DO84*VLOOKUP('Données projet'!$B$14,Paramètres!$A$1:$I$89,3,0)*VLOOKUP('Données projet'!$B$14,Paramètres!$A$1:$I$89,5,0)</f>
        <v>-1.69961822393816E-13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179.32848817523677</v>
      </c>
      <c r="DU84" s="59">
        <f t="shared" si="98"/>
        <v>131.3292389103035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</v>
      </c>
      <c r="EB84" s="21">
        <f>EXP(-LN(2)/25)*EB83+(1-EXP(-LN(2)/25))/(LN(2)/25)*Calculateur!DW84*Calculateur!DY84*VLOOKUP('Données projet'!$B$14,Paramètres!$A$1:$I$89,3,0)*0.475*44/12</f>
        <v>3.2049171371850051</v>
      </c>
      <c r="EC84" s="21">
        <f>EXP(-LN(2)/2)*EC83+(1-EXP(-LN(2)/2))/(LN(2)/2)*DW84*DZ84*VLOOKUP('Données projet'!$B$14,Paramètres!$A$1:$I$89,3,0)*0.475*44/12</f>
        <v>1.109066791876934E-7</v>
      </c>
      <c r="ED84" s="22">
        <f t="shared" si="72"/>
        <v>3.2049172480916845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-2.2737367544323206E-13</v>
      </c>
      <c r="EK84" s="17">
        <f>EJ84*VLOOKUP('Données projet'!$B$15,Paramètres!$A$1:$I$89,3,0)*VLOOKUP('Données projet'!$B$15,Paramètres!$A$1:$I$89,5,0)</f>
        <v>-1.0049916454590858E-13</v>
      </c>
      <c r="EL84" s="13" t="e">
        <f t="shared" si="99"/>
        <v>#NUM!</v>
      </c>
      <c r="EM84" s="20" t="e">
        <f t="shared" si="73"/>
        <v>#NUM!</v>
      </c>
      <c r="EN84" s="59" t="e">
        <f t="shared" si="74"/>
        <v>#NUM!</v>
      </c>
      <c r="EO84" s="59">
        <f ca="1">AVERAGE(OFFSET($EN$3,0,0,'Données projet'!$E$15+1,1))-AVERAGE(OFFSET($H$3,0,0,'Données projet'!$E$15+1,1))</f>
        <v>191.932060106699</v>
      </c>
      <c r="EP84" s="59">
        <f t="shared" si="100"/>
        <v>260.28593152736903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0.88987903216712794</v>
      </c>
      <c r="EW84" s="21">
        <f>EXP(-LN(2)/25)*EW83+(1-EXP(-LN(2)/25))/(LN(2)/25)*Calculateur!ER84*Calculateur!ET84*VLOOKUP('Données projet'!$B$15,Paramètres!$A$1:$I$89,3,0)*0.475*44/12</f>
        <v>3.0686630823910921</v>
      </c>
      <c r="EX84" s="21">
        <f>EXP(-LN(2)/2)*EX83+(1-EXP(-LN(2)/2))/(LN(2)/2)*ER84*EU84*VLOOKUP('Données projet'!$B$15,Paramètres!$A$1:$I$89,3,0)*0.475*44/12</f>
        <v>2.8204166585228115E-8</v>
      </c>
      <c r="EY84" s="22">
        <f t="shared" si="75"/>
        <v>3.9585421427623868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3.1</v>
      </c>
      <c r="FE84" s="12">
        <f>IF('Données projet'!$A$218&gt;35,FE83+FD84-FM83,IF(A84&lt;'Données projet'!$A$218,$FB$205^A84,IF(A84='Données projet'!$A$218,'Données projet'!$B$218,FE83+FD84-FM83)))</f>
        <v>140.10000000000002</v>
      </c>
      <c r="FF84" s="17">
        <f>FE84*VLOOKUP('Données projet'!$B$16,Paramètres!$A$1:$I$89,3,0)*VLOOKUP('Données projet'!$B$16,Paramètres!$A$1:$I$89,5,0)</f>
        <v>135.50472000000002</v>
      </c>
      <c r="FG84" s="13">
        <f t="shared" si="101"/>
        <v>35.265252126857767</v>
      </c>
      <c r="FH84" s="20">
        <f t="shared" si="76"/>
        <v>297.42436812094394</v>
      </c>
      <c r="FI84" s="59">
        <f t="shared" si="77"/>
        <v>590.75770145427725</v>
      </c>
      <c r="FJ84" s="59">
        <f ca="1">AVERAGE(OFFSET($FI$3,0,0,'Données projet'!$E$16+1,1))-AVERAGE(OFFSET($H$3,0,0,'Données projet'!$E$16+1,1))</f>
        <v>102.86738524979938</v>
      </c>
      <c r="FK84" s="59">
        <f t="shared" si="102"/>
        <v>56.347130462109817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0</v>
      </c>
      <c r="FR84" s="21">
        <f>EXP(-LN(2)/25)*FR83+(1-EXP(-LN(2)/25))/(LN(2)/25)*Calculateur!FM84*Calculateur!FO84*VLOOKUP('Données projet'!$B$16,Paramètres!$A$1:$I$89,3,0)*0.475*44/12</f>
        <v>0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0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6.5</v>
      </c>
      <c r="FZ84" s="12">
        <f>IF('Données projet'!$A$244&gt;35,FZ83+FY84-GH83,IF(A84&lt;'Données projet'!$A$244,$FW$205^A84,IF(A84='Données projet'!$A$244,'Données projet'!$B$244,FZ83+FY84-GH83)))</f>
        <v>251.50000000000023</v>
      </c>
      <c r="GA84" s="17">
        <f>FZ84*VLOOKUP('Données projet'!$B$17,Paramètres!$A$1:$I$89,3,0)*VLOOKUP('Données projet'!$B$17,Paramètres!$A$1:$I$89,5,0)</f>
        <v>168.70620000000017</v>
      </c>
      <c r="GB84" s="13">
        <f t="shared" si="103"/>
        <v>42.800126710613881</v>
      </c>
      <c r="GC84" s="20">
        <f t="shared" si="79"/>
        <v>368.37351902098612</v>
      </c>
      <c r="GD84" s="59">
        <f t="shared" si="80"/>
        <v>661.70685235431938</v>
      </c>
      <c r="GE84" s="59">
        <f ca="1">AVERAGE(OFFSET($GD$3,0,0,'Données projet'!$E$17+1,1))-AVERAGE(OFFSET($H$3,0,0,'Données projet'!$E$17+1,1))</f>
        <v>168.00454652899231</v>
      </c>
      <c r="GF84" s="59">
        <f t="shared" si="104"/>
        <v>135.31958994080446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0</v>
      </c>
      <c r="GM84" s="21">
        <f>EXP(-LN(2)/25)*GM83+(1-EXP(-LN(2)/25))/(LN(2)/25)*Calculateur!GH84*Calculateur!GJ84*VLOOKUP('Données projet'!$B$17,Paramètres!$A$1:$I$89,3,0)*0.475*44/12</f>
        <v>0</v>
      </c>
      <c r="GN84" s="21">
        <f>EXP(-LN(2)/2)*GN83+(1-EXP(-LN(2)/2))/(LN(2)/2)*GH84*GK84*VLOOKUP('Données projet'!$B$17,Paramètres!$A$1:$I$89,3,0)*0.475*44/12</f>
        <v>0</v>
      </c>
      <c r="GO84" s="21">
        <f t="shared" si="81"/>
        <v>0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7.4950142450142483</v>
      </c>
      <c r="N85" s="13">
        <f>IF('Données projet'!$A$36&gt;35,N84+M85-V84,IF(A85&lt;'Données projet'!$A$36,$K$205^A85,IF(A85='Données projet'!$A$36,'Données projet'!$B$36,N84+M85-V84)))</f>
        <v>243.39387464387465</v>
      </c>
      <c r="O85" s="13">
        <f>N85*VLOOKUP('Données projet'!$B$9,Paramètres!$A$1:$I$89,3,0)*VLOOKUP('Données projet'!$B$9,Paramètres!$A$1:$I$89,5,0)</f>
        <v>220.22277777777776</v>
      </c>
      <c r="P85" s="13">
        <f t="shared" si="87"/>
        <v>54.163302517364315</v>
      </c>
      <c r="Q85" s="20">
        <f t="shared" si="54"/>
        <v>477.88908984737236</v>
      </c>
      <c r="R85" s="59">
        <f t="shared" si="55"/>
        <v>771.22242318070562</v>
      </c>
      <c r="S85" s="59">
        <f ca="1">AVERAGE(OFFSET($R$3,0,0,'Données projet'!$E$9+1,1))-AVERAGE(OFFSET($H$3,0,0,'Données projet'!$E$9+1,1))</f>
        <v>221.7429870520005</v>
      </c>
      <c r="T85" s="59">
        <f t="shared" si="88"/>
        <v>182.2029938397186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0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5.5042735042735051</v>
      </c>
      <c r="AI85" s="13">
        <f>IF('Données projet'!$A$62&gt;35,AI84+AH85-AQ84,IF(A85&lt;'Données projet'!$A$62,$AF$205^A85,IF(A85='Données projet'!$A$62,'Données projet'!$B$62,AI84+AH85-AQ84)))</f>
        <v>188.99786324786317</v>
      </c>
      <c r="AJ85" s="13">
        <f>AI85*VLOOKUP('Données projet'!$B$10,Paramètres!$A$1:$I$89,3,0)*VLOOKUP('Données projet'!$B$10,Paramètres!$A$1:$I$89,5,0)</f>
        <v>171.00526666666659</v>
      </c>
      <c r="AK85" s="13">
        <f t="shared" si="89"/>
        <v>43.31509256233069</v>
      </c>
      <c r="AL85" s="20">
        <f t="shared" si="58"/>
        <v>373.27462565717025</v>
      </c>
      <c r="AM85" s="59">
        <f t="shared" si="59"/>
        <v>666.60795899050356</v>
      </c>
      <c r="AN85" s="59">
        <f ca="1">AVERAGE(OFFSET($AM$3,0,0,'Données projet'!$E$10+1,1))-AVERAGE(OFFSET($H$3,0,0,'Données projet'!$E$10+1,1))</f>
        <v>153.45079678708987</v>
      </c>
      <c r="AO85" s="59">
        <f t="shared" si="90"/>
        <v>115.4217868409637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0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12.124038461538468</v>
      </c>
      <c r="BD85" s="12">
        <f>IF('Données projet'!$A$88&gt;35,BD84+BC85-BL84,IF(A85&lt;'Données projet'!$A$88,$BA$205^A85,IF(A85='Données projet'!$A$88,'Données projet'!$B$88,BD84+BC85-BL84)))</f>
        <v>395.89519230769247</v>
      </c>
      <c r="BE85" s="13">
        <f>BD85*VLOOKUP('Données projet'!$B$11,Paramètres!$A$1:$I$89,3,0)*VLOOKUP('Données projet'!$B$11,Paramètres!$A$1:$I$89,5,0)</f>
        <v>185.27895000000009</v>
      </c>
      <c r="BF85" s="13">
        <f t="shared" si="91"/>
        <v>46.494672172616063</v>
      </c>
      <c r="BG85" s="20">
        <f t="shared" si="61"/>
        <v>403.67239195063979</v>
      </c>
      <c r="BH85" s="59">
        <f t="shared" si="62"/>
        <v>697.00572528397311</v>
      </c>
      <c r="BI85" s="59">
        <f ca="1">AVERAGE(OFFSET($BH$3,0,0,'Données projet'!$E$11+1,1))-AVERAGE(OFFSET($H$3,0,0,'Données projet'!$E$11+1,1))</f>
        <v>158.58786357608489</v>
      </c>
      <c r="BJ85" s="59">
        <f t="shared" si="92"/>
        <v>163.20074068819849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0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>
        <f>BY85*VLOOKUP('Données projet'!$B$12,Paramètres!$A$1:$I$89,3,0)*VLOOKUP('Données projet'!$B$12,Paramètres!$A$1:$I$89,5,0)</f>
        <v>0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255.41017495879987</v>
      </c>
      <c r="CE85" s="59">
        <f t="shared" si="94"/>
        <v>297.50513563712764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2.9794006847506687</v>
      </c>
      <c r="CL85" s="21">
        <f>EXP(-LN(2)/25)*CL84+(1-EXP(-LN(2)/25))/(LN(2)/25)*Calculateur!CG85*Calculateur!CI85*VLOOKUP('Données projet'!$B$12,Paramètres!$A$1:$I$89,3,0)*0.475*44/12</f>
        <v>6.591625365035819</v>
      </c>
      <c r="CM85" s="21">
        <f>EXP(-LN(2)/2)*CM84+(1-EXP(-LN(2)/2))/(LN(2)/2)*CG85*CJ85*VLOOKUP('Données projet'!$B$12,Paramètres!$A$1:$I$89,3,0)*0.475*44/12</f>
        <v>3.6360608245301068E-7</v>
      </c>
      <c r="CN85" s="22">
        <f t="shared" si="66"/>
        <v>9.5710264133925698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4.7676923076923057</v>
      </c>
      <c r="CT85" s="12">
        <f>IF('Données projet'!$A$140&gt;35,CT84+CS85-DB84,IF(A85&lt;'Données projet'!$A$140,$CQ$205^A85,IF(A85='Données projet'!$A$140,'Données projet'!$B$140,CT84+CS85-DB84)))</f>
        <v>279.06615384615372</v>
      </c>
      <c r="CU85" s="17">
        <f>CT85*VLOOKUP('Données projet'!$B$13,Paramètres!$A$1:$I$89,3,0)*VLOOKUP('Données projet'!$B$13,Paramètres!$A$1:$I$89,5,0)</f>
        <v>159.62583999999993</v>
      </c>
      <c r="CV85" s="13">
        <f t="shared" si="95"/>
        <v>40.758111078359093</v>
      </c>
      <c r="CW85" s="20">
        <f t="shared" si="67"/>
        <v>349.00204812814195</v>
      </c>
      <c r="CX85" s="59">
        <f t="shared" si="68"/>
        <v>642.33538146147521</v>
      </c>
      <c r="CY85" s="59">
        <f ca="1">AVERAGE(OFFSET($CX$3,0,0,'Données projet'!$E$13+1,1))-AVERAGE(OFFSET($H$3,0,0,'Données projet'!$E$13+1,1))</f>
        <v>134.70214882504786</v>
      </c>
      <c r="CZ85" s="59">
        <f t="shared" si="96"/>
        <v>102.18553029667771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0.37956644588330912</v>
      </c>
      <c r="DG85" s="21">
        <f>EXP(-LN(2)/25)*DG84+(1-EXP(-LN(2)/25))/(LN(2)/25)*Calculateur!DB85*Calculateur!DD85*VLOOKUP('Données projet'!$B$13,Paramètres!$A$1:$I$89,3,0)*0.475*44/12</f>
        <v>2.9681725923961388</v>
      </c>
      <c r="DH85" s="21">
        <f>EXP(-LN(2)/2)*DH84+(1-EXP(-LN(2)/2))/(LN(2)/2)*DB85*DE85*VLOOKUP('Données projet'!$B$13,Paramètres!$A$1:$I$89,3,0)*0.475*44/12</f>
        <v>1.1482680471273525E-7</v>
      </c>
      <c r="DI85" s="22">
        <f t="shared" si="69"/>
        <v>3.3477391531062524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-2.8421709430404007E-13</v>
      </c>
      <c r="DP85" s="17">
        <f>DO85*VLOOKUP('Données projet'!$B$14,Paramètres!$A$1:$I$89,3,0)*VLOOKUP('Données projet'!$B$14,Paramètres!$A$1:$I$89,5,0)</f>
        <v>-1.69961822393816E-13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179.32848817523677</v>
      </c>
      <c r="DU85" s="59">
        <f t="shared" si="98"/>
        <v>131.3292389103035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</v>
      </c>
      <c r="EB85" s="21">
        <f>EXP(-LN(2)/25)*EB84+(1-EXP(-LN(2)/25))/(LN(2)/25)*Calculateur!DW85*Calculateur!DY85*VLOOKUP('Données projet'!$B$14,Paramètres!$A$1:$I$89,3,0)*0.475*44/12</f>
        <v>3.117278509529414</v>
      </c>
      <c r="EC85" s="21">
        <f>EXP(-LN(2)/2)*EC84+(1-EXP(-LN(2)/2))/(LN(2)/2)*DW85*DZ85*VLOOKUP('Données projet'!$B$14,Paramètres!$A$1:$I$89,3,0)*0.475*44/12</f>
        <v>7.8422864932498939E-8</v>
      </c>
      <c r="ED85" s="22">
        <f t="shared" si="72"/>
        <v>3.1172785879522791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-2.2737367544323206E-13</v>
      </c>
      <c r="EK85" s="17">
        <f>EJ85*VLOOKUP('Données projet'!$B$15,Paramètres!$A$1:$I$89,3,0)*VLOOKUP('Données projet'!$B$15,Paramètres!$A$1:$I$89,5,0)</f>
        <v>-1.0049916454590858E-13</v>
      </c>
      <c r="EL85" s="13" t="e">
        <f t="shared" si="99"/>
        <v>#NUM!</v>
      </c>
      <c r="EM85" s="20" t="e">
        <f t="shared" si="73"/>
        <v>#NUM!</v>
      </c>
      <c r="EN85" s="59" t="e">
        <f t="shared" si="74"/>
        <v>#NUM!</v>
      </c>
      <c r="EO85" s="59">
        <f ca="1">AVERAGE(OFFSET($EN$3,0,0,'Données projet'!$E$15+1,1))-AVERAGE(OFFSET($H$3,0,0,'Données projet'!$E$15+1,1))</f>
        <v>191.932060106699</v>
      </c>
      <c r="EP85" s="59">
        <f t="shared" si="100"/>
        <v>260.28593152736903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0.87242904711894587</v>
      </c>
      <c r="EW85" s="21">
        <f>EXP(-LN(2)/25)*EW84+(1-EXP(-LN(2)/25))/(LN(2)/25)*Calculateur!ER85*Calculateur!ET85*VLOOKUP('Données projet'!$B$15,Paramètres!$A$1:$I$89,3,0)*0.475*44/12</f>
        <v>2.9847503290291297</v>
      </c>
      <c r="EX85" s="21">
        <f>EXP(-LN(2)/2)*EX84+(1-EXP(-LN(2)/2))/(LN(2)/2)*ER85*EU85*VLOOKUP('Données projet'!$B$15,Paramètres!$A$1:$I$89,3,0)*0.475*44/12</f>
        <v>1.9943357450129832E-8</v>
      </c>
      <c r="EY85" s="22">
        <f t="shared" si="75"/>
        <v>3.8571793960914333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3.1</v>
      </c>
      <c r="FE85" s="12">
        <f>IF('Données projet'!$A$218&gt;35,FE84+FD85-FM84,IF(A85&lt;'Données projet'!$A$218,$FB$205^A85,IF(A85='Données projet'!$A$218,'Données projet'!$B$218,FE84+FD85-FM84)))</f>
        <v>143.20000000000002</v>
      </c>
      <c r="FF85" s="17">
        <f>FE85*VLOOKUP('Données projet'!$B$16,Paramètres!$A$1:$I$89,3,0)*VLOOKUP('Données projet'!$B$16,Paramètres!$A$1:$I$89,5,0)</f>
        <v>138.50304000000003</v>
      </c>
      <c r="FG85" s="13">
        <f t="shared" si="101"/>
        <v>35.953858716475033</v>
      </c>
      <c r="FH85" s="20">
        <f t="shared" si="76"/>
        <v>303.84576526452736</v>
      </c>
      <c r="FI85" s="59">
        <f t="shared" si="77"/>
        <v>597.17909859786073</v>
      </c>
      <c r="FJ85" s="59">
        <f ca="1">AVERAGE(OFFSET($FI$3,0,0,'Données projet'!$E$16+1,1))-AVERAGE(OFFSET($H$3,0,0,'Données projet'!$E$16+1,1))</f>
        <v>102.86738524979938</v>
      </c>
      <c r="FK85" s="59">
        <f t="shared" si="102"/>
        <v>56.347130462109817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0</v>
      </c>
      <c r="FR85" s="21">
        <f>EXP(-LN(2)/25)*FR84+(1-EXP(-LN(2)/25))/(LN(2)/25)*Calculateur!FM85*Calculateur!FO85*VLOOKUP('Données projet'!$B$16,Paramètres!$A$1:$I$89,3,0)*0.475*44/12</f>
        <v>0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0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6.5</v>
      </c>
      <c r="FZ85" s="12">
        <f>IF('Données projet'!$A$244&gt;35,FZ84+FY85-GH84,IF(A85&lt;'Données projet'!$A$244,$FW$205^A85,IF(A85='Données projet'!$A$244,'Données projet'!$B$244,FZ84+FY85-GH84)))</f>
        <v>258.00000000000023</v>
      </c>
      <c r="GA85" s="17">
        <f>FZ85*VLOOKUP('Données projet'!$B$17,Paramètres!$A$1:$I$89,3,0)*VLOOKUP('Données projet'!$B$17,Paramètres!$A$1:$I$89,5,0)</f>
        <v>173.06640000000016</v>
      </c>
      <c r="GB85" s="13">
        <f t="shared" si="103"/>
        <v>43.77607900660319</v>
      </c>
      <c r="GC85" s="20">
        <f t="shared" si="79"/>
        <v>377.66731760316748</v>
      </c>
      <c r="GD85" s="59">
        <f t="shared" si="80"/>
        <v>671.00065093650073</v>
      </c>
      <c r="GE85" s="59">
        <f ca="1">AVERAGE(OFFSET($GD$3,0,0,'Données projet'!$E$17+1,1))-AVERAGE(OFFSET($H$3,0,0,'Données projet'!$E$17+1,1))</f>
        <v>168.00454652899231</v>
      </c>
      <c r="GF85" s="59">
        <f t="shared" si="104"/>
        <v>135.31958994080446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0</v>
      </c>
      <c r="GM85" s="21">
        <f>EXP(-LN(2)/25)*GM84+(1-EXP(-LN(2)/25))/(LN(2)/25)*Calculateur!GH85*Calculateur!GJ85*VLOOKUP('Données projet'!$B$17,Paramètres!$A$1:$I$89,3,0)*0.475*44/12</f>
        <v>0</v>
      </c>
      <c r="GN85" s="21">
        <f>EXP(-LN(2)/2)*GN84+(1-EXP(-LN(2)/2))/(LN(2)/2)*GH85*GK85*VLOOKUP('Données projet'!$B$17,Paramètres!$A$1:$I$89,3,0)*0.475*44/12</f>
        <v>0</v>
      </c>
      <c r="GO85" s="21">
        <f t="shared" si="81"/>
        <v>0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7.4950142450142483</v>
      </c>
      <c r="N86" s="13">
        <f>IF('Données projet'!$A$36&gt;35,N85+M86-V85,IF(A86&lt;'Données projet'!$A$36,$K$205^A86,IF(A86='Données projet'!$A$36,'Données projet'!$B$36,N85+M86-V85)))</f>
        <v>250.88888888888891</v>
      </c>
      <c r="O86" s="13">
        <f>N86*VLOOKUP('Données projet'!$B$9,Paramètres!$A$1:$I$89,3,0)*VLOOKUP('Données projet'!$B$9,Paramètres!$A$1:$I$89,5,0)</f>
        <v>227.00426666666667</v>
      </c>
      <c r="P86" s="13">
        <f t="shared" si="87"/>
        <v>55.634440522110069</v>
      </c>
      <c r="Q86" s="20">
        <f t="shared" si="54"/>
        <v>492.26241502045281</v>
      </c>
      <c r="R86" s="59">
        <f t="shared" si="55"/>
        <v>785.59574835378612</v>
      </c>
      <c r="S86" s="59">
        <f ca="1">AVERAGE(OFFSET($R$3,0,0,'Données projet'!$E$9+1,1))-AVERAGE(OFFSET($H$3,0,0,'Données projet'!$E$9+1,1))</f>
        <v>221.7429870520005</v>
      </c>
      <c r="T86" s="59">
        <f t="shared" si="88"/>
        <v>182.2029938397186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0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5.5042735042735051</v>
      </c>
      <c r="AI86" s="13">
        <f>IF('Données projet'!$A$62&gt;35,AI85+AH86-AQ85,IF(A86&lt;'Données projet'!$A$62,$AF$205^A86,IF(A86='Données projet'!$A$62,'Données projet'!$B$62,AI85+AH86-AQ85)))</f>
        <v>194.50213675213666</v>
      </c>
      <c r="AJ86" s="13">
        <f>AI86*VLOOKUP('Données projet'!$B$10,Paramètres!$A$1:$I$89,3,0)*VLOOKUP('Données projet'!$B$10,Paramètres!$A$1:$I$89,5,0)</f>
        <v>175.98553333333325</v>
      </c>
      <c r="AK86" s="13">
        <f t="shared" si="89"/>
        <v>44.427872246727624</v>
      </c>
      <c r="AL86" s="20">
        <f t="shared" si="58"/>
        <v>383.88668138527265</v>
      </c>
      <c r="AM86" s="59">
        <f t="shared" si="59"/>
        <v>677.22001471860597</v>
      </c>
      <c r="AN86" s="59">
        <f ca="1">AVERAGE(OFFSET($AM$3,0,0,'Données projet'!$E$10+1,1))-AVERAGE(OFFSET($H$3,0,0,'Données projet'!$E$10+1,1))</f>
        <v>153.45079678708987</v>
      </c>
      <c r="AO86" s="59">
        <f t="shared" si="90"/>
        <v>115.4217868409637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0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12.124038461538468</v>
      </c>
      <c r="BD86" s="12">
        <f>IF('Données projet'!$A$88&gt;35,BD85+BC86-BL85,IF(A86&lt;'Données projet'!$A$88,$BA$205^A86,IF(A86='Données projet'!$A$88,'Données projet'!$B$88,BD85+BC86-BL85)))</f>
        <v>408.01923076923094</v>
      </c>
      <c r="BE86" s="13">
        <f>BD86*VLOOKUP('Données projet'!$B$11,Paramètres!$A$1:$I$89,3,0)*VLOOKUP('Données projet'!$B$11,Paramètres!$A$1:$I$89,5,0)</f>
        <v>190.95300000000006</v>
      </c>
      <c r="BF86" s="13">
        <f t="shared" si="91"/>
        <v>47.750586229034354</v>
      </c>
      <c r="BG86" s="20">
        <f t="shared" si="61"/>
        <v>415.7420793489016</v>
      </c>
      <c r="BH86" s="59">
        <f t="shared" si="62"/>
        <v>709.07541268223486</v>
      </c>
      <c r="BI86" s="59">
        <f ca="1">AVERAGE(OFFSET($BH$3,0,0,'Données projet'!$E$11+1,1))-AVERAGE(OFFSET($H$3,0,0,'Données projet'!$E$11+1,1))</f>
        <v>158.58786357608489</v>
      </c>
      <c r="BJ86" s="59">
        <f t="shared" si="92"/>
        <v>163.20074068819849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0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>
        <f>BY86*VLOOKUP('Données projet'!$B$12,Paramètres!$A$1:$I$89,3,0)*VLOOKUP('Données projet'!$B$12,Paramètres!$A$1:$I$89,5,0)</f>
        <v>0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255.41017495879987</v>
      </c>
      <c r="CE86" s="59">
        <f t="shared" si="94"/>
        <v>297.50513563712764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2.9209764545776866</v>
      </c>
      <c r="CL86" s="21">
        <f>EXP(-LN(2)/25)*CL85+(1-EXP(-LN(2)/25))/(LN(2)/25)*Calculateur!CG86*Calculateur!CI86*VLOOKUP('Données projet'!$B$12,Paramètres!$A$1:$I$89,3,0)*0.475*44/12</f>
        <v>6.4113770227904023</v>
      </c>
      <c r="CM86" s="21">
        <f>EXP(-LN(2)/2)*CM85+(1-EXP(-LN(2)/2))/(LN(2)/2)*CG86*CJ86*VLOOKUP('Données projet'!$B$12,Paramètres!$A$1:$I$89,3,0)*0.475*44/12</f>
        <v>2.5710832658319877E-7</v>
      </c>
      <c r="CN86" s="22">
        <f t="shared" si="66"/>
        <v>9.3323537344764151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4.7676923076923057</v>
      </c>
      <c r="CT86" s="12">
        <f>IF('Données projet'!$A$140&gt;35,CT85+CS86-DB85,IF(A86&lt;'Données projet'!$A$140,$CQ$205^A86,IF(A86='Données projet'!$A$140,'Données projet'!$B$140,CT85+CS86-DB85)))</f>
        <v>283.83384615384603</v>
      </c>
      <c r="CU86" s="17">
        <f>CT86*VLOOKUP('Données projet'!$B$13,Paramètres!$A$1:$I$89,3,0)*VLOOKUP('Données projet'!$B$13,Paramètres!$A$1:$I$89,5,0)</f>
        <v>162.35295999999994</v>
      </c>
      <c r="CV86" s="13">
        <f t="shared" si="95"/>
        <v>41.37278033457838</v>
      </c>
      <c r="CW86" s="20">
        <f t="shared" si="67"/>
        <v>354.82233108272385</v>
      </c>
      <c r="CX86" s="59">
        <f t="shared" si="68"/>
        <v>648.15566441605711</v>
      </c>
      <c r="CY86" s="59">
        <f ca="1">AVERAGE(OFFSET($CX$3,0,0,'Données projet'!$E$13+1,1))-AVERAGE(OFFSET($H$3,0,0,'Données projet'!$E$13+1,1))</f>
        <v>134.70214882504786</v>
      </c>
      <c r="CZ86" s="59">
        <f t="shared" si="96"/>
        <v>102.18553029667771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0.37212337939220946</v>
      </c>
      <c r="DG86" s="21">
        <f>EXP(-LN(2)/25)*DG85+(1-EXP(-LN(2)/25))/(LN(2)/25)*Calculateur!DB86*Calculateur!DD86*VLOOKUP('Données projet'!$B$13,Paramètres!$A$1:$I$89,3,0)*0.475*44/12</f>
        <v>2.8870077567676535</v>
      </c>
      <c r="DH86" s="21">
        <f>EXP(-LN(2)/2)*DH85+(1-EXP(-LN(2)/2))/(LN(2)/2)*DB86*DE86*VLOOKUP('Données projet'!$B$13,Paramètres!$A$1:$I$89,3,0)*0.475*44/12</f>
        <v>8.1194812274358511E-8</v>
      </c>
      <c r="DI86" s="22">
        <f t="shared" si="69"/>
        <v>3.2591312173546751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-2.8421709430404007E-13</v>
      </c>
      <c r="DP86" s="17">
        <f>DO86*VLOOKUP('Données projet'!$B$14,Paramètres!$A$1:$I$89,3,0)*VLOOKUP('Données projet'!$B$14,Paramètres!$A$1:$I$89,5,0)</f>
        <v>-1.69961822393816E-13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179.32848817523677</v>
      </c>
      <c r="DU86" s="59">
        <f t="shared" si="98"/>
        <v>131.3292389103035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</v>
      </c>
      <c r="EB86" s="21">
        <f>EXP(-LN(2)/25)*EB85+(1-EXP(-LN(2)/25))/(LN(2)/25)*Calculateur!DW86*Calculateur!DY86*VLOOKUP('Données projet'!$B$14,Paramètres!$A$1:$I$89,3,0)*0.475*44/12</f>
        <v>3.03203636475578</v>
      </c>
      <c r="EC86" s="21">
        <f>EXP(-LN(2)/2)*EC85+(1-EXP(-LN(2)/2))/(LN(2)/2)*DW86*DZ86*VLOOKUP('Données projet'!$B$14,Paramètres!$A$1:$I$89,3,0)*0.475*44/12</f>
        <v>5.5453339593846699E-8</v>
      </c>
      <c r="ED86" s="22">
        <f t="shared" si="72"/>
        <v>3.0320364202091197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-2.2737367544323206E-13</v>
      </c>
      <c r="EK86" s="17">
        <f>EJ86*VLOOKUP('Données projet'!$B$15,Paramètres!$A$1:$I$89,3,0)*VLOOKUP('Données projet'!$B$15,Paramètres!$A$1:$I$89,5,0)</f>
        <v>-1.0049916454590858E-13</v>
      </c>
      <c r="EL86" s="13" t="e">
        <f t="shared" si="99"/>
        <v>#NUM!</v>
      </c>
      <c r="EM86" s="20" t="e">
        <f t="shared" si="73"/>
        <v>#NUM!</v>
      </c>
      <c r="EN86" s="59" t="e">
        <f t="shared" si="74"/>
        <v>#NUM!</v>
      </c>
      <c r="EO86" s="59">
        <f ca="1">AVERAGE(OFFSET($EN$3,0,0,'Données projet'!$E$15+1,1))-AVERAGE(OFFSET($H$3,0,0,'Données projet'!$E$15+1,1))</f>
        <v>191.932060106699</v>
      </c>
      <c r="EP86" s="59">
        <f t="shared" si="100"/>
        <v>260.28593152736903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0.85532124563411871</v>
      </c>
      <c r="EW86" s="21">
        <f>EXP(-LN(2)/25)*EW85+(1-EXP(-LN(2)/25))/(LN(2)/25)*Calculateur!ER86*Calculateur!ET86*VLOOKUP('Données projet'!$B$15,Paramètres!$A$1:$I$89,3,0)*0.475*44/12</f>
        <v>2.9031321743206302</v>
      </c>
      <c r="EX86" s="21">
        <f>EXP(-LN(2)/2)*EX85+(1-EXP(-LN(2)/2))/(LN(2)/2)*ER86*EU86*VLOOKUP('Données projet'!$B$15,Paramètres!$A$1:$I$89,3,0)*0.475*44/12</f>
        <v>1.4102083292614058E-8</v>
      </c>
      <c r="EY86" s="22">
        <f t="shared" si="75"/>
        <v>3.7584534340568325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3.1</v>
      </c>
      <c r="FE86" s="12">
        <f>IF('Données projet'!$A$218&gt;35,FE85+FD86-FM85,IF(A86&lt;'Données projet'!$A$218,$FB$205^A86,IF(A86='Données projet'!$A$218,'Données projet'!$B$218,FE85+FD86-FM85)))</f>
        <v>146.30000000000001</v>
      </c>
      <c r="FF86" s="17">
        <f>FE86*VLOOKUP('Données projet'!$B$16,Paramètres!$A$1:$I$89,3,0)*VLOOKUP('Données projet'!$B$16,Paramètres!$A$1:$I$89,5,0)</f>
        <v>141.50136000000001</v>
      </c>
      <c r="FG86" s="13">
        <f t="shared" si="101"/>
        <v>36.64073217415028</v>
      </c>
      <c r="FH86" s="20">
        <f t="shared" si="76"/>
        <v>310.2641438699784</v>
      </c>
      <c r="FI86" s="59">
        <f t="shared" si="77"/>
        <v>603.59747720331166</v>
      </c>
      <c r="FJ86" s="59">
        <f ca="1">AVERAGE(OFFSET($FI$3,0,0,'Données projet'!$E$16+1,1))-AVERAGE(OFFSET($H$3,0,0,'Données projet'!$E$16+1,1))</f>
        <v>102.86738524979938</v>
      </c>
      <c r="FK86" s="59">
        <f t="shared" si="102"/>
        <v>56.347130462109817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0</v>
      </c>
      <c r="FR86" s="21">
        <f>EXP(-LN(2)/25)*FR85+(1-EXP(-LN(2)/25))/(LN(2)/25)*Calculateur!FM86*Calculateur!FO86*VLOOKUP('Données projet'!$B$16,Paramètres!$A$1:$I$89,3,0)*0.475*44/12</f>
        <v>0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0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6.5</v>
      </c>
      <c r="FZ86" s="12">
        <f>IF('Données projet'!$A$244&gt;35,FZ85+FY86-GH85,IF(A86&lt;'Données projet'!$A$244,$FW$205^A86,IF(A86='Données projet'!$A$244,'Données projet'!$B$244,FZ85+FY86-GH85)))</f>
        <v>264.50000000000023</v>
      </c>
      <c r="GA86" s="17">
        <f>FZ86*VLOOKUP('Données projet'!$B$17,Paramètres!$A$1:$I$89,3,0)*VLOOKUP('Données projet'!$B$17,Paramètres!$A$1:$I$89,5,0)</f>
        <v>177.42660000000015</v>
      </c>
      <c r="GB86" s="13">
        <f t="shared" si="103"/>
        <v>44.749173138651884</v>
      </c>
      <c r="GC86" s="20">
        <f t="shared" si="79"/>
        <v>386.95613821648561</v>
      </c>
      <c r="GD86" s="59">
        <f t="shared" si="80"/>
        <v>680.28947154981893</v>
      </c>
      <c r="GE86" s="59">
        <f ca="1">AVERAGE(OFFSET($GD$3,0,0,'Données projet'!$E$17+1,1))-AVERAGE(OFFSET($H$3,0,0,'Données projet'!$E$17+1,1))</f>
        <v>168.00454652899231</v>
      </c>
      <c r="GF86" s="59">
        <f t="shared" si="104"/>
        <v>135.31958994080446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0</v>
      </c>
      <c r="GM86" s="21">
        <f>EXP(-LN(2)/25)*GM85+(1-EXP(-LN(2)/25))/(LN(2)/25)*Calculateur!GH86*Calculateur!GJ86*VLOOKUP('Données projet'!$B$17,Paramètres!$A$1:$I$89,3,0)*0.475*44/12</f>
        <v>0</v>
      </c>
      <c r="GN86" s="21">
        <f>EXP(-LN(2)/2)*GN85+(1-EXP(-LN(2)/2))/(LN(2)/2)*GH86*GK86*VLOOKUP('Données projet'!$B$17,Paramètres!$A$1:$I$89,3,0)*0.475*44/12</f>
        <v>0</v>
      </c>
      <c r="GO86" s="21">
        <f t="shared" si="81"/>
        <v>0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7.4950142450142483</v>
      </c>
      <c r="N87" s="13">
        <f>IF('Données projet'!$A$36&gt;35,N86+M87-V86,IF(A87&lt;'Données projet'!$A$36,$K$205^A87,IF(A87='Données projet'!$A$36,'Données projet'!$B$36,N86+M87-V86)))</f>
        <v>258.38390313390317</v>
      </c>
      <c r="O87" s="13">
        <f>N87*VLOOKUP('Données projet'!$B$9,Paramètres!$A$1:$I$89,3,0)*VLOOKUP('Données projet'!$B$9,Paramètres!$A$1:$I$89,5,0)</f>
        <v>233.7857555555556</v>
      </c>
      <c r="P87" s="13">
        <f t="shared" si="87"/>
        <v>57.10047099813341</v>
      </c>
      <c r="Q87" s="20">
        <f t="shared" si="54"/>
        <v>506.62684458100836</v>
      </c>
      <c r="R87" s="59">
        <f t="shared" si="55"/>
        <v>799.96017791434167</v>
      </c>
      <c r="S87" s="59">
        <f ca="1">AVERAGE(OFFSET($R$3,0,0,'Données projet'!$E$9+1,1))-AVERAGE(OFFSET($H$3,0,0,'Données projet'!$E$9+1,1))</f>
        <v>221.7429870520005</v>
      </c>
      <c r="T87" s="59">
        <f t="shared" si="88"/>
        <v>182.2029938397186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0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200.00641025641025</v>
      </c>
      <c r="AG87" s="12">
        <f>VLOOKUP(A87,'Données projet'!$A$61:$I$81,9,0)</f>
        <v>5.5042735042735051</v>
      </c>
      <c r="AH87" s="12">
        <f t="array" ref="AH87">INDEX(AG:AG,MIN(IF(ISNUMBER(AG87:AG283),ROW(AG87:AG283),"")))</f>
        <v>5.5042735042735051</v>
      </c>
      <c r="AI87" s="13">
        <f>IF('Données projet'!$A$62&gt;35,AI86+AH87-AQ86,IF(A87&lt;'Données projet'!$A$62,$AF$205^A87,IF(A87='Données projet'!$A$62,'Données projet'!$B$62,AI86+AH87-AQ86)))</f>
        <v>200.00641025641016</v>
      </c>
      <c r="AJ87" s="13">
        <f>AI87*VLOOKUP('Données projet'!$B$10,Paramètres!$A$1:$I$89,3,0)*VLOOKUP('Données projet'!$B$10,Paramètres!$A$1:$I$89,5,0)</f>
        <v>180.96579999999992</v>
      </c>
      <c r="AK87" s="13">
        <f t="shared" si="89"/>
        <v>45.536991906907375</v>
      </c>
      <c r="AL87" s="20">
        <f t="shared" si="58"/>
        <v>394.49236257119691</v>
      </c>
      <c r="AM87" s="59">
        <f t="shared" si="59"/>
        <v>687.82569590453022</v>
      </c>
      <c r="AN87" s="59">
        <f ca="1">AVERAGE(OFFSET($AM$3,0,0,'Données projet'!$E$10+1,1))-AVERAGE(OFFSET($H$3,0,0,'Données projet'!$E$10+1,1))</f>
        <v>153.45079678708987</v>
      </c>
      <c r="AO87" s="59">
        <f t="shared" si="90"/>
        <v>115.4217868409637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35.083333333333329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0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12.124038461538468</v>
      </c>
      <c r="BD87" s="12">
        <f>IF('Données projet'!$A$88&gt;35,BD86+BC87-BL86,IF(A87&lt;'Données projet'!$A$88,$BA$205^A87,IF(A87='Données projet'!$A$88,'Données projet'!$B$88,BD86+BC87-BL86)))</f>
        <v>420.14326923076942</v>
      </c>
      <c r="BE87" s="13">
        <f>BD87*VLOOKUP('Données projet'!$B$11,Paramètres!$A$1:$I$89,3,0)*VLOOKUP('Données projet'!$B$11,Paramètres!$A$1:$I$89,5,0)</f>
        <v>196.62705000000008</v>
      </c>
      <c r="BF87" s="13">
        <f t="shared" si="91"/>
        <v>49.002163217129386</v>
      </c>
      <c r="BG87" s="20">
        <f t="shared" si="61"/>
        <v>427.80421301983375</v>
      </c>
      <c r="BH87" s="59">
        <f t="shared" si="62"/>
        <v>721.13754635316707</v>
      </c>
      <c r="BI87" s="59">
        <f ca="1">AVERAGE(OFFSET($BH$3,0,0,'Données projet'!$E$11+1,1))-AVERAGE(OFFSET($H$3,0,0,'Données projet'!$E$11+1,1))</f>
        <v>158.58786357608489</v>
      </c>
      <c r="BJ87" s="59">
        <f t="shared" si="92"/>
        <v>163.20074068819849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0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>
        <f>BY87*VLOOKUP('Données projet'!$B$12,Paramètres!$A$1:$I$89,3,0)*VLOOKUP('Données projet'!$B$12,Paramètres!$A$1:$I$89,5,0)</f>
        <v>0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255.41017495879987</v>
      </c>
      <c r="CE87" s="59">
        <f t="shared" si="94"/>
        <v>297.50513563712764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2.8636978879231352</v>
      </c>
      <c r="CL87" s="21">
        <f>EXP(-LN(2)/25)*CL86+(1-EXP(-LN(2)/25))/(LN(2)/25)*Calculateur!CG87*Calculateur!CI87*VLOOKUP('Données projet'!$B$12,Paramètres!$A$1:$I$89,3,0)*0.475*44/12</f>
        <v>6.2360575809425347</v>
      </c>
      <c r="CM87" s="21">
        <f>EXP(-LN(2)/2)*CM86+(1-EXP(-LN(2)/2))/(LN(2)/2)*CG87*CJ87*VLOOKUP('Données projet'!$B$12,Paramètres!$A$1:$I$89,3,0)*0.475*44/12</f>
        <v>1.8180304122650534E-7</v>
      </c>
      <c r="CN87" s="22">
        <f t="shared" si="66"/>
        <v>9.0997556506687118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4.7676923076923057</v>
      </c>
      <c r="CT87" s="12">
        <f>IF('Données projet'!$A$140&gt;35,CT86+CS87-DB86,IF(A87&lt;'Données projet'!$A$140,$CQ$205^A87,IF(A87='Données projet'!$A$140,'Données projet'!$B$140,CT86+CS87-DB86)))</f>
        <v>288.60153846153833</v>
      </c>
      <c r="CU87" s="17">
        <f>CT87*VLOOKUP('Données projet'!$B$13,Paramètres!$A$1:$I$89,3,0)*VLOOKUP('Données projet'!$B$13,Paramètres!$A$1:$I$89,5,0)</f>
        <v>165.08007999999992</v>
      </c>
      <c r="CV87" s="13">
        <f t="shared" si="95"/>
        <v>41.986248887788349</v>
      </c>
      <c r="CW87" s="20">
        <f t="shared" si="67"/>
        <v>360.64052281289787</v>
      </c>
      <c r="CX87" s="59">
        <f t="shared" si="68"/>
        <v>653.97385614623113</v>
      </c>
      <c r="CY87" s="59">
        <f ca="1">AVERAGE(OFFSET($CX$3,0,0,'Données projet'!$E$13+1,1))-AVERAGE(OFFSET($H$3,0,0,'Données projet'!$E$13+1,1))</f>
        <v>134.70214882504786</v>
      </c>
      <c r="CZ87" s="59">
        <f t="shared" si="96"/>
        <v>102.18553029667771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0.36482626689517794</v>
      </c>
      <c r="DG87" s="21">
        <f>EXP(-LN(2)/25)*DG86+(1-EXP(-LN(2)/25))/(LN(2)/25)*Calculateur!DB87*Calculateur!DD87*VLOOKUP('Données projet'!$B$13,Paramètres!$A$1:$I$89,3,0)*0.475*44/12</f>
        <v>2.8080623778377025</v>
      </c>
      <c r="DH87" s="21">
        <f>EXP(-LN(2)/2)*DH86+(1-EXP(-LN(2)/2))/(LN(2)/2)*DB87*DE87*VLOOKUP('Données projet'!$B$13,Paramètres!$A$1:$I$89,3,0)*0.475*44/12</f>
        <v>5.7413402356367627E-8</v>
      </c>
      <c r="DI87" s="22">
        <f t="shared" si="69"/>
        <v>3.1728887021462828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-2.8421709430404007E-13</v>
      </c>
      <c r="DP87" s="17">
        <f>DO87*VLOOKUP('Données projet'!$B$14,Paramètres!$A$1:$I$89,3,0)*VLOOKUP('Données projet'!$B$14,Paramètres!$A$1:$I$89,5,0)</f>
        <v>-1.69961822393816E-13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179.32848817523677</v>
      </c>
      <c r="DU87" s="59">
        <f t="shared" si="98"/>
        <v>131.3292389103035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</v>
      </c>
      <c r="EB87" s="21">
        <f>EXP(-LN(2)/25)*EB86+(1-EXP(-LN(2)/25))/(LN(2)/25)*Calculateur!DW87*Calculateur!DY87*VLOOKUP('Données projet'!$B$14,Paramètres!$A$1:$I$89,3,0)*0.475*44/12</f>
        <v>2.9491251709136708</v>
      </c>
      <c r="EC87" s="21">
        <f>EXP(-LN(2)/2)*EC86+(1-EXP(-LN(2)/2))/(LN(2)/2)*DW87*DZ87*VLOOKUP('Données projet'!$B$14,Paramètres!$A$1:$I$89,3,0)*0.475*44/12</f>
        <v>3.9211432466249469E-8</v>
      </c>
      <c r="ED87" s="22">
        <f t="shared" si="72"/>
        <v>2.9491252101251031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-2.2737367544323206E-13</v>
      </c>
      <c r="EK87" s="17">
        <f>EJ87*VLOOKUP('Données projet'!$B$15,Paramètres!$A$1:$I$89,3,0)*VLOOKUP('Données projet'!$B$15,Paramètres!$A$1:$I$89,5,0)</f>
        <v>-1.0049916454590858E-13</v>
      </c>
      <c r="EL87" s="13" t="e">
        <f t="shared" si="99"/>
        <v>#NUM!</v>
      </c>
      <c r="EM87" s="20" t="e">
        <f t="shared" si="73"/>
        <v>#NUM!</v>
      </c>
      <c r="EN87" s="59" t="e">
        <f t="shared" si="74"/>
        <v>#NUM!</v>
      </c>
      <c r="EO87" s="59">
        <f ca="1">AVERAGE(OFFSET($EN$3,0,0,'Données projet'!$E$15+1,1))-AVERAGE(OFFSET($H$3,0,0,'Données projet'!$E$15+1,1))</f>
        <v>191.932060106699</v>
      </c>
      <c r="EP87" s="59">
        <f t="shared" si="100"/>
        <v>260.28593152736903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0.83854891770168039</v>
      </c>
      <c r="EW87" s="21">
        <f>EXP(-LN(2)/25)*EW86+(1-EXP(-LN(2)/25))/(LN(2)/25)*Calculateur!ER87*Calculateur!ET87*VLOOKUP('Données projet'!$B$15,Paramètres!$A$1:$I$89,3,0)*0.475*44/12</f>
        <v>2.8237458723447468</v>
      </c>
      <c r="EX87" s="21">
        <f>EXP(-LN(2)/2)*EX86+(1-EXP(-LN(2)/2))/(LN(2)/2)*ER87*EU87*VLOOKUP('Données projet'!$B$15,Paramètres!$A$1:$I$89,3,0)*0.475*44/12</f>
        <v>9.9716787250649159E-9</v>
      </c>
      <c r="EY87" s="22">
        <f t="shared" si="75"/>
        <v>3.6622948000181057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3.1</v>
      </c>
      <c r="FE87" s="12">
        <f>IF('Données projet'!$A$218&gt;35,FE86+FD87-FM86,IF(A87&lt;'Données projet'!$A$218,$FB$205^A87,IF(A87='Données projet'!$A$218,'Données projet'!$B$218,FE86+FD87-FM86)))</f>
        <v>149.4</v>
      </c>
      <c r="FF87" s="17">
        <f>FE87*VLOOKUP('Données projet'!$B$16,Paramètres!$A$1:$I$89,3,0)*VLOOKUP('Données projet'!$B$16,Paramètres!$A$1:$I$89,5,0)</f>
        <v>144.49968000000001</v>
      </c>
      <c r="FG87" s="13">
        <f t="shared" si="101"/>
        <v>37.325913454134138</v>
      </c>
      <c r="FH87" s="20">
        <f t="shared" si="76"/>
        <v>316.67957526595029</v>
      </c>
      <c r="FI87" s="59">
        <f t="shared" si="77"/>
        <v>610.01290859928361</v>
      </c>
      <c r="FJ87" s="59">
        <f ca="1">AVERAGE(OFFSET($FI$3,0,0,'Données projet'!$E$16+1,1))-AVERAGE(OFFSET($H$3,0,0,'Données projet'!$E$16+1,1))</f>
        <v>102.86738524979938</v>
      </c>
      <c r="FK87" s="59">
        <f t="shared" si="102"/>
        <v>56.347130462109817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0</v>
      </c>
      <c r="FR87" s="21">
        <f>EXP(-LN(2)/25)*FR86+(1-EXP(-LN(2)/25))/(LN(2)/25)*Calculateur!FM87*Calculateur!FO87*VLOOKUP('Données projet'!$B$16,Paramètres!$A$1:$I$89,3,0)*0.475*44/12</f>
        <v>0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0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6.5</v>
      </c>
      <c r="FZ87" s="12">
        <f>IF('Données projet'!$A$244&gt;35,FZ86+FY87-GH86,IF(A87&lt;'Données projet'!$A$244,$FW$205^A87,IF(A87='Données projet'!$A$244,'Données projet'!$B$244,FZ86+FY87-GH86)))</f>
        <v>271.00000000000023</v>
      </c>
      <c r="GA87" s="17">
        <f>FZ87*VLOOKUP('Données projet'!$B$17,Paramètres!$A$1:$I$89,3,0)*VLOOKUP('Données projet'!$B$17,Paramètres!$A$1:$I$89,5,0)</f>
        <v>181.78680000000017</v>
      </c>
      <c r="GB87" s="13">
        <f t="shared" si="103"/>
        <v>45.719487424846172</v>
      </c>
      <c r="GC87" s="20">
        <f t="shared" si="79"/>
        <v>396.24011726494069</v>
      </c>
      <c r="GD87" s="59">
        <f t="shared" si="80"/>
        <v>689.57345059827401</v>
      </c>
      <c r="GE87" s="59">
        <f ca="1">AVERAGE(OFFSET($GD$3,0,0,'Données projet'!$E$17+1,1))-AVERAGE(OFFSET($H$3,0,0,'Données projet'!$E$17+1,1))</f>
        <v>168.00454652899231</v>
      </c>
      <c r="GF87" s="59">
        <f t="shared" si="104"/>
        <v>135.31958994080446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0</v>
      </c>
      <c r="GM87" s="21">
        <f>EXP(-LN(2)/25)*GM86+(1-EXP(-LN(2)/25))/(LN(2)/25)*Calculateur!GH87*Calculateur!GJ87*VLOOKUP('Données projet'!$B$17,Paramètres!$A$1:$I$89,3,0)*0.475*44/12</f>
        <v>0</v>
      </c>
      <c r="GN87" s="21">
        <f>EXP(-LN(2)/2)*GN86+(1-EXP(-LN(2)/2))/(LN(2)/2)*GH87*GK87*VLOOKUP('Données projet'!$B$17,Paramètres!$A$1:$I$89,3,0)*0.475*44/12</f>
        <v>0</v>
      </c>
      <c r="GO87" s="21">
        <f t="shared" si="81"/>
        <v>0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7.4950142450142483</v>
      </c>
      <c r="N88" s="13">
        <f>IF('Données projet'!$A$36&gt;35,N87+M88-V87,IF(A88&lt;'Données projet'!$A$36,$K$205^A88,IF(A88='Données projet'!$A$36,'Données projet'!$B$36,N87+M88-V87)))</f>
        <v>265.87891737891744</v>
      </c>
      <c r="O88" s="13">
        <f>N88*VLOOKUP('Données projet'!$B$9,Paramètres!$A$1:$I$89,3,0)*VLOOKUP('Données projet'!$B$9,Paramètres!$A$1:$I$89,5,0)</f>
        <v>240.5672444444445</v>
      </c>
      <c r="P88" s="13">
        <f t="shared" si="87"/>
        <v>58.5615591142816</v>
      </c>
      <c r="Q88" s="20">
        <f t="shared" si="54"/>
        <v>520.98266619811454</v>
      </c>
      <c r="R88" s="59">
        <f t="shared" si="55"/>
        <v>814.31599953144791</v>
      </c>
      <c r="S88" s="59">
        <f ca="1">AVERAGE(OFFSET($R$3,0,0,'Données projet'!$E$9+1,1))-AVERAGE(OFFSET($H$3,0,0,'Données projet'!$E$9+1,1))</f>
        <v>221.7429870520005</v>
      </c>
      <c r="T88" s="59">
        <f t="shared" si="88"/>
        <v>182.2029938397186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0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5.2606837606837598</v>
      </c>
      <c r="AI88" s="13">
        <f>IF('Données projet'!$A$62&gt;35,AI87+AH88-AQ87,IF(A88&lt;'Données projet'!$A$62,$AF$205^A88,IF(A88='Données projet'!$A$62,'Données projet'!$B$62,AI87+AH88-AQ87)))</f>
        <v>170.18376068376057</v>
      </c>
      <c r="AJ88" s="13">
        <f>AI88*VLOOKUP('Données projet'!$B$10,Paramètres!$A$1:$I$89,3,0)*VLOOKUP('Données projet'!$B$10,Paramètres!$A$1:$I$89,5,0)</f>
        <v>153.98226666666656</v>
      </c>
      <c r="AK88" s="13">
        <f t="shared" si="89"/>
        <v>39.482185325458943</v>
      </c>
      <c r="AL88" s="20">
        <f t="shared" si="58"/>
        <v>336.95058721961857</v>
      </c>
      <c r="AM88" s="59">
        <f t="shared" si="59"/>
        <v>630.28392055295194</v>
      </c>
      <c r="AN88" s="59">
        <f ca="1">AVERAGE(OFFSET($AM$3,0,0,'Données projet'!$E$10+1,1))-AVERAGE(OFFSET($H$3,0,0,'Données projet'!$E$10+1,1))</f>
        <v>153.45079678708987</v>
      </c>
      <c r="AO88" s="59">
        <f t="shared" si="90"/>
        <v>115.4217868409637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0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12.124038461538468</v>
      </c>
      <c r="BD88" s="12">
        <f>IF('Données projet'!$A$88&gt;35,BD87+BC88-BL87,IF(A88&lt;'Données projet'!$A$88,$BA$205^A88,IF(A88='Données projet'!$A$88,'Données projet'!$B$88,BD87+BC88-BL87)))</f>
        <v>432.2673076923079</v>
      </c>
      <c r="BE88" s="13">
        <f>BD88*VLOOKUP('Données projet'!$B$11,Paramètres!$A$1:$I$89,3,0)*VLOOKUP('Données projet'!$B$11,Paramètres!$A$1:$I$89,5,0)</f>
        <v>202.3011000000001</v>
      </c>
      <c r="BF88" s="13">
        <f t="shared" si="91"/>
        <v>50.249542664134772</v>
      </c>
      <c r="BG88" s="20">
        <f t="shared" si="61"/>
        <v>439.85903597336824</v>
      </c>
      <c r="BH88" s="59">
        <f t="shared" si="62"/>
        <v>733.19236930670149</v>
      </c>
      <c r="BI88" s="59">
        <f ca="1">AVERAGE(OFFSET($BH$3,0,0,'Données projet'!$E$11+1,1))-AVERAGE(OFFSET($H$3,0,0,'Données projet'!$E$11+1,1))</f>
        <v>158.58786357608489</v>
      </c>
      <c r="BJ88" s="59">
        <f t="shared" si="92"/>
        <v>163.20074068819849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0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>
        <f>BY88*VLOOKUP('Données projet'!$B$12,Paramètres!$A$1:$I$89,3,0)*VLOOKUP('Données projet'!$B$12,Paramètres!$A$1:$I$89,5,0)</f>
        <v>0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255.41017495879987</v>
      </c>
      <c r="CE88" s="59">
        <f t="shared" si="94"/>
        <v>297.50513563712764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2.8075425190242034</v>
      </c>
      <c r="CL88" s="21">
        <f>EXP(-LN(2)/25)*CL87+(1-EXP(-LN(2)/25))/(LN(2)/25)*Calculateur!CG88*Calculateur!CI88*VLOOKUP('Données projet'!$B$12,Paramètres!$A$1:$I$89,3,0)*0.475*44/12</f>
        <v>6.065532258451646</v>
      </c>
      <c r="CM88" s="21">
        <f>EXP(-LN(2)/2)*CM87+(1-EXP(-LN(2)/2))/(LN(2)/2)*CG88*CJ88*VLOOKUP('Données projet'!$B$12,Paramètres!$A$1:$I$89,3,0)*0.475*44/12</f>
        <v>1.2855416329159939E-7</v>
      </c>
      <c r="CN88" s="22">
        <f t="shared" si="66"/>
        <v>8.8730749060300127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4.7676923076923057</v>
      </c>
      <c r="CT88" s="12">
        <f>IF('Données projet'!$A$140&gt;35,CT87+CS88-DB87,IF(A88&lt;'Données projet'!$A$140,$CQ$205^A88,IF(A88='Données projet'!$A$140,'Données projet'!$B$140,CT87+CS88-DB87)))</f>
        <v>293.36923076923063</v>
      </c>
      <c r="CU88" s="17">
        <f>CT88*VLOOKUP('Données projet'!$B$13,Paramètres!$A$1:$I$89,3,0)*VLOOKUP('Données projet'!$B$13,Paramètres!$A$1:$I$89,5,0)</f>
        <v>167.80719999999991</v>
      </c>
      <c r="CV88" s="13">
        <f t="shared" si="95"/>
        <v>42.598538863194825</v>
      </c>
      <c r="CW88" s="20">
        <f t="shared" si="67"/>
        <v>366.45666185339746</v>
      </c>
      <c r="CX88" s="59">
        <f t="shared" si="68"/>
        <v>659.78999518673072</v>
      </c>
      <c r="CY88" s="59">
        <f ca="1">AVERAGE(OFFSET($CX$3,0,0,'Données projet'!$E$13+1,1))-AVERAGE(OFFSET($H$3,0,0,'Données projet'!$E$13+1,1))</f>
        <v>134.70214882504786</v>
      </c>
      <c r="CZ88" s="59">
        <f t="shared" si="96"/>
        <v>102.18553029667771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0.3576722463234141</v>
      </c>
      <c r="DG88" s="21">
        <f>EXP(-LN(2)/25)*DG87+(1-EXP(-LN(2)/25))/(LN(2)/25)*Calculateur!DB88*Calculateur!DD88*VLOOKUP('Données projet'!$B$13,Paramètres!$A$1:$I$89,3,0)*0.475*44/12</f>
        <v>2.7312757644461478</v>
      </c>
      <c r="DH88" s="21">
        <f>EXP(-LN(2)/2)*DH87+(1-EXP(-LN(2)/2))/(LN(2)/2)*DB88*DE88*VLOOKUP('Données projet'!$B$13,Paramètres!$A$1:$I$89,3,0)*0.475*44/12</f>
        <v>4.0597406137179255E-8</v>
      </c>
      <c r="DI88" s="22">
        <f t="shared" si="69"/>
        <v>3.0889480513669683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-2.8421709430404007E-13</v>
      </c>
      <c r="DP88" s="17">
        <f>DO88*VLOOKUP('Données projet'!$B$14,Paramètres!$A$1:$I$89,3,0)*VLOOKUP('Données projet'!$B$14,Paramètres!$A$1:$I$89,5,0)</f>
        <v>-1.69961822393816E-13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179.32848817523677</v>
      </c>
      <c r="DU88" s="59">
        <f t="shared" si="98"/>
        <v>131.3292389103035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</v>
      </c>
      <c r="EB88" s="21">
        <f>EXP(-LN(2)/25)*EB87+(1-EXP(-LN(2)/25))/(LN(2)/25)*Calculateur!DW88*Calculateur!DY88*VLOOKUP('Données projet'!$B$14,Paramètres!$A$1:$I$89,3,0)*0.475*44/12</f>
        <v>2.868481188027284</v>
      </c>
      <c r="EC88" s="21">
        <f>EXP(-LN(2)/2)*EC87+(1-EXP(-LN(2)/2))/(LN(2)/2)*DW88*DZ88*VLOOKUP('Données projet'!$B$14,Paramètres!$A$1:$I$89,3,0)*0.475*44/12</f>
        <v>2.7726669796923349E-8</v>
      </c>
      <c r="ED88" s="22">
        <f t="shared" si="72"/>
        <v>2.8684812157539539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-2.2737367544323206E-13</v>
      </c>
      <c r="EK88" s="17">
        <f>EJ88*VLOOKUP('Données projet'!$B$15,Paramètres!$A$1:$I$89,3,0)*VLOOKUP('Données projet'!$B$15,Paramètres!$A$1:$I$89,5,0)</f>
        <v>-1.0049916454590858E-13</v>
      </c>
      <c r="EL88" s="13" t="e">
        <f t="shared" si="99"/>
        <v>#NUM!</v>
      </c>
      <c r="EM88" s="20" t="e">
        <f t="shared" si="73"/>
        <v>#NUM!</v>
      </c>
      <c r="EN88" s="59" t="e">
        <f t="shared" si="74"/>
        <v>#NUM!</v>
      </c>
      <c r="EO88" s="59">
        <f ca="1">AVERAGE(OFFSET($EN$3,0,0,'Données projet'!$E$15+1,1))-AVERAGE(OFFSET($H$3,0,0,'Données projet'!$E$15+1,1))</f>
        <v>191.932060106699</v>
      </c>
      <c r="EP88" s="59">
        <f t="shared" si="100"/>
        <v>260.28593152736903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0.82210548488988733</v>
      </c>
      <c r="EW88" s="21">
        <f>EXP(-LN(2)/25)*EW87+(1-EXP(-LN(2)/25))/(LN(2)/25)*Calculateur!ER88*Calculateur!ET88*VLOOKUP('Données projet'!$B$15,Paramètres!$A$1:$I$89,3,0)*0.475*44/12</f>
        <v>2.7465303929711382</v>
      </c>
      <c r="EX88" s="21">
        <f>EXP(-LN(2)/2)*EX87+(1-EXP(-LN(2)/2))/(LN(2)/2)*ER88*EU88*VLOOKUP('Données projet'!$B$15,Paramètres!$A$1:$I$89,3,0)*0.475*44/12</f>
        <v>7.0510416463070288E-9</v>
      </c>
      <c r="EY88" s="22">
        <f t="shared" si="75"/>
        <v>3.5686358849120672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3.1</v>
      </c>
      <c r="FE88" s="12">
        <f>IF('Données projet'!$A$218&gt;35,FE87+FD88-FM87,IF(A88&lt;'Données projet'!$A$218,$FB$205^A88,IF(A88='Données projet'!$A$218,'Données projet'!$B$218,FE87+FD88-FM87)))</f>
        <v>152.5</v>
      </c>
      <c r="FF88" s="17">
        <f>FE88*VLOOKUP('Données projet'!$B$16,Paramètres!$A$1:$I$89,3,0)*VLOOKUP('Données projet'!$B$16,Paramètres!$A$1:$I$89,5,0)</f>
        <v>147.49799999999999</v>
      </c>
      <c r="FG88" s="13">
        <f t="shared" si="101"/>
        <v>38.009441713971249</v>
      </c>
      <c r="FH88" s="20">
        <f t="shared" si="76"/>
        <v>323.09212765183327</v>
      </c>
      <c r="FI88" s="59">
        <f t="shared" si="77"/>
        <v>616.42546098516664</v>
      </c>
      <c r="FJ88" s="59">
        <f ca="1">AVERAGE(OFFSET($FI$3,0,0,'Données projet'!$E$16+1,1))-AVERAGE(OFFSET($H$3,0,0,'Données projet'!$E$16+1,1))</f>
        <v>102.86738524979938</v>
      </c>
      <c r="FK88" s="59">
        <f t="shared" si="102"/>
        <v>56.347130462109817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0</v>
      </c>
      <c r="FR88" s="21">
        <f>EXP(-LN(2)/25)*FR87+(1-EXP(-LN(2)/25))/(LN(2)/25)*Calculateur!FM88*Calculateur!FO88*VLOOKUP('Données projet'!$B$16,Paramètres!$A$1:$I$89,3,0)*0.475*44/12</f>
        <v>0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0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6.5</v>
      </c>
      <c r="FZ88" s="12">
        <f>IF('Données projet'!$A$244&gt;35,FZ87+FY88-GH87,IF(A88&lt;'Données projet'!$A$244,$FW$205^A88,IF(A88='Données projet'!$A$244,'Données projet'!$B$244,FZ87+FY88-GH87)))</f>
        <v>277.50000000000023</v>
      </c>
      <c r="GA88" s="17">
        <f>FZ88*VLOOKUP('Données projet'!$B$17,Paramètres!$A$1:$I$89,3,0)*VLOOKUP('Données projet'!$B$17,Paramètres!$A$1:$I$89,5,0)</f>
        <v>186.14700000000016</v>
      </c>
      <c r="GB88" s="13">
        <f t="shared" si="103"/>
        <v>46.687096212059323</v>
      </c>
      <c r="GC88" s="20">
        <f t="shared" si="79"/>
        <v>405.51938423600359</v>
      </c>
      <c r="GD88" s="59">
        <f t="shared" si="80"/>
        <v>698.85271756933685</v>
      </c>
      <c r="GE88" s="59">
        <f ca="1">AVERAGE(OFFSET($GD$3,0,0,'Données projet'!$E$17+1,1))-AVERAGE(OFFSET($H$3,0,0,'Données projet'!$E$17+1,1))</f>
        <v>168.00454652899231</v>
      </c>
      <c r="GF88" s="59">
        <f t="shared" si="104"/>
        <v>135.31958994080446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0</v>
      </c>
      <c r="GM88" s="21">
        <f>EXP(-LN(2)/25)*GM87+(1-EXP(-LN(2)/25))/(LN(2)/25)*Calculateur!GH88*Calculateur!GJ88*VLOOKUP('Données projet'!$B$17,Paramètres!$A$1:$I$89,3,0)*0.475*44/12</f>
        <v>0</v>
      </c>
      <c r="GN88" s="21">
        <f>EXP(-LN(2)/2)*GN87+(1-EXP(-LN(2)/2))/(LN(2)/2)*GH88*GK88*VLOOKUP('Données projet'!$B$17,Paramètres!$A$1:$I$89,3,0)*0.475*44/12</f>
        <v>0</v>
      </c>
      <c r="GO88" s="21">
        <f t="shared" si="81"/>
        <v>0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7.4950142450142483</v>
      </c>
      <c r="N89" s="13">
        <f>IF('Données projet'!$A$36&gt;35,N88+M89-V88,IF(A89&lt;'Données projet'!$A$36,$K$205^A89,IF(A89='Données projet'!$A$36,'Données projet'!$B$36,N88+M89-V88)))</f>
        <v>273.3739316239317</v>
      </c>
      <c r="O89" s="13">
        <f>N89*VLOOKUP('Données projet'!$B$9,Paramètres!$A$1:$I$89,3,0)*VLOOKUP('Données projet'!$B$9,Paramètres!$A$1:$I$89,5,0)</f>
        <v>247.3487333333334</v>
      </c>
      <c r="P89" s="13">
        <f t="shared" si="87"/>
        <v>60.017860197565874</v>
      </c>
      <c r="Q89" s="20">
        <f t="shared" si="54"/>
        <v>535.33015039964948</v>
      </c>
      <c r="R89" s="59">
        <f t="shared" si="55"/>
        <v>828.66348373298274</v>
      </c>
      <c r="S89" s="59">
        <f ca="1">AVERAGE(OFFSET($R$3,0,0,'Données projet'!$E$9+1,1))-AVERAGE(OFFSET($H$3,0,0,'Données projet'!$E$9+1,1))</f>
        <v>221.7429870520005</v>
      </c>
      <c r="T89" s="59">
        <f t="shared" si="88"/>
        <v>182.2029938397186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0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5.2606837606837598</v>
      </c>
      <c r="AI89" s="13">
        <f>IF('Données projet'!$A$62&gt;35,AI88+AH89-AQ88,IF(A89&lt;'Données projet'!$A$62,$AF$205^A89,IF(A89='Données projet'!$A$62,'Données projet'!$B$62,AI88+AH89-AQ88)))</f>
        <v>175.44444444444431</v>
      </c>
      <c r="AJ89" s="13">
        <f>AI89*VLOOKUP('Données projet'!$B$10,Paramètres!$A$1:$I$89,3,0)*VLOOKUP('Données projet'!$B$10,Paramètres!$A$1:$I$89,5,0)</f>
        <v>158.74213333333321</v>
      </c>
      <c r="AK89" s="13">
        <f t="shared" si="89"/>
        <v>40.558669873865824</v>
      </c>
      <c r="AL89" s="20">
        <f t="shared" si="58"/>
        <v>347.11556558587159</v>
      </c>
      <c r="AM89" s="59">
        <f t="shared" si="59"/>
        <v>640.44889891920491</v>
      </c>
      <c r="AN89" s="59">
        <f ca="1">AVERAGE(OFFSET($AM$3,0,0,'Données projet'!$E$10+1,1))-AVERAGE(OFFSET($H$3,0,0,'Données projet'!$E$10+1,1))</f>
        <v>153.45079678708987</v>
      </c>
      <c r="AO89" s="59">
        <f t="shared" si="90"/>
        <v>115.4217868409637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0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12.124038461538468</v>
      </c>
      <c r="BD89" s="12">
        <f>IF('Données projet'!$A$88&gt;35,BD88+BC89-BL88,IF(A89&lt;'Données projet'!$A$88,$BA$205^A89,IF(A89='Données projet'!$A$88,'Données projet'!$B$88,BD88+BC89-BL88)))</f>
        <v>444.39134615384637</v>
      </c>
      <c r="BE89" s="13">
        <f>BD89*VLOOKUP('Données projet'!$B$11,Paramètres!$A$1:$I$89,3,0)*VLOOKUP('Données projet'!$B$11,Paramètres!$A$1:$I$89,5,0)</f>
        <v>207.9751500000001</v>
      </c>
      <c r="BF89" s="13">
        <f t="shared" si="91"/>
        <v>51.492855825196166</v>
      </c>
      <c r="BG89" s="20">
        <f t="shared" si="61"/>
        <v>451.90677681221678</v>
      </c>
      <c r="BH89" s="59">
        <f t="shared" si="62"/>
        <v>745.24011014555003</v>
      </c>
      <c r="BI89" s="59">
        <f ca="1">AVERAGE(OFFSET($BH$3,0,0,'Données projet'!$E$11+1,1))-AVERAGE(OFFSET($H$3,0,0,'Données projet'!$E$11+1,1))</f>
        <v>158.58786357608489</v>
      </c>
      <c r="BJ89" s="59">
        <f t="shared" si="92"/>
        <v>163.20074068819849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0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>
        <f>BY89*VLOOKUP('Données projet'!$B$12,Paramètres!$A$1:$I$89,3,0)*VLOOKUP('Données projet'!$B$12,Paramètres!$A$1:$I$89,5,0)</f>
        <v>0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255.41017495879987</v>
      </c>
      <c r="CE89" s="59">
        <f t="shared" si="94"/>
        <v>297.50513563712764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2.7524883226579866</v>
      </c>
      <c r="CL89" s="21">
        <f>EXP(-LN(2)/25)*CL88+(1-EXP(-LN(2)/25))/(LN(2)/25)*Calculateur!CG89*Calculateur!CI89*VLOOKUP('Données projet'!$B$12,Paramètres!$A$1:$I$89,3,0)*0.475*44/12</f>
        <v>5.8996699598718072</v>
      </c>
      <c r="CM89" s="21">
        <f>EXP(-LN(2)/2)*CM88+(1-EXP(-LN(2)/2))/(LN(2)/2)*CG89*CJ89*VLOOKUP('Données projet'!$B$12,Paramètres!$A$1:$I$89,3,0)*0.475*44/12</f>
        <v>9.0901520613252669E-8</v>
      </c>
      <c r="CN89" s="22">
        <f t="shared" si="66"/>
        <v>8.6521583734313143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4.7676923076923057</v>
      </c>
      <c r="CT89" s="12">
        <f>IF('Données projet'!$A$140&gt;35,CT88+CS89-DB88,IF(A89&lt;'Données projet'!$A$140,$CQ$205^A89,IF(A89='Données projet'!$A$140,'Données projet'!$B$140,CT88+CS89-DB88)))</f>
        <v>298.13692307692293</v>
      </c>
      <c r="CU89" s="17">
        <f>CT89*VLOOKUP('Données projet'!$B$13,Paramètres!$A$1:$I$89,3,0)*VLOOKUP('Données projet'!$B$13,Paramètres!$A$1:$I$89,5,0)</f>
        <v>170.53431999999992</v>
      </c>
      <c r="CV89" s="13">
        <f t="shared" si="95"/>
        <v>43.209671625633291</v>
      </c>
      <c r="CW89" s="20">
        <f t="shared" si="67"/>
        <v>372.27078541464448</v>
      </c>
      <c r="CX89" s="59">
        <f t="shared" si="68"/>
        <v>665.60411874797774</v>
      </c>
      <c r="CY89" s="59">
        <f ca="1">AVERAGE(OFFSET($CX$3,0,0,'Données projet'!$E$13+1,1))-AVERAGE(OFFSET($H$3,0,0,'Données projet'!$E$13+1,1))</f>
        <v>134.70214882504786</v>
      </c>
      <c r="CZ89" s="59">
        <f t="shared" si="96"/>
        <v>102.18553029667771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0.35065851173154083</v>
      </c>
      <c r="DG89" s="21">
        <f>EXP(-LN(2)/25)*DG88+(1-EXP(-LN(2)/25))/(LN(2)/25)*Calculateur!DB89*Calculateur!DD89*VLOOKUP('Données projet'!$B$13,Paramètres!$A$1:$I$89,3,0)*0.475*44/12</f>
        <v>2.6565888850358177</v>
      </c>
      <c r="DH89" s="21">
        <f>EXP(-LN(2)/2)*DH88+(1-EXP(-LN(2)/2))/(LN(2)/2)*DB89*DE89*VLOOKUP('Données projet'!$B$13,Paramètres!$A$1:$I$89,3,0)*0.475*44/12</f>
        <v>2.8706701178183814E-8</v>
      </c>
      <c r="DI89" s="22">
        <f t="shared" si="69"/>
        <v>3.0072474254740595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-2.8421709430404007E-13</v>
      </c>
      <c r="DP89" s="17">
        <f>DO89*VLOOKUP('Données projet'!$B$14,Paramètres!$A$1:$I$89,3,0)*VLOOKUP('Données projet'!$B$14,Paramètres!$A$1:$I$89,5,0)</f>
        <v>-1.69961822393816E-13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179.32848817523677</v>
      </c>
      <c r="DU89" s="59">
        <f t="shared" si="98"/>
        <v>131.3292389103035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</v>
      </c>
      <c r="EB89" s="21">
        <f>EXP(-LN(2)/25)*EB88+(1-EXP(-LN(2)/25))/(LN(2)/25)*Calculateur!DW89*Calculateur!DY89*VLOOKUP('Données projet'!$B$14,Paramètres!$A$1:$I$89,3,0)*0.475*44/12</f>
        <v>2.7900424190938082</v>
      </c>
      <c r="EC89" s="21">
        <f>EXP(-LN(2)/2)*EC88+(1-EXP(-LN(2)/2))/(LN(2)/2)*DW89*DZ89*VLOOKUP('Données projet'!$B$14,Paramètres!$A$1:$I$89,3,0)*0.475*44/12</f>
        <v>1.9605716233124735E-8</v>
      </c>
      <c r="ED89" s="22">
        <f t="shared" si="72"/>
        <v>2.7900424386995244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-2.2737367544323206E-13</v>
      </c>
      <c r="EK89" s="17">
        <f>EJ89*VLOOKUP('Données projet'!$B$15,Paramètres!$A$1:$I$89,3,0)*VLOOKUP('Données projet'!$B$15,Paramètres!$A$1:$I$89,5,0)</f>
        <v>-1.0049916454590858E-13</v>
      </c>
      <c r="EL89" s="13" t="e">
        <f t="shared" si="99"/>
        <v>#NUM!</v>
      </c>
      <c r="EM89" s="20" t="e">
        <f t="shared" si="73"/>
        <v>#NUM!</v>
      </c>
      <c r="EN89" s="59" t="e">
        <f t="shared" si="74"/>
        <v>#NUM!</v>
      </c>
      <c r="EO89" s="59">
        <f ca="1">AVERAGE(OFFSET($EN$3,0,0,'Données projet'!$E$15+1,1))-AVERAGE(OFFSET($H$3,0,0,'Données projet'!$E$15+1,1))</f>
        <v>191.932060106699</v>
      </c>
      <c r="EP89" s="59">
        <f t="shared" si="100"/>
        <v>260.28593152736903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0.80598449776602987</v>
      </c>
      <c r="EW89" s="21">
        <f>EXP(-LN(2)/25)*EW88+(1-EXP(-LN(2)/25))/(LN(2)/25)*Calculateur!ER89*Calculateur!ET89*VLOOKUP('Données projet'!$B$15,Paramètres!$A$1:$I$89,3,0)*0.475*44/12</f>
        <v>2.6714263749415865</v>
      </c>
      <c r="EX89" s="21">
        <f>EXP(-LN(2)/2)*EX88+(1-EXP(-LN(2)/2))/(LN(2)/2)*ER89*EU89*VLOOKUP('Données projet'!$B$15,Paramètres!$A$1:$I$89,3,0)*0.475*44/12</f>
        <v>4.985839362532458E-9</v>
      </c>
      <c r="EY89" s="22">
        <f t="shared" si="75"/>
        <v>3.4774108776934556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3.1</v>
      </c>
      <c r="FE89" s="12">
        <f>IF('Données projet'!$A$218&gt;35,FE88+FD89-FM88,IF(A89&lt;'Données projet'!$A$218,$FB$205^A89,IF(A89='Données projet'!$A$218,'Données projet'!$B$218,FE88+FD89-FM88)))</f>
        <v>155.6</v>
      </c>
      <c r="FF89" s="17">
        <f>FE89*VLOOKUP('Données projet'!$B$16,Paramètres!$A$1:$I$89,3,0)*VLOOKUP('Données projet'!$B$16,Paramètres!$A$1:$I$89,5,0)</f>
        <v>150.49632</v>
      </c>
      <c r="FG89" s="13">
        <f t="shared" si="101"/>
        <v>38.691354428217871</v>
      </c>
      <c r="FH89" s="20">
        <f t="shared" si="76"/>
        <v>329.50186629581282</v>
      </c>
      <c r="FI89" s="59">
        <f t="shared" si="77"/>
        <v>622.83519962914613</v>
      </c>
      <c r="FJ89" s="59">
        <f ca="1">AVERAGE(OFFSET($FI$3,0,0,'Données projet'!$E$16+1,1))-AVERAGE(OFFSET($H$3,0,0,'Données projet'!$E$16+1,1))</f>
        <v>102.86738524979938</v>
      </c>
      <c r="FK89" s="59">
        <f t="shared" si="102"/>
        <v>56.347130462109817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0</v>
      </c>
      <c r="FR89" s="21">
        <f>EXP(-LN(2)/25)*FR88+(1-EXP(-LN(2)/25))/(LN(2)/25)*Calculateur!FM89*Calculateur!FO89*VLOOKUP('Données projet'!$B$16,Paramètres!$A$1:$I$89,3,0)*0.475*44/12</f>
        <v>0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0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6.5</v>
      </c>
      <c r="FZ89" s="12">
        <f>IF('Données projet'!$A$244&gt;35,FZ88+FY89-GH88,IF(A89&lt;'Données projet'!$A$244,$FW$205^A89,IF(A89='Données projet'!$A$244,'Données projet'!$B$244,FZ88+FY89-GH88)))</f>
        <v>284.00000000000023</v>
      </c>
      <c r="GA89" s="17">
        <f>FZ89*VLOOKUP('Données projet'!$B$17,Paramètres!$A$1:$I$89,3,0)*VLOOKUP('Données projet'!$B$17,Paramètres!$A$1:$I$89,5,0)</f>
        <v>190.50720000000015</v>
      </c>
      <c r="GB89" s="13">
        <f t="shared" si="103"/>
        <v>47.652070165548558</v>
      </c>
      <c r="GC89" s="20">
        <f t="shared" si="79"/>
        <v>414.79406220499732</v>
      </c>
      <c r="GD89" s="59">
        <f t="shared" si="80"/>
        <v>708.12739553833057</v>
      </c>
      <c r="GE89" s="59">
        <f ca="1">AVERAGE(OFFSET($GD$3,0,0,'Données projet'!$E$17+1,1))-AVERAGE(OFFSET($H$3,0,0,'Données projet'!$E$17+1,1))</f>
        <v>168.00454652899231</v>
      </c>
      <c r="GF89" s="59">
        <f t="shared" si="104"/>
        <v>135.31958994080446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0</v>
      </c>
      <c r="GM89" s="21">
        <f>EXP(-LN(2)/25)*GM88+(1-EXP(-LN(2)/25))/(LN(2)/25)*Calculateur!GH89*Calculateur!GJ89*VLOOKUP('Données projet'!$B$17,Paramètres!$A$1:$I$89,3,0)*0.475*44/12</f>
        <v>0</v>
      </c>
      <c r="GN89" s="21">
        <f>EXP(-LN(2)/2)*GN88+(1-EXP(-LN(2)/2))/(LN(2)/2)*GH89*GK89*VLOOKUP('Données projet'!$B$17,Paramètres!$A$1:$I$89,3,0)*0.475*44/12</f>
        <v>0</v>
      </c>
      <c r="GO89" s="21">
        <f t="shared" si="81"/>
        <v>0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7.4950142450142483</v>
      </c>
      <c r="N90" s="13">
        <f>IF('Données projet'!$A$36&gt;35,N89+M90-V89,IF(A90&lt;'Données projet'!$A$36,$K$205^A90,IF(A90='Données projet'!$A$36,'Données projet'!$B$36,N89+M90-V89)))</f>
        <v>280.86894586894596</v>
      </c>
      <c r="O90" s="13">
        <f>N90*VLOOKUP('Données projet'!$B$9,Paramètres!$A$1:$I$89,3,0)*VLOOKUP('Données projet'!$B$9,Paramètres!$A$1:$I$89,5,0)</f>
        <v>254.13022222222227</v>
      </c>
      <c r="P90" s="13">
        <f t="shared" si="87"/>
        <v>61.469520573147541</v>
      </c>
      <c r="Q90" s="20">
        <f t="shared" si="54"/>
        <v>549.66955203526913</v>
      </c>
      <c r="R90" s="59">
        <f t="shared" si="55"/>
        <v>843.00288536860239</v>
      </c>
      <c r="S90" s="59">
        <f ca="1">AVERAGE(OFFSET($R$3,0,0,'Données projet'!$E$9+1,1))-AVERAGE(OFFSET($H$3,0,0,'Données projet'!$E$9+1,1))</f>
        <v>221.7429870520005</v>
      </c>
      <c r="T90" s="59">
        <f t="shared" si="88"/>
        <v>182.2029938397186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0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5.2606837606837598</v>
      </c>
      <c r="AI90" s="13">
        <f>IF('Données projet'!$A$62&gt;35,AI89+AH90-AQ89,IF(A90&lt;'Données projet'!$A$62,$AF$205^A90,IF(A90='Données projet'!$A$62,'Données projet'!$B$62,AI89+AH90-AQ89)))</f>
        <v>180.70512820512806</v>
      </c>
      <c r="AJ90" s="13">
        <f>AI90*VLOOKUP('Données projet'!$B$10,Paramètres!$A$1:$I$89,3,0)*VLOOKUP('Données projet'!$B$10,Paramètres!$A$1:$I$89,5,0)</f>
        <v>163.50199999999987</v>
      </c>
      <c r="AK90" s="13">
        <f t="shared" si="89"/>
        <v>41.631403185766587</v>
      </c>
      <c r="AL90" s="20">
        <f t="shared" si="58"/>
        <v>357.27401054854323</v>
      </c>
      <c r="AM90" s="59">
        <f t="shared" si="59"/>
        <v>650.60734388187655</v>
      </c>
      <c r="AN90" s="59">
        <f ca="1">AVERAGE(OFFSET($AM$3,0,0,'Données projet'!$E$10+1,1))-AVERAGE(OFFSET($H$3,0,0,'Données projet'!$E$10+1,1))</f>
        <v>153.45079678708987</v>
      </c>
      <c r="AO90" s="59">
        <f t="shared" si="90"/>
        <v>115.4217868409637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0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>
        <f>VLOOKUP(A90,'Données projet'!$A$87:$I$107,2,0)</f>
        <v>456.51538461538462</v>
      </c>
      <c r="BB90" s="12">
        <f>VLOOKUP(A90,'Données projet'!$A$87:$I$107,9,0)</f>
        <v>12.124038461538468</v>
      </c>
      <c r="BC90" s="12">
        <f t="array" ref="BC90">INDEX(BB:BB,MIN(IF(ISNUMBER(BB90:BB286),ROW(BB90:BB286),"")))</f>
        <v>12.124038461538468</v>
      </c>
      <c r="BD90" s="12">
        <f>IF('Données projet'!$A$88&gt;35,BD89+BC90-BL89,IF(A90&lt;'Données projet'!$A$88,$BA$205^A90,IF(A90='Données projet'!$A$88,'Données projet'!$B$88,BD89+BC90-BL89)))</f>
        <v>456.51538461538485</v>
      </c>
      <c r="BE90" s="13">
        <f>BD90*VLOOKUP('Données projet'!$B$11,Paramètres!$A$1:$I$89,3,0)*VLOOKUP('Données projet'!$B$11,Paramètres!$A$1:$I$89,5,0)</f>
        <v>213.64920000000012</v>
      </c>
      <c r="BF90" s="13">
        <f t="shared" si="91"/>
        <v>52.732226385923781</v>
      </c>
      <c r="BG90" s="20">
        <f t="shared" si="61"/>
        <v>463.94765095548405</v>
      </c>
      <c r="BH90" s="59">
        <f t="shared" si="62"/>
        <v>757.28098428881731</v>
      </c>
      <c r="BI90" s="59">
        <f ca="1">AVERAGE(OFFSET($BH$3,0,0,'Données projet'!$E$11+1,1))-AVERAGE(OFFSET($H$3,0,0,'Données projet'!$E$11+1,1))</f>
        <v>158.58786357608489</v>
      </c>
      <c r="BJ90" s="59">
        <f t="shared" si="92"/>
        <v>163.20074068819849</v>
      </c>
      <c r="BK90" s="15">
        <f>IF(ISNA(VLOOKUP(A90,'Données projet'!$A$87:$I$107,3,0)),0,VLOOKUP(A90,'Données projet'!$A$87:$I$107,3,0))</f>
        <v>7</v>
      </c>
      <c r="BL90" s="15">
        <f>IF(ISNA(VLOOKUP(A90,'Données projet'!$A$87:$I$107,4,0)),0,VLOOKUP(A90,'Données projet'!$A$87:$I$107,4,0))</f>
        <v>77.330769230769235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0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>
        <f>BY90*VLOOKUP('Données projet'!$B$12,Paramètres!$A$1:$I$89,3,0)*VLOOKUP('Données projet'!$B$12,Paramètres!$A$1:$I$89,5,0)</f>
        <v>0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255.41017495879987</v>
      </c>
      <c r="CE90" s="59">
        <f t="shared" si="94"/>
        <v>297.50513563712764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2.6985137055027675</v>
      </c>
      <c r="CL90" s="21">
        <f>EXP(-LN(2)/25)*CL89+(1-EXP(-LN(2)/25))/(LN(2)/25)*Calculateur!CG90*Calculateur!CI90*VLOOKUP('Données projet'!$B$12,Paramètres!$A$1:$I$89,3,0)*0.475*44/12</f>
        <v>5.7383431745689535</v>
      </c>
      <c r="CM90" s="21">
        <f>EXP(-LN(2)/2)*CM89+(1-EXP(-LN(2)/2))/(LN(2)/2)*CG90*CJ90*VLOOKUP('Données projet'!$B$12,Paramètres!$A$1:$I$89,3,0)*0.475*44/12</f>
        <v>6.4277081645799693E-8</v>
      </c>
      <c r="CN90" s="22">
        <f t="shared" si="66"/>
        <v>8.4368569443488024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4.7676923076923057</v>
      </c>
      <c r="CT90" s="12">
        <f>IF('Données projet'!$A$140&gt;35,CT89+CS90-DB89,IF(A90&lt;'Données projet'!$A$140,$CQ$205^A90,IF(A90='Données projet'!$A$140,'Données projet'!$B$140,CT89+CS90-DB89)))</f>
        <v>302.90461538461523</v>
      </c>
      <c r="CU90" s="17">
        <f>CT90*VLOOKUP('Données projet'!$B$13,Paramètres!$A$1:$I$89,3,0)*VLOOKUP('Données projet'!$B$13,Paramètres!$A$1:$I$89,5,0)</f>
        <v>173.26143999999991</v>
      </c>
      <c r="CV90" s="13">
        <f t="shared" si="95"/>
        <v>43.819667817434095</v>
      </c>
      <c r="CW90" s="20">
        <f t="shared" si="67"/>
        <v>378.08292944869754</v>
      </c>
      <c r="CX90" s="59">
        <f t="shared" si="68"/>
        <v>671.4162627820308</v>
      </c>
      <c r="CY90" s="59">
        <f ca="1">AVERAGE(OFFSET($CX$3,0,0,'Données projet'!$E$13+1,1))-AVERAGE(OFFSET($H$3,0,0,'Données projet'!$E$13+1,1))</f>
        <v>134.70214882504786</v>
      </c>
      <c r="CZ90" s="59">
        <f t="shared" si="96"/>
        <v>102.18553029667771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0.34378231219705851</v>
      </c>
      <c r="DG90" s="21">
        <f>EXP(-LN(2)/25)*DG89+(1-EXP(-LN(2)/25))/(LN(2)/25)*Calculateur!DB90*Calculateur!DD90*VLOOKUP('Données projet'!$B$13,Paramètres!$A$1:$I$89,3,0)*0.475*44/12</f>
        <v>2.5839443222705754</v>
      </c>
      <c r="DH90" s="21">
        <f>EXP(-LN(2)/2)*DH89+(1-EXP(-LN(2)/2))/(LN(2)/2)*DB90*DE90*VLOOKUP('Données projet'!$B$13,Paramètres!$A$1:$I$89,3,0)*0.475*44/12</f>
        <v>2.0298703068589628E-8</v>
      </c>
      <c r="DI90" s="22">
        <f t="shared" si="69"/>
        <v>2.927726654766337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-2.8421709430404007E-13</v>
      </c>
      <c r="DP90" s="17">
        <f>DO90*VLOOKUP('Données projet'!$B$14,Paramètres!$A$1:$I$89,3,0)*VLOOKUP('Données projet'!$B$14,Paramètres!$A$1:$I$89,5,0)</f>
        <v>-1.69961822393816E-13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179.32848817523677</v>
      </c>
      <c r="DU90" s="59">
        <f t="shared" si="98"/>
        <v>131.3292389103035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</v>
      </c>
      <c r="EB90" s="21">
        <f>EXP(-LN(2)/25)*EB89+(1-EXP(-LN(2)/25))/(LN(2)/25)*Calculateur!DW90*Calculateur!DY90*VLOOKUP('Données projet'!$B$14,Paramètres!$A$1:$I$89,3,0)*0.475*44/12</f>
        <v>2.7137485624217339</v>
      </c>
      <c r="EC90" s="21">
        <f>EXP(-LN(2)/2)*EC89+(1-EXP(-LN(2)/2))/(LN(2)/2)*DW90*DZ90*VLOOKUP('Données projet'!$B$14,Paramètres!$A$1:$I$89,3,0)*0.475*44/12</f>
        <v>1.3863334898461675E-8</v>
      </c>
      <c r="ED90" s="22">
        <f t="shared" si="72"/>
        <v>2.7137485762850688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-2.2737367544323206E-13</v>
      </c>
      <c r="EK90" s="17">
        <f>EJ90*VLOOKUP('Données projet'!$B$15,Paramètres!$A$1:$I$89,3,0)*VLOOKUP('Données projet'!$B$15,Paramètres!$A$1:$I$89,5,0)</f>
        <v>-1.0049916454590858E-13</v>
      </c>
      <c r="EL90" s="13" t="e">
        <f t="shared" si="99"/>
        <v>#NUM!</v>
      </c>
      <c r="EM90" s="20" t="e">
        <f t="shared" si="73"/>
        <v>#NUM!</v>
      </c>
      <c r="EN90" s="59" t="e">
        <f t="shared" si="74"/>
        <v>#NUM!</v>
      </c>
      <c r="EO90" s="59">
        <f ca="1">AVERAGE(OFFSET($EN$3,0,0,'Données projet'!$E$15+1,1))-AVERAGE(OFFSET($H$3,0,0,'Données projet'!$E$15+1,1))</f>
        <v>191.932060106699</v>
      </c>
      <c r="EP90" s="59">
        <f t="shared" si="100"/>
        <v>260.28593152736903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0.79017963336684005</v>
      </c>
      <c r="EW90" s="21">
        <f>EXP(-LN(2)/25)*EW89+(1-EXP(-LN(2)/25))/(LN(2)/25)*Calculateur!ER90*Calculateur!ET90*VLOOKUP('Données projet'!$B$15,Paramètres!$A$1:$I$89,3,0)*0.475*44/12</f>
        <v>2.5983760802346012</v>
      </c>
      <c r="EX90" s="21">
        <f>EXP(-LN(2)/2)*EX89+(1-EXP(-LN(2)/2))/(LN(2)/2)*ER90*EU90*VLOOKUP('Données projet'!$B$15,Paramètres!$A$1:$I$89,3,0)*0.475*44/12</f>
        <v>3.5255208231535144E-9</v>
      </c>
      <c r="EY90" s="22">
        <f t="shared" si="75"/>
        <v>3.388555717126962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3.1</v>
      </c>
      <c r="FE90" s="12">
        <f>IF('Données projet'!$A$218&gt;35,FE89+FD90-FM89,IF(A90&lt;'Données projet'!$A$218,$FB$205^A90,IF(A90='Données projet'!$A$218,'Données projet'!$B$218,FE89+FD90-FM89)))</f>
        <v>158.69999999999999</v>
      </c>
      <c r="FF90" s="17">
        <f>FE90*VLOOKUP('Données projet'!$B$16,Paramètres!$A$1:$I$89,3,0)*VLOOKUP('Données projet'!$B$16,Paramètres!$A$1:$I$89,5,0)</f>
        <v>153.49464</v>
      </c>
      <c r="FG90" s="13">
        <f t="shared" si="101"/>
        <v>39.371687492841382</v>
      </c>
      <c r="FH90" s="20">
        <f t="shared" si="76"/>
        <v>335.90885371669873</v>
      </c>
      <c r="FI90" s="59">
        <f t="shared" si="77"/>
        <v>629.24218705003204</v>
      </c>
      <c r="FJ90" s="59">
        <f ca="1">AVERAGE(OFFSET($FI$3,0,0,'Données projet'!$E$16+1,1))-AVERAGE(OFFSET($H$3,0,0,'Données projet'!$E$16+1,1))</f>
        <v>102.86738524979938</v>
      </c>
      <c r="FK90" s="59">
        <f t="shared" si="102"/>
        <v>56.347130462109817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0</v>
      </c>
      <c r="FR90" s="21">
        <f>EXP(-LN(2)/25)*FR89+(1-EXP(-LN(2)/25))/(LN(2)/25)*Calculateur!FM90*Calculateur!FO90*VLOOKUP('Données projet'!$B$16,Paramètres!$A$1:$I$89,3,0)*0.475*44/12</f>
        <v>0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0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6.5</v>
      </c>
      <c r="FZ90" s="12">
        <f>IF('Données projet'!$A$244&gt;35,FZ89+FY90-GH89,IF(A90&lt;'Données projet'!$A$244,$FW$205^A90,IF(A90='Données projet'!$A$244,'Données projet'!$B$244,FZ89+FY90-GH89)))</f>
        <v>290.50000000000023</v>
      </c>
      <c r="GA90" s="17">
        <f>FZ90*VLOOKUP('Données projet'!$B$17,Paramètres!$A$1:$I$89,3,0)*VLOOKUP('Données projet'!$B$17,Paramètres!$A$1:$I$89,5,0)</f>
        <v>194.86740000000015</v>
      </c>
      <c r="GB90" s="13">
        <f t="shared" si="103"/>
        <v>48.614476531293228</v>
      </c>
      <c r="GC90" s="20">
        <f t="shared" si="79"/>
        <v>424.06426829200262</v>
      </c>
      <c r="GD90" s="59">
        <f t="shared" si="80"/>
        <v>717.39760162533594</v>
      </c>
      <c r="GE90" s="59">
        <f ca="1">AVERAGE(OFFSET($GD$3,0,0,'Données projet'!$E$17+1,1))-AVERAGE(OFFSET($H$3,0,0,'Données projet'!$E$17+1,1))</f>
        <v>168.00454652899231</v>
      </c>
      <c r="GF90" s="59">
        <f t="shared" si="104"/>
        <v>135.31958994080446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0</v>
      </c>
      <c r="GM90" s="21">
        <f>EXP(-LN(2)/25)*GM89+(1-EXP(-LN(2)/25))/(LN(2)/25)*Calculateur!GH90*Calculateur!GJ90*VLOOKUP('Données projet'!$B$17,Paramètres!$A$1:$I$89,3,0)*0.475*44/12</f>
        <v>0</v>
      </c>
      <c r="GN90" s="21">
        <f>EXP(-LN(2)/2)*GN89+(1-EXP(-LN(2)/2))/(LN(2)/2)*GH90*GK90*VLOOKUP('Données projet'!$B$17,Paramètres!$A$1:$I$89,3,0)*0.475*44/12</f>
        <v>0</v>
      </c>
      <c r="GO90" s="21">
        <f t="shared" si="81"/>
        <v>0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7.4950142450142483</v>
      </c>
      <c r="N91" s="13">
        <f>IF('Données projet'!$A$36&gt;35,N90+M91-V90,IF(A91&lt;'Données projet'!$A$36,$K$205^A91,IF(A91='Données projet'!$A$36,'Données projet'!$B$36,N90+M91-V90)))</f>
        <v>288.36396011396022</v>
      </c>
      <c r="O91" s="13">
        <f>N91*VLOOKUP('Données projet'!$B$9,Paramètres!$A$1:$I$89,3,0)*VLOOKUP('Données projet'!$B$9,Paramètres!$A$1:$I$89,5,0)</f>
        <v>260.91171111111117</v>
      </c>
      <c r="P91" s="13">
        <f t="shared" si="87"/>
        <v>62.916678312142118</v>
      </c>
      <c r="Q91" s="20">
        <f t="shared" si="54"/>
        <v>564.00111157883271</v>
      </c>
      <c r="R91" s="59">
        <f t="shared" si="55"/>
        <v>857.33444491216596</v>
      </c>
      <c r="S91" s="59">
        <f ca="1">AVERAGE(OFFSET($R$3,0,0,'Données projet'!$E$9+1,1))-AVERAGE(OFFSET($H$3,0,0,'Données projet'!$E$9+1,1))</f>
        <v>221.7429870520005</v>
      </c>
      <c r="T91" s="59">
        <f t="shared" si="88"/>
        <v>182.2029938397186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0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5.2606837606837598</v>
      </c>
      <c r="AI91" s="13">
        <f>IF('Données projet'!$A$62&gt;35,AI90+AH91-AQ90,IF(A91&lt;'Données projet'!$A$62,$AF$205^A91,IF(A91='Données projet'!$A$62,'Données projet'!$B$62,AI90+AH91-AQ90)))</f>
        <v>185.96581196581181</v>
      </c>
      <c r="AJ91" s="13">
        <f>AI91*VLOOKUP('Données projet'!$B$10,Paramètres!$A$1:$I$89,3,0)*VLOOKUP('Données projet'!$B$10,Paramètres!$A$1:$I$89,5,0)</f>
        <v>168.26186666666652</v>
      </c>
      <c r="AK91" s="13">
        <f t="shared" si="89"/>
        <v>42.700507007169499</v>
      </c>
      <c r="AL91" s="20">
        <f t="shared" si="58"/>
        <v>367.42613414859778</v>
      </c>
      <c r="AM91" s="59">
        <f t="shared" si="59"/>
        <v>660.7594674819311</v>
      </c>
      <c r="AN91" s="59">
        <f ca="1">AVERAGE(OFFSET($AM$3,0,0,'Données projet'!$E$10+1,1))-AVERAGE(OFFSET($H$3,0,0,'Données projet'!$E$10+1,1))</f>
        <v>153.45079678708987</v>
      </c>
      <c r="AO91" s="59">
        <f t="shared" si="90"/>
        <v>115.4217868409637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0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11.242307692307691</v>
      </c>
      <c r="BD91" s="12">
        <f>IF('Données projet'!$A$88&gt;35,BD90+BC91-BL90,IF(A91&lt;'Données projet'!$A$88,$BA$205^A91,IF(A91='Données projet'!$A$88,'Données projet'!$B$88,BD90+BC91-BL90)))</f>
        <v>390.42692307692329</v>
      </c>
      <c r="BE91" s="13">
        <f>BD91*VLOOKUP('Données projet'!$B$11,Paramètres!$A$1:$I$89,3,0)*VLOOKUP('Données projet'!$B$11,Paramètres!$A$1:$I$89,5,0)</f>
        <v>182.71980000000011</v>
      </c>
      <c r="BF91" s="13">
        <f t="shared" si="91"/>
        <v>45.926762394770535</v>
      </c>
      <c r="BG91" s="20">
        <f t="shared" si="61"/>
        <v>398.22609617089216</v>
      </c>
      <c r="BH91" s="59">
        <f t="shared" si="62"/>
        <v>691.55942950422548</v>
      </c>
      <c r="BI91" s="59">
        <f ca="1">AVERAGE(OFFSET($BH$3,0,0,'Données projet'!$E$11+1,1))-AVERAGE(OFFSET($H$3,0,0,'Données projet'!$E$11+1,1))</f>
        <v>158.58786357608489</v>
      </c>
      <c r="BJ91" s="59">
        <f t="shared" si="92"/>
        <v>163.20074068819849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0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>
        <f>BY91*VLOOKUP('Données projet'!$B$12,Paramètres!$A$1:$I$89,3,0)*VLOOKUP('Données projet'!$B$12,Paramètres!$A$1:$I$89,5,0)</f>
        <v>0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255.41017495879987</v>
      </c>
      <c r="CE91" s="59">
        <f t="shared" si="94"/>
        <v>297.50513563712764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2.6455974976686965</v>
      </c>
      <c r="CL91" s="21">
        <f>EXP(-LN(2)/25)*CL90+(1-EXP(-LN(2)/25))/(LN(2)/25)*Calculateur!CG91*Calculateur!CI91*VLOOKUP('Données projet'!$B$12,Paramètres!$A$1:$I$89,3,0)*0.475*44/12</f>
        <v>5.5814278786940132</v>
      </c>
      <c r="CM91" s="21">
        <f>EXP(-LN(2)/2)*CM90+(1-EXP(-LN(2)/2))/(LN(2)/2)*CG91*CJ91*VLOOKUP('Données projet'!$B$12,Paramètres!$A$1:$I$89,3,0)*0.475*44/12</f>
        <v>4.5450760306626335E-8</v>
      </c>
      <c r="CN91" s="22">
        <f t="shared" si="66"/>
        <v>8.2270254218134689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4.7676923076923057</v>
      </c>
      <c r="CT91" s="12">
        <f>IF('Données projet'!$A$140&gt;35,CT90+CS91-DB90,IF(A91&lt;'Données projet'!$A$140,$CQ$205^A91,IF(A91='Données projet'!$A$140,'Données projet'!$B$140,CT90+CS91-DB90)))</f>
        <v>307.67230769230753</v>
      </c>
      <c r="CU91" s="17">
        <f>CT91*VLOOKUP('Données projet'!$B$13,Paramètres!$A$1:$I$89,3,0)*VLOOKUP('Données projet'!$B$13,Paramètres!$A$1:$I$89,5,0)</f>
        <v>175.98855999999992</v>
      </c>
      <c r="CV91" s="13">
        <f t="shared" si="95"/>
        <v>44.428547393836148</v>
      </c>
      <c r="CW91" s="20">
        <f t="shared" si="67"/>
        <v>383.89312871093108</v>
      </c>
      <c r="CX91" s="59">
        <f t="shared" si="68"/>
        <v>677.22646204426439</v>
      </c>
      <c r="CY91" s="59">
        <f ca="1">AVERAGE(OFFSET($CX$3,0,0,'Données projet'!$E$13+1,1))-AVERAGE(OFFSET($H$3,0,0,'Données projet'!$E$13+1,1))</f>
        <v>134.70214882504786</v>
      </c>
      <c r="CZ91" s="59">
        <f t="shared" si="96"/>
        <v>102.18553029667771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0.3370409507413798</v>
      </c>
      <c r="DG91" s="21">
        <f>EXP(-LN(2)/25)*DG90+(1-EXP(-LN(2)/25))/(LN(2)/25)*Calculateur!DB91*Calculateur!DD91*VLOOKUP('Données projet'!$B$13,Paramètres!$A$1:$I$89,3,0)*0.475*44/12</f>
        <v>2.5132862288943603</v>
      </c>
      <c r="DH91" s="21">
        <f>EXP(-LN(2)/2)*DH90+(1-EXP(-LN(2)/2))/(LN(2)/2)*DB91*DE91*VLOOKUP('Données projet'!$B$13,Paramètres!$A$1:$I$89,3,0)*0.475*44/12</f>
        <v>1.4353350589091907E-8</v>
      </c>
      <c r="DI91" s="22">
        <f t="shared" si="69"/>
        <v>2.8503271939890906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-2.8421709430404007E-13</v>
      </c>
      <c r="DP91" s="17">
        <f>DO91*VLOOKUP('Données projet'!$B$14,Paramètres!$A$1:$I$89,3,0)*VLOOKUP('Données projet'!$B$14,Paramètres!$A$1:$I$89,5,0)</f>
        <v>-1.69961822393816E-13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179.32848817523677</v>
      </c>
      <c r="DU91" s="59">
        <f t="shared" si="98"/>
        <v>131.3292389103035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</v>
      </c>
      <c r="EB91" s="21">
        <f>EXP(-LN(2)/25)*EB90+(1-EXP(-LN(2)/25))/(LN(2)/25)*Calculateur!DW91*Calculateur!DY91*VLOOKUP('Données projet'!$B$14,Paramètres!$A$1:$I$89,3,0)*0.475*44/12</f>
        <v>2.6395409652724768</v>
      </c>
      <c r="EC91" s="21">
        <f>EXP(-LN(2)/2)*EC90+(1-EXP(-LN(2)/2))/(LN(2)/2)*DW91*DZ91*VLOOKUP('Données projet'!$B$14,Paramètres!$A$1:$I$89,3,0)*0.475*44/12</f>
        <v>9.8028581165623673E-9</v>
      </c>
      <c r="ED91" s="22">
        <f t="shared" si="72"/>
        <v>2.6395409750753349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-2.2737367544323206E-13</v>
      </c>
      <c r="EK91" s="17">
        <f>EJ91*VLOOKUP('Données projet'!$B$15,Paramètres!$A$1:$I$89,3,0)*VLOOKUP('Données projet'!$B$15,Paramètres!$A$1:$I$89,5,0)</f>
        <v>-1.0049916454590858E-13</v>
      </c>
      <c r="EL91" s="13" t="e">
        <f t="shared" si="99"/>
        <v>#NUM!</v>
      </c>
      <c r="EM91" s="20" t="e">
        <f t="shared" si="73"/>
        <v>#NUM!</v>
      </c>
      <c r="EN91" s="59" t="e">
        <f t="shared" si="74"/>
        <v>#NUM!</v>
      </c>
      <c r="EO91" s="59">
        <f ca="1">AVERAGE(OFFSET($EN$3,0,0,'Données projet'!$E$15+1,1))-AVERAGE(OFFSET($H$3,0,0,'Données projet'!$E$15+1,1))</f>
        <v>191.932060106699</v>
      </c>
      <c r="EP91" s="59">
        <f t="shared" si="100"/>
        <v>260.28593152736903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0.77468469271850293</v>
      </c>
      <c r="EW91" s="21">
        <f>EXP(-LN(2)/25)*EW90+(1-EXP(-LN(2)/25))/(LN(2)/25)*Calculateur!ER91*Calculateur!ET91*VLOOKUP('Données projet'!$B$15,Paramètres!$A$1:$I$89,3,0)*0.475*44/12</f>
        <v>2.5273233496779266</v>
      </c>
      <c r="EX91" s="21">
        <f>EXP(-LN(2)/2)*EX90+(1-EXP(-LN(2)/2))/(LN(2)/2)*ER91*EU91*VLOOKUP('Données projet'!$B$15,Paramètres!$A$1:$I$89,3,0)*0.475*44/12</f>
        <v>2.492919681266229E-9</v>
      </c>
      <c r="EY91" s="22">
        <f t="shared" si="75"/>
        <v>3.302008044889349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3.1</v>
      </c>
      <c r="FE91" s="12">
        <f>IF('Données projet'!$A$218&gt;35,FE90+FD91-FM90,IF(A91&lt;'Données projet'!$A$218,$FB$205^A91,IF(A91='Données projet'!$A$218,'Données projet'!$B$218,FE90+FD91-FM90)))</f>
        <v>161.79999999999998</v>
      </c>
      <c r="FF91" s="17">
        <f>FE91*VLOOKUP('Données projet'!$B$16,Paramètres!$A$1:$I$89,3,0)*VLOOKUP('Données projet'!$B$16,Paramètres!$A$1:$I$89,5,0)</f>
        <v>156.49295999999998</v>
      </c>
      <c r="FG91" s="13">
        <f t="shared" si="101"/>
        <v>40.050475321231751</v>
      </c>
      <c r="FH91" s="20">
        <f t="shared" si="76"/>
        <v>342.31314985114523</v>
      </c>
      <c r="FI91" s="59">
        <f t="shared" si="77"/>
        <v>635.64648318447848</v>
      </c>
      <c r="FJ91" s="59">
        <f ca="1">AVERAGE(OFFSET($FI$3,0,0,'Données projet'!$E$16+1,1))-AVERAGE(OFFSET($H$3,0,0,'Données projet'!$E$16+1,1))</f>
        <v>102.86738524979938</v>
      </c>
      <c r="FK91" s="59">
        <f t="shared" si="102"/>
        <v>56.347130462109817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0</v>
      </c>
      <c r="FR91" s="21">
        <f>EXP(-LN(2)/25)*FR90+(1-EXP(-LN(2)/25))/(LN(2)/25)*Calculateur!FM91*Calculateur!FO91*VLOOKUP('Données projet'!$B$16,Paramètres!$A$1:$I$89,3,0)*0.475*44/12</f>
        <v>0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0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6.5</v>
      </c>
      <c r="FZ91" s="12">
        <f>IF('Données projet'!$A$244&gt;35,FZ90+FY91-GH90,IF(A91&lt;'Données projet'!$A$244,$FW$205^A91,IF(A91='Données projet'!$A$244,'Données projet'!$B$244,FZ90+FY91-GH90)))</f>
        <v>297.00000000000023</v>
      </c>
      <c r="GA91" s="17">
        <f>FZ91*VLOOKUP('Données projet'!$B$17,Paramètres!$A$1:$I$89,3,0)*VLOOKUP('Données projet'!$B$17,Paramètres!$A$1:$I$89,5,0)</f>
        <v>199.22760000000017</v>
      </c>
      <c r="GB91" s="13">
        <f t="shared" si="103"/>
        <v>49.574379374190841</v>
      </c>
      <c r="GC91" s="20">
        <f t="shared" si="79"/>
        <v>433.33011407671597</v>
      </c>
      <c r="GD91" s="59">
        <f t="shared" si="80"/>
        <v>726.66344741004923</v>
      </c>
      <c r="GE91" s="59">
        <f ca="1">AVERAGE(OFFSET($GD$3,0,0,'Données projet'!$E$17+1,1))-AVERAGE(OFFSET($H$3,0,0,'Données projet'!$E$17+1,1))</f>
        <v>168.00454652899231</v>
      </c>
      <c r="GF91" s="59">
        <f t="shared" si="104"/>
        <v>135.31958994080446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0</v>
      </c>
      <c r="GM91" s="21">
        <f>EXP(-LN(2)/25)*GM90+(1-EXP(-LN(2)/25))/(LN(2)/25)*Calculateur!GH91*Calculateur!GJ91*VLOOKUP('Données projet'!$B$17,Paramètres!$A$1:$I$89,3,0)*0.475*44/12</f>
        <v>0</v>
      </c>
      <c r="GN91" s="21">
        <f>EXP(-LN(2)/2)*GN90+(1-EXP(-LN(2)/2))/(LN(2)/2)*GH91*GK91*VLOOKUP('Données projet'!$B$17,Paramètres!$A$1:$I$89,3,0)*0.475*44/12</f>
        <v>0</v>
      </c>
      <c r="GO91" s="21">
        <f t="shared" si="81"/>
        <v>0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>
        <f>VLOOKUP(A92,'Données projet'!$A$35:$I$55,2,0)</f>
        <v>295.85897435897436</v>
      </c>
      <c r="L92" s="12">
        <f>VLOOKUP(A92,'Données projet'!$A$35:$I$55,9,0)</f>
        <v>7.4950142450142483</v>
      </c>
      <c r="M92" s="12">
        <f t="array" ref="M92">INDEX(L:L,MIN(IF(ISNUMBER(L92:L288),ROW(L92:L288),"")))</f>
        <v>7.4950142450142483</v>
      </c>
      <c r="N92" s="13">
        <f>IF('Données projet'!$A$36&gt;35,N91+M92-V91,IF(A92&lt;'Données projet'!$A$36,$K$205^A92,IF(A92='Données projet'!$A$36,'Données projet'!$B$36,N91+M92-V91)))</f>
        <v>295.85897435897448</v>
      </c>
      <c r="O92" s="13">
        <f>N92*VLOOKUP('Données projet'!$B$9,Paramètres!$A$1:$I$89,3,0)*VLOOKUP('Données projet'!$B$9,Paramètres!$A$1:$I$89,5,0)</f>
        <v>267.6932000000001</v>
      </c>
      <c r="P92" s="13">
        <f t="shared" si="87"/>
        <v>64.359463899490166</v>
      </c>
      <c r="Q92" s="20">
        <f t="shared" si="54"/>
        <v>578.32505629161221</v>
      </c>
      <c r="R92" s="59">
        <f t="shared" si="55"/>
        <v>871.65838962494558</v>
      </c>
      <c r="S92" s="59">
        <f ca="1">AVERAGE(OFFSET($R$3,0,0,'Données projet'!$E$9+1,1))-AVERAGE(OFFSET($H$3,0,0,'Données projet'!$E$9+1,1))</f>
        <v>221.7429870520005</v>
      </c>
      <c r="T92" s="59">
        <f t="shared" si="88"/>
        <v>182.2029938397186</v>
      </c>
      <c r="U92" s="15">
        <f>IF(ISNA(VLOOKUP(A92,'Données projet'!$A$35:$I$55,3,0)),0,VLOOKUP(A92,'Données projet'!$A$35:$I$55,3,0))</f>
        <v>8</v>
      </c>
      <c r="V92" s="15">
        <f>IF(ISNA(VLOOKUP(A92,'Données projet'!$A$35:$I$55,4,0)),0,VLOOKUP(A92,'Données projet'!$A$35:$I$55,4,0))</f>
        <v>49.391025641025635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0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5.2606837606837598</v>
      </c>
      <c r="AI92" s="13">
        <f>IF('Données projet'!$A$62&gt;35,AI91+AH92-AQ91,IF(A92&lt;'Données projet'!$A$62,$AF$205^A92,IF(A92='Données projet'!$A$62,'Données projet'!$B$62,AI91+AH92-AQ91)))</f>
        <v>191.22649572649556</v>
      </c>
      <c r="AJ92" s="13">
        <f>AI92*VLOOKUP('Données projet'!$B$10,Paramètres!$A$1:$I$89,3,0)*VLOOKUP('Données projet'!$B$10,Paramètres!$A$1:$I$89,5,0)</f>
        <v>173.02173333333317</v>
      </c>
      <c r="AK92" s="13">
        <f t="shared" si="89"/>
        <v>43.766095804240145</v>
      </c>
      <c r="AL92" s="20">
        <f t="shared" si="58"/>
        <v>377.57213574794014</v>
      </c>
      <c r="AM92" s="59">
        <f t="shared" si="59"/>
        <v>670.9054690812734</v>
      </c>
      <c r="AN92" s="59">
        <f ca="1">AVERAGE(OFFSET($AM$3,0,0,'Données projet'!$E$10+1,1))-AVERAGE(OFFSET($H$3,0,0,'Données projet'!$E$10+1,1))</f>
        <v>153.45079678708987</v>
      </c>
      <c r="AO92" s="59">
        <f t="shared" si="90"/>
        <v>115.4217868409637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0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11.242307692307691</v>
      </c>
      <c r="BD92" s="12">
        <f>IF('Données projet'!$A$88&gt;35,BD91+BC92-BL91,IF(A92&lt;'Données projet'!$A$88,$BA$205^A92,IF(A92='Données projet'!$A$88,'Données projet'!$B$88,BD91+BC92-BL91)))</f>
        <v>401.66923076923098</v>
      </c>
      <c r="BE92" s="13">
        <f>BD92*VLOOKUP('Données projet'!$B$11,Paramètres!$A$1:$I$89,3,0)*VLOOKUP('Données projet'!$B$11,Paramètres!$A$1:$I$89,5,0)</f>
        <v>187.98120000000011</v>
      </c>
      <c r="BF92" s="13">
        <f t="shared" si="91"/>
        <v>47.093347732155607</v>
      </c>
      <c r="BG92" s="20">
        <f t="shared" si="61"/>
        <v>409.42150396683786</v>
      </c>
      <c r="BH92" s="59">
        <f t="shared" si="62"/>
        <v>702.75483730017118</v>
      </c>
      <c r="BI92" s="59">
        <f ca="1">AVERAGE(OFFSET($BH$3,0,0,'Données projet'!$E$11+1,1))-AVERAGE(OFFSET($H$3,0,0,'Données projet'!$E$11+1,1))</f>
        <v>158.58786357608489</v>
      </c>
      <c r="BJ92" s="59">
        <f t="shared" si="92"/>
        <v>163.20074068819849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0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>
        <f>BY92*VLOOKUP('Données projet'!$B$12,Paramètres!$A$1:$I$89,3,0)*VLOOKUP('Données projet'!$B$12,Paramètres!$A$1:$I$89,5,0)</f>
        <v>0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255.41017495879987</v>
      </c>
      <c r="CE92" s="59">
        <f t="shared" si="94"/>
        <v>297.50513563712764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2.5937189443945519</v>
      </c>
      <c r="CL92" s="21">
        <f>EXP(-LN(2)/25)*CL91+(1-EXP(-LN(2)/25))/(LN(2)/25)*Calculateur!CG92*Calculateur!CI92*VLOOKUP('Données projet'!$B$12,Paramètres!$A$1:$I$89,3,0)*0.475*44/12</f>
        <v>5.4288034398365896</v>
      </c>
      <c r="CM92" s="21">
        <f>EXP(-LN(2)/2)*CM91+(1-EXP(-LN(2)/2))/(LN(2)/2)*CG92*CJ92*VLOOKUP('Données projet'!$B$12,Paramètres!$A$1:$I$89,3,0)*0.475*44/12</f>
        <v>3.2138540822899847E-8</v>
      </c>
      <c r="CN92" s="22">
        <f t="shared" si="66"/>
        <v>8.0225224163696822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4.7676923076923057</v>
      </c>
      <c r="CT92" s="12">
        <f>IF('Données projet'!$A$140&gt;35,CT91+CS92-DB91,IF(A92&lt;'Données projet'!$A$140,$CQ$205^A92,IF(A92='Données projet'!$A$140,'Données projet'!$B$140,CT91+CS92-DB91)))</f>
        <v>312.43999999999983</v>
      </c>
      <c r="CU92" s="17">
        <f>CT92*VLOOKUP('Données projet'!$B$13,Paramètres!$A$1:$I$89,3,0)*VLOOKUP('Données projet'!$B$13,Paramètres!$A$1:$I$89,5,0)</f>
        <v>178.71567999999991</v>
      </c>
      <c r="CV92" s="13">
        <f t="shared" si="95"/>
        <v>45.03632965614289</v>
      </c>
      <c r="CW92" s="20">
        <f t="shared" si="67"/>
        <v>389.70141681778205</v>
      </c>
      <c r="CX92" s="59">
        <f t="shared" si="68"/>
        <v>683.0347501511153</v>
      </c>
      <c r="CY92" s="59">
        <f ca="1">AVERAGE(OFFSET($CX$3,0,0,'Données projet'!$E$13+1,1))-AVERAGE(OFFSET($H$3,0,0,'Données projet'!$E$13+1,1))</f>
        <v>134.70214882504786</v>
      </c>
      <c r="CZ92" s="59">
        <f t="shared" si="96"/>
        <v>102.18553029667771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0.33043178327202249</v>
      </c>
      <c r="DG92" s="21">
        <f>EXP(-LN(2)/25)*DG91+(1-EXP(-LN(2)/25))/(LN(2)/25)*Calculateur!DB92*Calculateur!DD92*VLOOKUP('Données projet'!$B$13,Paramètres!$A$1:$I$89,3,0)*0.475*44/12</f>
        <v>2.4445602847972654</v>
      </c>
      <c r="DH92" s="21">
        <f>EXP(-LN(2)/2)*DH91+(1-EXP(-LN(2)/2))/(LN(2)/2)*DB92*DE92*VLOOKUP('Données projet'!$B$13,Paramètres!$A$1:$I$89,3,0)*0.475*44/12</f>
        <v>1.0149351534294814E-8</v>
      </c>
      <c r="DI92" s="22">
        <f t="shared" si="69"/>
        <v>2.7749920782186397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-2.8421709430404007E-13</v>
      </c>
      <c r="DP92" s="17">
        <f>DO92*VLOOKUP('Données projet'!$B$14,Paramètres!$A$1:$I$89,3,0)*VLOOKUP('Données projet'!$B$14,Paramètres!$A$1:$I$89,5,0)</f>
        <v>-1.69961822393816E-13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179.32848817523677</v>
      </c>
      <c r="DU92" s="59">
        <f t="shared" si="98"/>
        <v>131.3292389103035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</v>
      </c>
      <c r="EB92" s="21">
        <f>EXP(-LN(2)/25)*EB91+(1-EXP(-LN(2)/25))/(LN(2)/25)*Calculateur!DW92*Calculateur!DY92*VLOOKUP('Données projet'!$B$14,Paramètres!$A$1:$I$89,3,0)*0.475*44/12</f>
        <v>2.5673625787696746</v>
      </c>
      <c r="EC92" s="21">
        <f>EXP(-LN(2)/2)*EC91+(1-EXP(-LN(2)/2))/(LN(2)/2)*DW92*DZ92*VLOOKUP('Données projet'!$B$14,Paramètres!$A$1:$I$89,3,0)*0.475*44/12</f>
        <v>6.9316674492308373E-9</v>
      </c>
      <c r="ED92" s="22">
        <f t="shared" si="72"/>
        <v>2.5673625857013418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-2.2737367544323206E-13</v>
      </c>
      <c r="EK92" s="17">
        <f>EJ92*VLOOKUP('Données projet'!$B$15,Paramètres!$A$1:$I$89,3,0)*VLOOKUP('Données projet'!$B$15,Paramètres!$A$1:$I$89,5,0)</f>
        <v>-1.0049916454590858E-13</v>
      </c>
      <c r="EL92" s="13" t="e">
        <f t="shared" si="99"/>
        <v>#NUM!</v>
      </c>
      <c r="EM92" s="20" t="e">
        <f t="shared" si="73"/>
        <v>#NUM!</v>
      </c>
      <c r="EN92" s="59" t="e">
        <f t="shared" si="74"/>
        <v>#NUM!</v>
      </c>
      <c r="EO92" s="59">
        <f ca="1">AVERAGE(OFFSET($EN$3,0,0,'Données projet'!$E$15+1,1))-AVERAGE(OFFSET($H$3,0,0,'Données projet'!$E$15+1,1))</f>
        <v>191.932060106699</v>
      </c>
      <c r="EP92" s="59">
        <f t="shared" si="100"/>
        <v>260.28593152736903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0.75949359840529906</v>
      </c>
      <c r="EW92" s="21">
        <f>EXP(-LN(2)/25)*EW91+(1-EXP(-LN(2)/25))/(LN(2)/25)*Calculateur!ER92*Calculateur!ET92*VLOOKUP('Données projet'!$B$15,Paramètres!$A$1:$I$89,3,0)*0.475*44/12</f>
        <v>2.4582135597748249</v>
      </c>
      <c r="EX92" s="21">
        <f>EXP(-LN(2)/2)*EX91+(1-EXP(-LN(2)/2))/(LN(2)/2)*ER92*EU92*VLOOKUP('Données projet'!$B$15,Paramètres!$A$1:$I$89,3,0)*0.475*44/12</f>
        <v>1.7627604115767572E-9</v>
      </c>
      <c r="EY92" s="22">
        <f t="shared" si="75"/>
        <v>3.2177071599428846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3.1</v>
      </c>
      <c r="FE92" s="12">
        <f>IF('Données projet'!$A$218&gt;35,FE91+FD92-FM91,IF(A92&lt;'Données projet'!$A$218,$FB$205^A92,IF(A92='Données projet'!$A$218,'Données projet'!$B$218,FE91+FD92-FM91)))</f>
        <v>164.89999999999998</v>
      </c>
      <c r="FF92" s="17">
        <f>FE92*VLOOKUP('Données projet'!$B$16,Paramètres!$A$1:$I$89,3,0)*VLOOKUP('Données projet'!$B$16,Paramètres!$A$1:$I$89,5,0)</f>
        <v>159.49127999999999</v>
      </c>
      <c r="FG92" s="13">
        <f t="shared" si="101"/>
        <v>40.72775093264719</v>
      </c>
      <c r="FH92" s="20">
        <f t="shared" si="76"/>
        <v>348.7148122076938</v>
      </c>
      <c r="FI92" s="59">
        <f t="shared" si="77"/>
        <v>642.04814554102711</v>
      </c>
      <c r="FJ92" s="59">
        <f ca="1">AVERAGE(OFFSET($FI$3,0,0,'Données projet'!$E$16+1,1))-AVERAGE(OFFSET($H$3,0,0,'Données projet'!$E$16+1,1))</f>
        <v>102.86738524979938</v>
      </c>
      <c r="FK92" s="59">
        <f t="shared" si="102"/>
        <v>56.347130462109817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0</v>
      </c>
      <c r="FR92" s="21">
        <f>EXP(-LN(2)/25)*FR91+(1-EXP(-LN(2)/25))/(LN(2)/25)*Calculateur!FM92*Calculateur!FO92*VLOOKUP('Données projet'!$B$16,Paramètres!$A$1:$I$89,3,0)*0.475*44/12</f>
        <v>0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0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6.5</v>
      </c>
      <c r="FZ92" s="12">
        <f>IF('Données projet'!$A$244&gt;35,FZ91+FY92-GH91,IF(A92&lt;'Données projet'!$A$244,$FW$205^A92,IF(A92='Données projet'!$A$244,'Données projet'!$B$244,FZ91+FY92-GH91)))</f>
        <v>303.50000000000023</v>
      </c>
      <c r="GA92" s="17">
        <f>FZ92*VLOOKUP('Données projet'!$B$17,Paramètres!$A$1:$I$89,3,0)*VLOOKUP('Données projet'!$B$17,Paramètres!$A$1:$I$89,5,0)</f>
        <v>203.58780000000019</v>
      </c>
      <c r="GB92" s="13">
        <f t="shared" si="103"/>
        <v>50.53183979481301</v>
      </c>
      <c r="GC92" s="20">
        <f t="shared" si="79"/>
        <v>442.59170597596631</v>
      </c>
      <c r="GD92" s="59">
        <f t="shared" si="80"/>
        <v>735.92503930929956</v>
      </c>
      <c r="GE92" s="59">
        <f ca="1">AVERAGE(OFFSET($GD$3,0,0,'Données projet'!$E$17+1,1))-AVERAGE(OFFSET($H$3,0,0,'Données projet'!$E$17+1,1))</f>
        <v>168.00454652899231</v>
      </c>
      <c r="GF92" s="59">
        <f t="shared" si="104"/>
        <v>135.31958994080446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0</v>
      </c>
      <c r="GM92" s="21">
        <f>EXP(-LN(2)/25)*GM91+(1-EXP(-LN(2)/25))/(LN(2)/25)*Calculateur!GH92*Calculateur!GJ92*VLOOKUP('Données projet'!$B$17,Paramètres!$A$1:$I$89,3,0)*0.475*44/12</f>
        <v>0</v>
      </c>
      <c r="GN92" s="21">
        <f>EXP(-LN(2)/2)*GN91+(1-EXP(-LN(2)/2))/(LN(2)/2)*GH92*GK92*VLOOKUP('Données projet'!$B$17,Paramètres!$A$1:$I$89,3,0)*0.475*44/12</f>
        <v>0</v>
      </c>
      <c r="GO92" s="21">
        <f t="shared" si="81"/>
        <v>0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7.1782051282051267</v>
      </c>
      <c r="N93" s="13">
        <f>IF('Données projet'!$A$36&gt;35,N92+M93-V92,IF(A93&lt;'Données projet'!$A$36,$K$205^A93,IF(A93='Données projet'!$A$36,'Données projet'!$B$36,N92+M93-V92)))</f>
        <v>253.64615384615399</v>
      </c>
      <c r="O93" s="13">
        <f>N93*VLOOKUP('Données projet'!$B$9,Paramètres!$A$1:$I$89,3,0)*VLOOKUP('Données projet'!$B$9,Paramètres!$A$1:$I$89,5,0)</f>
        <v>229.49904000000012</v>
      </c>
      <c r="P93" s="13">
        <f t="shared" si="87"/>
        <v>56.174348524497042</v>
      </c>
      <c r="Q93" s="20">
        <f t="shared" si="54"/>
        <v>497.54781834683246</v>
      </c>
      <c r="R93" s="59">
        <f t="shared" si="55"/>
        <v>790.88115168016577</v>
      </c>
      <c r="S93" s="59">
        <f ca="1">AVERAGE(OFFSET($R$3,0,0,'Données projet'!$E$9+1,1))-AVERAGE(OFFSET($H$3,0,0,'Données projet'!$E$9+1,1))</f>
        <v>221.7429870520005</v>
      </c>
      <c r="T93" s="59">
        <f t="shared" si="88"/>
        <v>182.2029938397186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0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5.2606837606837598</v>
      </c>
      <c r="AI93" s="13">
        <f>IF('Données projet'!$A$62&gt;35,AI92+AH93-AQ92,IF(A93&lt;'Données projet'!$A$62,$AF$205^A93,IF(A93='Données projet'!$A$62,'Données projet'!$B$62,AI92+AH93-AQ92)))</f>
        <v>196.4871794871793</v>
      </c>
      <c r="AJ93" s="13">
        <f>AI93*VLOOKUP('Données projet'!$B$10,Paramètres!$A$1:$I$89,3,0)*VLOOKUP('Données projet'!$B$10,Paramètres!$A$1:$I$89,5,0)</f>
        <v>177.78159999999983</v>
      </c>
      <c r="AK93" s="13">
        <f t="shared" si="89"/>
        <v>44.828277386743572</v>
      </c>
      <c r="AL93" s="20">
        <f t="shared" si="58"/>
        <v>387.71220311524468</v>
      </c>
      <c r="AM93" s="59">
        <f t="shared" si="59"/>
        <v>681.04553644857799</v>
      </c>
      <c r="AN93" s="59">
        <f ca="1">AVERAGE(OFFSET($AM$3,0,0,'Données projet'!$E$10+1,1))-AVERAGE(OFFSET($H$3,0,0,'Données projet'!$E$10+1,1))</f>
        <v>153.45079678708987</v>
      </c>
      <c r="AO93" s="59">
        <f t="shared" si="90"/>
        <v>115.4217868409637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0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11.242307692307691</v>
      </c>
      <c r="BD93" s="12">
        <f>IF('Données projet'!$A$88&gt;35,BD92+BC93-BL92,IF(A93&lt;'Données projet'!$A$88,$BA$205^A93,IF(A93='Données projet'!$A$88,'Données projet'!$B$88,BD92+BC93-BL92)))</f>
        <v>412.91153846153867</v>
      </c>
      <c r="BE93" s="13">
        <f>BD93*VLOOKUP('Données projet'!$B$11,Paramètres!$A$1:$I$89,3,0)*VLOOKUP('Données projet'!$B$11,Paramètres!$A$1:$I$89,5,0)</f>
        <v>193.2426000000001</v>
      </c>
      <c r="BF93" s="13">
        <f t="shared" si="91"/>
        <v>48.256138093290417</v>
      </c>
      <c r="BG93" s="20">
        <f t="shared" si="61"/>
        <v>420.6103021791476</v>
      </c>
      <c r="BH93" s="59">
        <f t="shared" si="62"/>
        <v>713.94363551248091</v>
      </c>
      <c r="BI93" s="59">
        <f ca="1">AVERAGE(OFFSET($BH$3,0,0,'Données projet'!$E$11+1,1))-AVERAGE(OFFSET($H$3,0,0,'Données projet'!$E$11+1,1))</f>
        <v>158.58786357608489</v>
      </c>
      <c r="BJ93" s="59">
        <f t="shared" si="92"/>
        <v>163.20074068819849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0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>
        <f>BY93*VLOOKUP('Données projet'!$B$12,Paramètres!$A$1:$I$89,3,0)*VLOOKUP('Données projet'!$B$12,Paramètres!$A$1:$I$89,5,0)</f>
        <v>0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255.41017495879987</v>
      </c>
      <c r="CE93" s="59">
        <f t="shared" si="94"/>
        <v>297.50513563712764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2.5428576979073201</v>
      </c>
      <c r="CL93" s="21">
        <f>EXP(-LN(2)/25)*CL92+(1-EXP(-LN(2)/25))/(LN(2)/25)*Calculateur!CG93*Calculateur!CI93*VLOOKUP('Données projet'!$B$12,Paramètres!$A$1:$I$89,3,0)*0.475*44/12</f>
        <v>5.2803525242858926</v>
      </c>
      <c r="CM93" s="21">
        <f>EXP(-LN(2)/2)*CM92+(1-EXP(-LN(2)/2))/(LN(2)/2)*CG93*CJ93*VLOOKUP('Données projet'!$B$12,Paramètres!$A$1:$I$89,3,0)*0.475*44/12</f>
        <v>2.2725380153313167E-8</v>
      </c>
      <c r="CN93" s="22">
        <f t="shared" si="66"/>
        <v>7.8232102449185925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317.2076923076923</v>
      </c>
      <c r="CR93" s="12">
        <f>VLOOKUP(A93,'Données projet'!$A$139:$I$159,9,0)</f>
        <v>4.7676923076923057</v>
      </c>
      <c r="CS93" s="12">
        <f t="array" ref="CS93">INDEX(CR:CR,MIN(IF(ISNUMBER(CR93:CR289),ROW(CR93:CR289),"")))</f>
        <v>4.7676923076923057</v>
      </c>
      <c r="CT93" s="12">
        <f>IF('Données projet'!$A$140&gt;35,CT92+CS93-DB92,IF(A93&lt;'Données projet'!$A$140,$CQ$205^A93,IF(A93='Données projet'!$A$140,'Données projet'!$B$140,CT92+CS93-DB92)))</f>
        <v>317.20769230769213</v>
      </c>
      <c r="CU93" s="17">
        <f>CT93*VLOOKUP('Données projet'!$B$13,Paramètres!$A$1:$I$89,3,0)*VLOOKUP('Données projet'!$B$13,Paramètres!$A$1:$I$89,5,0)</f>
        <v>181.44279999999992</v>
      </c>
      <c r="CV93" s="13">
        <f t="shared" si="95"/>
        <v>45.64303328279761</v>
      </c>
      <c r="CW93" s="20">
        <f t="shared" si="67"/>
        <v>395.5078263008723</v>
      </c>
      <c r="CX93" s="59">
        <f t="shared" si="68"/>
        <v>688.84115963420561</v>
      </c>
      <c r="CY93" s="59">
        <f ca="1">AVERAGE(OFFSET($CX$3,0,0,'Données projet'!$E$13+1,1))-AVERAGE(OFFSET($H$3,0,0,'Données projet'!$E$13+1,1))</f>
        <v>134.70214882504786</v>
      </c>
      <c r="CZ93" s="59">
        <f t="shared" si="96"/>
        <v>102.18553029667771</v>
      </c>
      <c r="DA93" s="15">
        <f>IF(ISNA(VLOOKUP(A93,'Données projet'!$A$139:$I$159,3,0)),0,VLOOKUP(A93,'Données projet'!$A$139:$I$159,3,0))</f>
        <v>9</v>
      </c>
      <c r="DB93" s="15">
        <f>IF(ISNA(VLOOKUP(A93,'Données projet'!$A$139:$I$159,4,0)),0,VLOOKUP(A93,'Données projet'!$A$139:$I$159,4,0))</f>
        <v>35.161538461538463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0.32395221754554515</v>
      </c>
      <c r="DG93" s="21">
        <f>EXP(-LN(2)/25)*DG92+(1-EXP(-LN(2)/25))/(LN(2)/25)*Calculateur!DB93*Calculateur!DD93*VLOOKUP('Données projet'!$B$13,Paramètres!$A$1:$I$89,3,0)*0.475*44/12</f>
        <v>2.3777136552556457</v>
      </c>
      <c r="DH93" s="21">
        <f>EXP(-LN(2)/2)*DH92+(1-EXP(-LN(2)/2))/(LN(2)/2)*DB93*DE93*VLOOKUP('Données projet'!$B$13,Paramètres!$A$1:$I$89,3,0)*0.475*44/12</f>
        <v>7.1766752945459534E-9</v>
      </c>
      <c r="DI93" s="22">
        <f t="shared" si="69"/>
        <v>2.7016658799778659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-2.8421709430404007E-13</v>
      </c>
      <c r="DP93" s="17">
        <f>DO93*VLOOKUP('Données projet'!$B$14,Paramètres!$A$1:$I$89,3,0)*VLOOKUP('Données projet'!$B$14,Paramètres!$A$1:$I$89,5,0)</f>
        <v>-1.69961822393816E-13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179.32848817523677</v>
      </c>
      <c r="DU93" s="59">
        <f t="shared" si="98"/>
        <v>131.3292389103035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</v>
      </c>
      <c r="EB93" s="21">
        <f>EXP(-LN(2)/25)*EB92+(1-EXP(-LN(2)/25))/(LN(2)/25)*Calculateur!DW93*Calculateur!DY93*VLOOKUP('Données projet'!$B$14,Paramètres!$A$1:$I$89,3,0)*0.475*44/12</f>
        <v>2.4971579140414875</v>
      </c>
      <c r="EC93" s="21">
        <f>EXP(-LN(2)/2)*EC92+(1-EXP(-LN(2)/2))/(LN(2)/2)*DW93*DZ93*VLOOKUP('Données projet'!$B$14,Paramètres!$A$1:$I$89,3,0)*0.475*44/12</f>
        <v>4.9014290582811837E-9</v>
      </c>
      <c r="ED93" s="22">
        <f t="shared" si="72"/>
        <v>2.4971579189429165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-2.2737367544323206E-13</v>
      </c>
      <c r="EK93" s="17">
        <f>EJ93*VLOOKUP('Données projet'!$B$15,Paramètres!$A$1:$I$89,3,0)*VLOOKUP('Données projet'!$B$15,Paramètres!$A$1:$I$89,5,0)</f>
        <v>-1.0049916454590858E-13</v>
      </c>
      <c r="EL93" s="13" t="e">
        <f t="shared" si="99"/>
        <v>#NUM!</v>
      </c>
      <c r="EM93" s="20" t="e">
        <f t="shared" si="73"/>
        <v>#NUM!</v>
      </c>
      <c r="EN93" s="59" t="e">
        <f t="shared" si="74"/>
        <v>#NUM!</v>
      </c>
      <c r="EO93" s="59">
        <f ca="1">AVERAGE(OFFSET($EN$3,0,0,'Données projet'!$E$15+1,1))-AVERAGE(OFFSET($H$3,0,0,'Données projet'!$E$15+1,1))</f>
        <v>191.932060106699</v>
      </c>
      <c r="EP93" s="59">
        <f t="shared" si="100"/>
        <v>260.28593152736903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0.74460039218592444</v>
      </c>
      <c r="EW93" s="21">
        <f>EXP(-LN(2)/25)*EW92+(1-EXP(-LN(2)/25))/(LN(2)/25)*Calculateur!ER93*Calculateur!ET93*VLOOKUP('Données projet'!$B$15,Paramètres!$A$1:$I$89,3,0)*0.475*44/12</f>
        <v>2.3909935807109495</v>
      </c>
      <c r="EX93" s="21">
        <f>EXP(-LN(2)/2)*EX92+(1-EXP(-LN(2)/2))/(LN(2)/2)*ER93*EU93*VLOOKUP('Données projet'!$B$15,Paramètres!$A$1:$I$89,3,0)*0.475*44/12</f>
        <v>1.2464598406331145E-9</v>
      </c>
      <c r="EY93" s="22">
        <f t="shared" si="75"/>
        <v>3.1355939741433336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>
        <f>VLOOKUP(A93,'Données projet'!$A$217:$I$237,2,0)</f>
        <v>168</v>
      </c>
      <c r="FC93" s="12">
        <f>VLOOKUP(A93,'Données projet'!$A$217:$I$237,9,0)</f>
        <v>3.1</v>
      </c>
      <c r="FD93" s="12">
        <f t="array" ref="FD93">INDEX(FC:FC,MIN(IF(ISNUMBER(FC93:FC289),ROW(FC93:FC289),"")))</f>
        <v>3.1</v>
      </c>
      <c r="FE93" s="12">
        <f>IF('Données projet'!$A$218&gt;35,FE92+FD93-FM92,IF(A93&lt;'Données projet'!$A$218,$FB$205^A93,IF(A93='Données projet'!$A$218,'Données projet'!$B$218,FE92+FD93-FM92)))</f>
        <v>167.99999999999997</v>
      </c>
      <c r="FF93" s="17">
        <f>FE93*VLOOKUP('Données projet'!$B$16,Paramètres!$A$1:$I$89,3,0)*VLOOKUP('Données projet'!$B$16,Paramètres!$A$1:$I$89,5,0)</f>
        <v>162.48959999999997</v>
      </c>
      <c r="FG93" s="13">
        <f t="shared" si="101"/>
        <v>41.403546033820696</v>
      </c>
      <c r="FH93" s="20">
        <f t="shared" si="76"/>
        <v>355.11389600890431</v>
      </c>
      <c r="FI93" s="59">
        <f t="shared" si="77"/>
        <v>648.44722934223762</v>
      </c>
      <c r="FJ93" s="59">
        <f ca="1">AVERAGE(OFFSET($FI$3,0,0,'Données projet'!$E$16+1,1))-AVERAGE(OFFSET($H$3,0,0,'Données projet'!$E$16+1,1))</f>
        <v>102.86738524979938</v>
      </c>
      <c r="FK93" s="59">
        <f t="shared" si="102"/>
        <v>56.347130462109817</v>
      </c>
      <c r="FL93" s="15">
        <f>IF(ISNA(VLOOKUP(A93,'Données projet'!$A$217:$I$237,3,0)),0,VLOOKUP(A93,'Données projet'!$A$217:$I$237,3,0))</f>
        <v>7</v>
      </c>
      <c r="FM93" s="15">
        <f>IF(ISNA(VLOOKUP(A93,'Données projet'!$A$217:$I$237,4,0)),0,VLOOKUP(A93,'Données projet'!$A$217:$I$237,4,0))</f>
        <v>18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0</v>
      </c>
      <c r="FR93" s="21">
        <f>EXP(-LN(2)/25)*FR92+(1-EXP(-LN(2)/25))/(LN(2)/25)*Calculateur!FM93*Calculateur!FO93*VLOOKUP('Données projet'!$B$16,Paramètres!$A$1:$I$89,3,0)*0.475*44/12</f>
        <v>0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0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>
        <f>VLOOKUP(A93,'Données projet'!$A$243:$I$263,2,0)</f>
        <v>310</v>
      </c>
      <c r="FX93" s="12">
        <f>VLOOKUP(A93,'Données projet'!$A$243:$I$263,9,0)</f>
        <v>6.5</v>
      </c>
      <c r="FY93" s="12">
        <f t="array" ref="FY93">INDEX(FX:FX,MIN(IF(ISNUMBER(FX93:FX289),ROW(FX93:FX289),"")))</f>
        <v>6.5</v>
      </c>
      <c r="FZ93" s="12">
        <f>IF('Données projet'!$A$244&gt;35,FZ92+FY93-GH92,IF(A93&lt;'Données projet'!$A$244,$FW$205^A93,IF(A93='Données projet'!$A$244,'Données projet'!$B$244,FZ92+FY93-GH92)))</f>
        <v>310.00000000000023</v>
      </c>
      <c r="GA93" s="17">
        <f>FZ93*VLOOKUP('Données projet'!$B$17,Paramètres!$A$1:$I$89,3,0)*VLOOKUP('Données projet'!$B$17,Paramètres!$A$1:$I$89,5,0)</f>
        <v>207.94800000000015</v>
      </c>
      <c r="GB93" s="13">
        <f t="shared" si="103"/>
        <v>51.486916127068881</v>
      </c>
      <c r="GC93" s="20">
        <f t="shared" si="79"/>
        <v>451.84914558797851</v>
      </c>
      <c r="GD93" s="59">
        <f t="shared" si="80"/>
        <v>745.18247892131183</v>
      </c>
      <c r="GE93" s="59">
        <f ca="1">AVERAGE(OFFSET($GD$3,0,0,'Données projet'!$E$17+1,1))-AVERAGE(OFFSET($H$3,0,0,'Données projet'!$E$17+1,1))</f>
        <v>168.00454652899231</v>
      </c>
      <c r="GF93" s="59">
        <f t="shared" si="104"/>
        <v>135.31958994080446</v>
      </c>
      <c r="GG93" s="15">
        <f>IF(ISNA(VLOOKUP(A93,'Données projet'!$A$243:$I$263,3,0)),0,VLOOKUP(A93,'Données projet'!$A$243:$I$263,3,0))</f>
        <v>8</v>
      </c>
      <c r="GH93" s="15">
        <f>IF(ISNA(VLOOKUP(A93,'Données projet'!$A$243:$I$263,4,0)),0,VLOOKUP(A93,'Données projet'!$A$243:$I$263,4,0))</f>
        <v>47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0</v>
      </c>
      <c r="GM93" s="21">
        <f>EXP(-LN(2)/25)*GM92+(1-EXP(-LN(2)/25))/(LN(2)/25)*Calculateur!GH93*Calculateur!GJ93*VLOOKUP('Données projet'!$B$17,Paramètres!$A$1:$I$89,3,0)*0.475*44/12</f>
        <v>0</v>
      </c>
      <c r="GN93" s="21">
        <f>EXP(-LN(2)/2)*GN92+(1-EXP(-LN(2)/2))/(LN(2)/2)*GH93*GK93*VLOOKUP('Données projet'!$B$17,Paramètres!$A$1:$I$89,3,0)*0.475*44/12</f>
        <v>0</v>
      </c>
      <c r="GO93" s="21">
        <f t="shared" si="81"/>
        <v>0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7.1782051282051267</v>
      </c>
      <c r="N94" s="13">
        <f>IF('Données projet'!$A$36&gt;35,N93+M94-V93,IF(A94&lt;'Données projet'!$A$36,$K$205^A94,IF(A94='Données projet'!$A$36,'Données projet'!$B$36,N93+M94-V93)))</f>
        <v>260.82435897435914</v>
      </c>
      <c r="O94" s="13">
        <f>N94*VLOOKUP('Données projet'!$B$9,Paramètres!$A$1:$I$89,3,0)*VLOOKUP('Données projet'!$B$9,Paramètres!$A$1:$I$89,5,0)</f>
        <v>235.99388000000016</v>
      </c>
      <c r="P94" s="13">
        <f t="shared" si="87"/>
        <v>57.57675164364376</v>
      </c>
      <c r="Q94" s="20">
        <f t="shared" si="54"/>
        <v>511.3021834460132</v>
      </c>
      <c r="R94" s="59">
        <f t="shared" si="55"/>
        <v>804.63551677934652</v>
      </c>
      <c r="S94" s="59">
        <f ca="1">AVERAGE(OFFSET($R$3,0,0,'Données projet'!$E$9+1,1))-AVERAGE(OFFSET($H$3,0,0,'Données projet'!$E$9+1,1))</f>
        <v>221.7429870520005</v>
      </c>
      <c r="T94" s="59">
        <f t="shared" si="88"/>
        <v>182.2029938397186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0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5.2606837606837598</v>
      </c>
      <c r="AI94" s="13">
        <f>IF('Données projet'!$A$62&gt;35,AI93+AH94-AQ93,IF(A94&lt;'Données projet'!$A$62,$AF$205^A94,IF(A94='Données projet'!$A$62,'Données projet'!$B$62,AI93+AH94-AQ93)))</f>
        <v>201.74786324786305</v>
      </c>
      <c r="AJ94" s="13">
        <f>AI94*VLOOKUP('Données projet'!$B$10,Paramètres!$A$1:$I$89,3,0)*VLOOKUP('Données projet'!$B$10,Paramètres!$A$1:$I$89,5,0)</f>
        <v>182.54146666666648</v>
      </c>
      <c r="AK94" s="13">
        <f t="shared" si="89"/>
        <v>45.887153462840786</v>
      </c>
      <c r="AL94" s="20">
        <f t="shared" si="58"/>
        <v>397.84651339222506</v>
      </c>
      <c r="AM94" s="59">
        <f t="shared" si="59"/>
        <v>691.17984672555838</v>
      </c>
      <c r="AN94" s="59">
        <f ca="1">AVERAGE(OFFSET($AM$3,0,0,'Données projet'!$E$10+1,1))-AVERAGE(OFFSET($H$3,0,0,'Données projet'!$E$10+1,1))</f>
        <v>153.45079678708987</v>
      </c>
      <c r="AO94" s="59">
        <f t="shared" si="90"/>
        <v>115.4217868409637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0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11.242307692307691</v>
      </c>
      <c r="BD94" s="12">
        <f>IF('Données projet'!$A$88&gt;35,BD93+BC94-BL93,IF(A94&lt;'Données projet'!$A$88,$BA$205^A94,IF(A94='Données projet'!$A$88,'Données projet'!$B$88,BD93+BC94-BL93)))</f>
        <v>424.15384615384636</v>
      </c>
      <c r="BE94" s="13">
        <f>BD94*VLOOKUP('Données projet'!$B$11,Paramètres!$A$1:$I$89,3,0)*VLOOKUP('Données projet'!$B$11,Paramètres!$A$1:$I$89,5,0)</f>
        <v>198.5040000000001</v>
      </c>
      <c r="BF94" s="13">
        <f t="shared" si="91"/>
        <v>49.415248676990458</v>
      </c>
      <c r="BG94" s="20">
        <f t="shared" si="61"/>
        <v>431.79269144575846</v>
      </c>
      <c r="BH94" s="59">
        <f t="shared" si="62"/>
        <v>725.12602477909172</v>
      </c>
      <c r="BI94" s="59">
        <f ca="1">AVERAGE(OFFSET($BH$3,0,0,'Données projet'!$E$11+1,1))-AVERAGE(OFFSET($H$3,0,0,'Données projet'!$E$11+1,1))</f>
        <v>158.58786357608489</v>
      </c>
      <c r="BJ94" s="59">
        <f t="shared" si="92"/>
        <v>163.20074068819849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0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>
        <f>BY94*VLOOKUP('Données projet'!$B$12,Paramètres!$A$1:$I$89,3,0)*VLOOKUP('Données projet'!$B$12,Paramètres!$A$1:$I$89,5,0)</f>
        <v>0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255.41017495879987</v>
      </c>
      <c r="CE94" s="59">
        <f t="shared" si="94"/>
        <v>297.50513563712764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2.4929938094414057</v>
      </c>
      <c r="CL94" s="21">
        <f>EXP(-LN(2)/25)*CL93+(1-EXP(-LN(2)/25))/(LN(2)/25)*Calculateur!CG94*Calculateur!CI94*VLOOKUP('Données projet'!$B$12,Paramètres!$A$1:$I$89,3,0)*0.475*44/12</f>
        <v>5.1359610068276238</v>
      </c>
      <c r="CM94" s="21">
        <f>EXP(-LN(2)/2)*CM93+(1-EXP(-LN(2)/2))/(LN(2)/2)*CG94*CJ94*VLOOKUP('Données projet'!$B$12,Paramètres!$A$1:$I$89,3,0)*0.475*44/12</f>
        <v>1.6069270411449923E-8</v>
      </c>
      <c r="CN94" s="22">
        <f t="shared" si="66"/>
        <v>7.6289548323382999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4.1123076923076898</v>
      </c>
      <c r="CT94" s="12">
        <f>IF('Données projet'!$A$140&gt;35,CT93+CS94-DB93,IF(A94&lt;'Données projet'!$A$140,$CQ$205^A94,IF(A94='Données projet'!$A$140,'Données projet'!$B$140,CT93+CS94-DB93)))</f>
        <v>286.15846153846138</v>
      </c>
      <c r="CU94" s="17">
        <f>CT94*VLOOKUP('Données projet'!$B$13,Paramètres!$A$1:$I$89,3,0)*VLOOKUP('Données projet'!$B$13,Paramètres!$A$1:$I$89,5,0)</f>
        <v>163.68263999999994</v>
      </c>
      <c r="CV94" s="13">
        <f t="shared" si="95"/>
        <v>41.672041875460934</v>
      </c>
      <c r="CW94" s="20">
        <f t="shared" si="67"/>
        <v>357.65940426642766</v>
      </c>
      <c r="CX94" s="59">
        <f t="shared" si="68"/>
        <v>650.99273759976097</v>
      </c>
      <c r="CY94" s="59">
        <f ca="1">AVERAGE(OFFSET($CX$3,0,0,'Données projet'!$E$13+1,1))-AVERAGE(OFFSET($H$3,0,0,'Données projet'!$E$13+1,1))</f>
        <v>134.70214882504786</v>
      </c>
      <c r="CZ94" s="59">
        <f t="shared" si="96"/>
        <v>102.18553029667771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0.31759971215081917</v>
      </c>
      <c r="DG94" s="21">
        <f>EXP(-LN(2)/25)*DG93+(1-EXP(-LN(2)/25))/(LN(2)/25)*Calculateur!DB94*Calculateur!DD94*VLOOKUP('Données projet'!$B$13,Paramètres!$A$1:$I$89,3,0)*0.475*44/12</f>
        <v>2.3126949503141532</v>
      </c>
      <c r="DH94" s="21">
        <f>EXP(-LN(2)/2)*DH93+(1-EXP(-LN(2)/2))/(LN(2)/2)*DB94*DE94*VLOOKUP('Données projet'!$B$13,Paramètres!$A$1:$I$89,3,0)*0.475*44/12</f>
        <v>5.0746757671474069E-9</v>
      </c>
      <c r="DI94" s="22">
        <f t="shared" si="69"/>
        <v>2.6302946675396481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-2.8421709430404007E-13</v>
      </c>
      <c r="DP94" s="17">
        <f>DO94*VLOOKUP('Données projet'!$B$14,Paramètres!$A$1:$I$89,3,0)*VLOOKUP('Données projet'!$B$14,Paramètres!$A$1:$I$89,5,0)</f>
        <v>-1.69961822393816E-13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179.32848817523677</v>
      </c>
      <c r="DU94" s="59">
        <f t="shared" si="98"/>
        <v>131.3292389103035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</v>
      </c>
      <c r="EB94" s="21">
        <f>EXP(-LN(2)/25)*EB93+(1-EXP(-LN(2)/25))/(LN(2)/25)*Calculateur!DW94*Calculateur!DY94*VLOOKUP('Données projet'!$B$14,Paramètres!$A$1:$I$89,3,0)*0.475*44/12</f>
        <v>2.4288729995621958</v>
      </c>
      <c r="EC94" s="21">
        <f>EXP(-LN(2)/2)*EC93+(1-EXP(-LN(2)/2))/(LN(2)/2)*DW94*DZ94*VLOOKUP('Données projet'!$B$14,Paramètres!$A$1:$I$89,3,0)*0.475*44/12</f>
        <v>3.4658337246154187E-9</v>
      </c>
      <c r="ED94" s="22">
        <f t="shared" si="72"/>
        <v>2.4288730030280297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-2.2737367544323206E-13</v>
      </c>
      <c r="EK94" s="17">
        <f>EJ94*VLOOKUP('Données projet'!$B$15,Paramètres!$A$1:$I$89,3,0)*VLOOKUP('Données projet'!$B$15,Paramètres!$A$1:$I$89,5,0)</f>
        <v>-1.0049916454590858E-13</v>
      </c>
      <c r="EL94" s="13" t="e">
        <f t="shared" si="99"/>
        <v>#NUM!</v>
      </c>
      <c r="EM94" s="20" t="e">
        <f t="shared" si="73"/>
        <v>#NUM!</v>
      </c>
      <c r="EN94" s="59" t="e">
        <f t="shared" si="74"/>
        <v>#NUM!</v>
      </c>
      <c r="EO94" s="59">
        <f ca="1">AVERAGE(OFFSET($EN$3,0,0,'Données projet'!$E$15+1,1))-AVERAGE(OFFSET($H$3,0,0,'Données projet'!$E$15+1,1))</f>
        <v>191.932060106699</v>
      </c>
      <c r="EP94" s="59">
        <f t="shared" si="100"/>
        <v>260.28593152736903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0.72999923265655298</v>
      </c>
      <c r="EW94" s="21">
        <f>EXP(-LN(2)/25)*EW93+(1-EXP(-LN(2)/25))/(LN(2)/25)*Calculateur!ER94*Calculateur!ET94*VLOOKUP('Données projet'!$B$15,Paramètres!$A$1:$I$89,3,0)*0.475*44/12</f>
        <v>2.3256117355095207</v>
      </c>
      <c r="EX94" s="21">
        <f>EXP(-LN(2)/2)*EX93+(1-EXP(-LN(2)/2))/(LN(2)/2)*ER94*EU94*VLOOKUP('Données projet'!$B$15,Paramètres!$A$1:$I$89,3,0)*0.475*44/12</f>
        <v>8.813802057883786E-10</v>
      </c>
      <c r="EY94" s="22">
        <f t="shared" si="75"/>
        <v>3.055610969047454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2.9</v>
      </c>
      <c r="FE94" s="12">
        <f>IF('Données projet'!$A$218&gt;35,FE93+FD94-FM93,IF(A94&lt;'Données projet'!$A$218,$FB$205^A94,IF(A94='Données projet'!$A$218,'Données projet'!$B$218,FE93+FD94-FM93)))</f>
        <v>152.89999999999998</v>
      </c>
      <c r="FF94" s="17">
        <f>FE94*VLOOKUP('Données projet'!$B$16,Paramètres!$A$1:$I$89,3,0)*VLOOKUP('Données projet'!$B$16,Paramètres!$A$1:$I$89,5,0)</f>
        <v>147.88487999999998</v>
      </c>
      <c r="FG94" s="13">
        <f t="shared" si="101"/>
        <v>38.097520456872637</v>
      </c>
      <c r="FH94" s="20">
        <f t="shared" si="76"/>
        <v>323.91934746238644</v>
      </c>
      <c r="FI94" s="59">
        <f t="shared" si="77"/>
        <v>617.2526807957197</v>
      </c>
      <c r="FJ94" s="59">
        <f ca="1">AVERAGE(OFFSET($FI$3,0,0,'Données projet'!$E$16+1,1))-AVERAGE(OFFSET($H$3,0,0,'Données projet'!$E$16+1,1))</f>
        <v>102.86738524979938</v>
      </c>
      <c r="FK94" s="59">
        <f t="shared" si="102"/>
        <v>56.347130462109817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0</v>
      </c>
      <c r="FR94" s="21">
        <f>EXP(-LN(2)/25)*FR93+(1-EXP(-LN(2)/25))/(LN(2)/25)*Calculateur!FM94*Calculateur!FO94*VLOOKUP('Données projet'!$B$16,Paramètres!$A$1:$I$89,3,0)*0.475*44/12</f>
        <v>0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0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5.8</v>
      </c>
      <c r="FZ94" s="12">
        <f>IF('Données projet'!$A$244&gt;35,FZ93+FY94-GH93,IF(A94&lt;'Données projet'!$A$244,$FW$205^A94,IF(A94='Données projet'!$A$244,'Données projet'!$B$244,FZ93+FY94-GH93)))</f>
        <v>268.80000000000024</v>
      </c>
      <c r="GA94" s="17">
        <f>FZ94*VLOOKUP('Données projet'!$B$17,Paramètres!$A$1:$I$89,3,0)*VLOOKUP('Données projet'!$B$17,Paramètres!$A$1:$I$89,5,0)</f>
        <v>180.31104000000016</v>
      </c>
      <c r="GB94" s="13">
        <f t="shared" si="103"/>
        <v>45.391379880979656</v>
      </c>
      <c r="GC94" s="20">
        <f t="shared" si="79"/>
        <v>393.09838129270651</v>
      </c>
      <c r="GD94" s="59">
        <f t="shared" si="80"/>
        <v>686.43171462603982</v>
      </c>
      <c r="GE94" s="59">
        <f ca="1">AVERAGE(OFFSET($GD$3,0,0,'Données projet'!$E$17+1,1))-AVERAGE(OFFSET($H$3,0,0,'Données projet'!$E$17+1,1))</f>
        <v>168.00454652899231</v>
      </c>
      <c r="GF94" s="59">
        <f t="shared" si="104"/>
        <v>135.31958994080446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0</v>
      </c>
      <c r="GM94" s="21">
        <f>EXP(-LN(2)/25)*GM93+(1-EXP(-LN(2)/25))/(LN(2)/25)*Calculateur!GH94*Calculateur!GJ94*VLOOKUP('Données projet'!$B$17,Paramètres!$A$1:$I$89,3,0)*0.475*44/12</f>
        <v>0</v>
      </c>
      <c r="GN94" s="21">
        <f>EXP(-LN(2)/2)*GN93+(1-EXP(-LN(2)/2))/(LN(2)/2)*GH94*GK94*VLOOKUP('Données projet'!$B$17,Paramètres!$A$1:$I$89,3,0)*0.475*44/12</f>
        <v>0</v>
      </c>
      <c r="GO94" s="21">
        <f t="shared" si="81"/>
        <v>0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7.1782051282051267</v>
      </c>
      <c r="N95" s="13">
        <f>IF('Données projet'!$A$36&gt;35,N94+M95-V94,IF(A95&lt;'Données projet'!$A$36,$K$205^A95,IF(A95='Données projet'!$A$36,'Données projet'!$B$36,N94+M95-V94)))</f>
        <v>268.00256410256429</v>
      </c>
      <c r="O95" s="13">
        <f>N95*VLOOKUP('Données projet'!$B$9,Paramètres!$A$1:$I$89,3,0)*VLOOKUP('Données projet'!$B$9,Paramètres!$A$1:$I$89,5,0)</f>
        <v>242.48872000000014</v>
      </c>
      <c r="P95" s="13">
        <f t="shared" si="87"/>
        <v>58.974668795913999</v>
      </c>
      <c r="Q95" s="20">
        <f t="shared" si="54"/>
        <v>525.0487354862172</v>
      </c>
      <c r="R95" s="59">
        <f t="shared" si="55"/>
        <v>818.38206881955057</v>
      </c>
      <c r="S95" s="59">
        <f ca="1">AVERAGE(OFFSET($R$3,0,0,'Données projet'!$E$9+1,1))-AVERAGE(OFFSET($H$3,0,0,'Données projet'!$E$9+1,1))</f>
        <v>221.7429870520005</v>
      </c>
      <c r="T95" s="59">
        <f t="shared" si="88"/>
        <v>182.2029938397186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0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5.2606837606837598</v>
      </c>
      <c r="AI95" s="13">
        <f>IF('Données projet'!$A$62&gt;35,AI94+AH95-AQ94,IF(A95&lt;'Données projet'!$A$62,$AF$205^A95,IF(A95='Données projet'!$A$62,'Données projet'!$B$62,AI94+AH95-AQ94)))</f>
        <v>207.0085470085468</v>
      </c>
      <c r="AJ95" s="13">
        <f>AI95*VLOOKUP('Données projet'!$B$10,Paramètres!$A$1:$I$89,3,0)*VLOOKUP('Données projet'!$B$10,Paramètres!$A$1:$I$89,5,0)</f>
        <v>187.30133333333313</v>
      </c>
      <c r="AK95" s="13">
        <f t="shared" si="89"/>
        <v>46.942820134391475</v>
      </c>
      <c r="AL95" s="20">
        <f t="shared" si="58"/>
        <v>407.97523395628696</v>
      </c>
      <c r="AM95" s="59">
        <f t="shared" si="59"/>
        <v>701.30856728962021</v>
      </c>
      <c r="AN95" s="59">
        <f ca="1">AVERAGE(OFFSET($AM$3,0,0,'Données projet'!$E$10+1,1))-AVERAGE(OFFSET($H$3,0,0,'Données projet'!$E$10+1,1))</f>
        <v>153.45079678708987</v>
      </c>
      <c r="AO95" s="59">
        <f t="shared" si="90"/>
        <v>115.4217868409637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0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11.242307692307691</v>
      </c>
      <c r="BD95" s="12">
        <f>IF('Données projet'!$A$88&gt;35,BD94+BC95-BL94,IF(A95&lt;'Données projet'!$A$88,$BA$205^A95,IF(A95='Données projet'!$A$88,'Données projet'!$B$88,BD94+BC95-BL94)))</f>
        <v>435.39615384615405</v>
      </c>
      <c r="BE95" s="13">
        <f>BD95*VLOOKUP('Données projet'!$B$11,Paramètres!$A$1:$I$89,3,0)*VLOOKUP('Données projet'!$B$11,Paramètres!$A$1:$I$89,5,0)</f>
        <v>203.76540000000008</v>
      </c>
      <c r="BF95" s="13">
        <f t="shared" si="91"/>
        <v>50.570788227585879</v>
      </c>
      <c r="BG95" s="20">
        <f t="shared" si="61"/>
        <v>442.96886116304557</v>
      </c>
      <c r="BH95" s="59">
        <f t="shared" si="62"/>
        <v>736.30219449637889</v>
      </c>
      <c r="BI95" s="59">
        <f ca="1">AVERAGE(OFFSET($BH$3,0,0,'Données projet'!$E$11+1,1))-AVERAGE(OFFSET($H$3,0,0,'Données projet'!$E$11+1,1))</f>
        <v>158.58786357608489</v>
      </c>
      <c r="BJ95" s="59">
        <f t="shared" si="92"/>
        <v>163.20074068819849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0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>
        <f>BY95*VLOOKUP('Données projet'!$B$12,Paramètres!$A$1:$I$89,3,0)*VLOOKUP('Données projet'!$B$12,Paramètres!$A$1:$I$89,5,0)</f>
        <v>0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255.41017495879987</v>
      </c>
      <c r="CE95" s="59">
        <f t="shared" si="94"/>
        <v>297.50513563712764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2.4441077214143392</v>
      </c>
      <c r="CL95" s="21">
        <f>EXP(-LN(2)/25)*CL94+(1-EXP(-LN(2)/25))/(LN(2)/25)*Calculateur!CG95*Calculateur!CI95*VLOOKUP('Données projet'!$B$12,Paramètres!$A$1:$I$89,3,0)*0.475*44/12</f>
        <v>4.9955178830074711</v>
      </c>
      <c r="CM95" s="21">
        <f>EXP(-LN(2)/2)*CM94+(1-EXP(-LN(2)/2))/(LN(2)/2)*CG95*CJ95*VLOOKUP('Données projet'!$B$12,Paramètres!$A$1:$I$89,3,0)*0.475*44/12</f>
        <v>1.1362690076656584E-8</v>
      </c>
      <c r="CN95" s="22">
        <f t="shared" si="66"/>
        <v>7.4396256157845002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4.1123076923076898</v>
      </c>
      <c r="CT95" s="12">
        <f>IF('Données projet'!$A$140&gt;35,CT94+CS95-DB94,IF(A95&lt;'Données projet'!$A$140,$CQ$205^A95,IF(A95='Données projet'!$A$140,'Données projet'!$B$140,CT94+CS95-DB94)))</f>
        <v>290.27076923076908</v>
      </c>
      <c r="CU95" s="17">
        <f>CT95*VLOOKUP('Données projet'!$B$13,Paramètres!$A$1:$I$89,3,0)*VLOOKUP('Données projet'!$B$13,Paramètres!$A$1:$I$89,5,0)</f>
        <v>166.0348799999999</v>
      </c>
      <c r="CV95" s="13">
        <f t="shared" si="95"/>
        <v>42.200752504647333</v>
      </c>
      <c r="CW95" s="20">
        <f t="shared" si="67"/>
        <v>362.67705994559395</v>
      </c>
      <c r="CX95" s="59">
        <f t="shared" si="68"/>
        <v>656.01039327892727</v>
      </c>
      <c r="CY95" s="59">
        <f ca="1">AVERAGE(OFFSET($CX$3,0,0,'Données projet'!$E$13+1,1))-AVERAGE(OFFSET($H$3,0,0,'Données projet'!$E$13+1,1))</f>
        <v>134.70214882504786</v>
      </c>
      <c r="CZ95" s="59">
        <f t="shared" si="96"/>
        <v>102.18553029667771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0.3113717755122381</v>
      </c>
      <c r="DG95" s="21">
        <f>EXP(-LN(2)/25)*DG94+(1-EXP(-LN(2)/25))/(LN(2)/25)*Calculateur!DB95*Calculateur!DD95*VLOOKUP('Données projet'!$B$13,Paramètres!$A$1:$I$89,3,0)*0.475*44/12</f>
        <v>2.2494541852784709</v>
      </c>
      <c r="DH95" s="21">
        <f>EXP(-LN(2)/2)*DH94+(1-EXP(-LN(2)/2))/(LN(2)/2)*DB95*DE95*VLOOKUP('Données projet'!$B$13,Paramètres!$A$1:$I$89,3,0)*0.475*44/12</f>
        <v>3.5883376472729767E-9</v>
      </c>
      <c r="DI95" s="22">
        <f t="shared" si="69"/>
        <v>2.5608259643790467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-2.8421709430404007E-13</v>
      </c>
      <c r="DP95" s="17">
        <f>DO95*VLOOKUP('Données projet'!$B$14,Paramètres!$A$1:$I$89,3,0)*VLOOKUP('Données projet'!$B$14,Paramètres!$A$1:$I$89,5,0)</f>
        <v>-1.69961822393816E-13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179.32848817523677</v>
      </c>
      <c r="DU95" s="59">
        <f t="shared" si="98"/>
        <v>131.3292389103035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</v>
      </c>
      <c r="EB95" s="21">
        <f>EXP(-LN(2)/25)*EB94+(1-EXP(-LN(2)/25))/(LN(2)/25)*Calculateur!DW95*Calculateur!DY95*VLOOKUP('Données projet'!$B$14,Paramètres!$A$1:$I$89,3,0)*0.475*44/12</f>
        <v>2.3624553396602876</v>
      </c>
      <c r="EC95" s="21">
        <f>EXP(-LN(2)/2)*EC94+(1-EXP(-LN(2)/2))/(LN(2)/2)*DW95*DZ95*VLOOKUP('Données projet'!$B$14,Paramètres!$A$1:$I$89,3,0)*0.475*44/12</f>
        <v>2.4507145291405918E-9</v>
      </c>
      <c r="ED95" s="22">
        <f t="shared" si="72"/>
        <v>2.3624553421110024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-2.2737367544323206E-13</v>
      </c>
      <c r="EK95" s="17">
        <f>EJ95*VLOOKUP('Données projet'!$B$15,Paramètres!$A$1:$I$89,3,0)*VLOOKUP('Données projet'!$B$15,Paramètres!$A$1:$I$89,5,0)</f>
        <v>-1.0049916454590858E-13</v>
      </c>
      <c r="EL95" s="13" t="e">
        <f t="shared" si="99"/>
        <v>#NUM!</v>
      </c>
      <c r="EM95" s="20" t="e">
        <f t="shared" si="73"/>
        <v>#NUM!</v>
      </c>
      <c r="EN95" s="59" t="e">
        <f t="shared" si="74"/>
        <v>#NUM!</v>
      </c>
      <c r="EO95" s="59">
        <f ca="1">AVERAGE(OFFSET($EN$3,0,0,'Données projet'!$E$15+1,1))-AVERAGE(OFFSET($H$3,0,0,'Données projet'!$E$15+1,1))</f>
        <v>191.932060106699</v>
      </c>
      <c r="EP95" s="59">
        <f t="shared" si="100"/>
        <v>260.28593152736903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0.71568439295972452</v>
      </c>
      <c r="EW95" s="21">
        <f>EXP(-LN(2)/25)*EW94+(1-EXP(-LN(2)/25))/(LN(2)/25)*Calculateur!ER95*Calculateur!ET95*VLOOKUP('Données projet'!$B$15,Paramètres!$A$1:$I$89,3,0)*0.475*44/12</f>
        <v>2.2620177603034071</v>
      </c>
      <c r="EX95" s="21">
        <f>EXP(-LN(2)/2)*EX94+(1-EXP(-LN(2)/2))/(LN(2)/2)*ER95*EU95*VLOOKUP('Données projet'!$B$15,Paramètres!$A$1:$I$89,3,0)*0.475*44/12</f>
        <v>6.2322992031655725E-10</v>
      </c>
      <c r="EY95" s="22">
        <f t="shared" si="75"/>
        <v>2.9777021538863617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2.9</v>
      </c>
      <c r="FE95" s="12">
        <f>IF('Données projet'!$A$218&gt;35,FE94+FD95-FM94,IF(A95&lt;'Données projet'!$A$218,$FB$205^A95,IF(A95='Données projet'!$A$218,'Données projet'!$B$218,FE94+FD95-FM94)))</f>
        <v>155.79999999999998</v>
      </c>
      <c r="FF95" s="17">
        <f>FE95*VLOOKUP('Données projet'!$B$16,Paramètres!$A$1:$I$89,3,0)*VLOOKUP('Données projet'!$B$16,Paramètres!$A$1:$I$89,5,0)</f>
        <v>150.68975999999998</v>
      </c>
      <c r="FG95" s="13">
        <f t="shared" si="101"/>
        <v>38.735294176946205</v>
      </c>
      <c r="FH95" s="20">
        <f t="shared" si="76"/>
        <v>329.91530269151457</v>
      </c>
      <c r="FI95" s="59">
        <f t="shared" si="77"/>
        <v>623.24863602484788</v>
      </c>
      <c r="FJ95" s="59">
        <f ca="1">AVERAGE(OFFSET($FI$3,0,0,'Données projet'!$E$16+1,1))-AVERAGE(OFFSET($H$3,0,0,'Données projet'!$E$16+1,1))</f>
        <v>102.86738524979938</v>
      </c>
      <c r="FK95" s="59">
        <f t="shared" si="102"/>
        <v>56.347130462109817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0</v>
      </c>
      <c r="FR95" s="21">
        <f>EXP(-LN(2)/25)*FR94+(1-EXP(-LN(2)/25))/(LN(2)/25)*Calculateur!FM95*Calculateur!FO95*VLOOKUP('Données projet'!$B$16,Paramètres!$A$1:$I$89,3,0)*0.475*44/12</f>
        <v>0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0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5.8</v>
      </c>
      <c r="FZ95" s="12">
        <f>IF('Données projet'!$A$244&gt;35,FZ94+FY95-GH94,IF(A95&lt;'Données projet'!$A$244,$FW$205^A95,IF(A95='Données projet'!$A$244,'Données projet'!$B$244,FZ94+FY95-GH94)))</f>
        <v>274.60000000000025</v>
      </c>
      <c r="GA95" s="17">
        <f>FZ95*VLOOKUP('Données projet'!$B$17,Paramètres!$A$1:$I$89,3,0)*VLOOKUP('Données projet'!$B$17,Paramètres!$A$1:$I$89,5,0)</f>
        <v>184.20168000000015</v>
      </c>
      <c r="GB95" s="13">
        <f t="shared" si="103"/>
        <v>46.255723491255743</v>
      </c>
      <c r="GC95" s="20">
        <f t="shared" si="79"/>
        <v>401.37997774727069</v>
      </c>
      <c r="GD95" s="59">
        <f t="shared" si="80"/>
        <v>694.71331108060394</v>
      </c>
      <c r="GE95" s="59">
        <f ca="1">AVERAGE(OFFSET($GD$3,0,0,'Données projet'!$E$17+1,1))-AVERAGE(OFFSET($H$3,0,0,'Données projet'!$E$17+1,1))</f>
        <v>168.00454652899231</v>
      </c>
      <c r="GF95" s="59">
        <f t="shared" si="104"/>
        <v>135.31958994080446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0</v>
      </c>
      <c r="GM95" s="21">
        <f>EXP(-LN(2)/25)*GM94+(1-EXP(-LN(2)/25))/(LN(2)/25)*Calculateur!GH95*Calculateur!GJ95*VLOOKUP('Données projet'!$B$17,Paramètres!$A$1:$I$89,3,0)*0.475*44/12</f>
        <v>0</v>
      </c>
      <c r="GN95" s="21">
        <f>EXP(-LN(2)/2)*GN94+(1-EXP(-LN(2)/2))/(LN(2)/2)*GH95*GK95*VLOOKUP('Données projet'!$B$17,Paramètres!$A$1:$I$89,3,0)*0.475*44/12</f>
        <v>0</v>
      </c>
      <c r="GO95" s="21">
        <f t="shared" si="81"/>
        <v>0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7.1782051282051267</v>
      </c>
      <c r="N96" s="13">
        <f>IF('Données projet'!$A$36&gt;35,N95+M96-V95,IF(A96&lt;'Données projet'!$A$36,$K$205^A96,IF(A96='Données projet'!$A$36,'Données projet'!$B$36,N95+M96-V95)))</f>
        <v>275.18076923076944</v>
      </c>
      <c r="O96" s="13">
        <f>N96*VLOOKUP('Données projet'!$B$9,Paramètres!$A$1:$I$89,3,0)*VLOOKUP('Données projet'!$B$9,Paramètres!$A$1:$I$89,5,0)</f>
        <v>248.98356000000018</v>
      </c>
      <c r="P96" s="13">
        <f t="shared" si="87"/>
        <v>60.368233943158558</v>
      </c>
      <c r="Q96" s="20">
        <f t="shared" si="54"/>
        <v>538.78770778433466</v>
      </c>
      <c r="R96" s="59">
        <f t="shared" si="55"/>
        <v>832.12104111766803</v>
      </c>
      <c r="S96" s="59">
        <f ca="1">AVERAGE(OFFSET($R$3,0,0,'Données projet'!$E$9+1,1))-AVERAGE(OFFSET($H$3,0,0,'Données projet'!$E$9+1,1))</f>
        <v>221.7429870520005</v>
      </c>
      <c r="T96" s="59">
        <f t="shared" si="88"/>
        <v>182.2029938397186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0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>
        <f>VLOOKUP(A96,'Données projet'!$A$61:$I$81,2,0)</f>
        <v>212.26923076923075</v>
      </c>
      <c r="AG96" s="12">
        <f>VLOOKUP(A96,'Données projet'!$A$61:$I$81,9,0)</f>
        <v>5.2606837606837598</v>
      </c>
      <c r="AH96" s="12">
        <f t="array" ref="AH96">INDEX(AG:AG,MIN(IF(ISNUMBER(AG96:AG292),ROW(AG96:AG292),"")))</f>
        <v>5.2606837606837598</v>
      </c>
      <c r="AI96" s="13">
        <f>IF('Données projet'!$A$62&gt;35,AI95+AH96-AQ95,IF(A96&lt;'Données projet'!$A$62,$AF$205^A96,IF(A96='Données projet'!$A$62,'Données projet'!$B$62,AI95+AH96-AQ95)))</f>
        <v>212.26923076923055</v>
      </c>
      <c r="AJ96" s="13">
        <f>AI96*VLOOKUP('Données projet'!$B$10,Paramètres!$A$1:$I$89,3,0)*VLOOKUP('Données projet'!$B$10,Paramètres!$A$1:$I$89,5,0)</f>
        <v>192.06119999999979</v>
      </c>
      <c r="AK96" s="13">
        <f t="shared" si="89"/>
        <v>47.995368340490955</v>
      </c>
      <c r="AL96" s="20">
        <f t="shared" si="58"/>
        <v>418.09852319302132</v>
      </c>
      <c r="AM96" s="59">
        <f t="shared" si="59"/>
        <v>711.43185652635464</v>
      </c>
      <c r="AN96" s="59">
        <f ca="1">AVERAGE(OFFSET($AM$3,0,0,'Données projet'!$E$10+1,1))-AVERAGE(OFFSET($H$3,0,0,'Données projet'!$E$10+1,1))</f>
        <v>153.45079678708987</v>
      </c>
      <c r="AO96" s="59">
        <f t="shared" si="90"/>
        <v>115.4217868409637</v>
      </c>
      <c r="AP96" s="15">
        <f>IF(ISNA(VLOOKUP(A96,'Données projet'!$A$61:$I$81,3,0)),0,VLOOKUP(A96,'Données projet'!$A$61:$I$81,3,0))</f>
        <v>7</v>
      </c>
      <c r="AQ96" s="15">
        <f>IF(ISNA(VLOOKUP(A96,'Données projet'!$A$61:$I$81,4,0)),0,VLOOKUP(A96,'Données projet'!$A$61:$I$81,4,0))</f>
        <v>30.083333333333332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0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11.242307692307691</v>
      </c>
      <c r="BD96" s="12">
        <f>IF('Données projet'!$A$88&gt;35,BD95+BC96-BL95,IF(A96&lt;'Données projet'!$A$88,$BA$205^A96,IF(A96='Données projet'!$A$88,'Données projet'!$B$88,BD95+BC96-BL95)))</f>
        <v>446.63846153846174</v>
      </c>
      <c r="BE96" s="13">
        <f>BD96*VLOOKUP('Données projet'!$B$11,Paramètres!$A$1:$I$89,3,0)*VLOOKUP('Données projet'!$B$11,Paramètres!$A$1:$I$89,5,0)</f>
        <v>209.02680000000009</v>
      </c>
      <c r="BF96" s="13">
        <f t="shared" si="91"/>
        <v>51.722859553755349</v>
      </c>
      <c r="BG96" s="20">
        <f t="shared" si="61"/>
        <v>454.13899038945743</v>
      </c>
      <c r="BH96" s="59">
        <f t="shared" si="62"/>
        <v>747.47232372279075</v>
      </c>
      <c r="BI96" s="59">
        <f ca="1">AVERAGE(OFFSET($BH$3,0,0,'Données projet'!$E$11+1,1))-AVERAGE(OFFSET($H$3,0,0,'Données projet'!$E$11+1,1))</f>
        <v>158.58786357608489</v>
      </c>
      <c r="BJ96" s="59">
        <f t="shared" si="92"/>
        <v>163.20074068819849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0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>
        <f>BY96*VLOOKUP('Données projet'!$B$12,Paramètres!$A$1:$I$89,3,0)*VLOOKUP('Données projet'!$B$12,Paramètres!$A$1:$I$89,5,0)</f>
        <v>0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255.41017495879987</v>
      </c>
      <c r="CE96" s="59">
        <f t="shared" si="94"/>
        <v>297.50513563712764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2.3961802597559139</v>
      </c>
      <c r="CL96" s="21">
        <f>EXP(-LN(2)/25)*CL95+(1-EXP(-LN(2)/25))/(LN(2)/25)*Calculateur!CG96*Calculateur!CI96*VLOOKUP('Données projet'!$B$12,Paramètres!$A$1:$I$89,3,0)*0.475*44/12</f>
        <v>4.8589151837937639</v>
      </c>
      <c r="CM96" s="21">
        <f>EXP(-LN(2)/2)*CM95+(1-EXP(-LN(2)/2))/(LN(2)/2)*CG96*CJ96*VLOOKUP('Données projet'!$B$12,Paramètres!$A$1:$I$89,3,0)*0.475*44/12</f>
        <v>8.0346352057249617E-9</v>
      </c>
      <c r="CN96" s="22">
        <f t="shared" si="66"/>
        <v>7.2550954515843129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4.1123076923076898</v>
      </c>
      <c r="CT96" s="12">
        <f>IF('Données projet'!$A$140&gt;35,CT95+CS96-DB95,IF(A96&lt;'Données projet'!$A$140,$CQ$205^A96,IF(A96='Données projet'!$A$140,'Données projet'!$B$140,CT95+CS96-DB95)))</f>
        <v>294.38307692307677</v>
      </c>
      <c r="CU96" s="17">
        <f>CT96*VLOOKUP('Données projet'!$B$13,Paramètres!$A$1:$I$89,3,0)*VLOOKUP('Données projet'!$B$13,Paramètres!$A$1:$I$89,5,0)</f>
        <v>168.38711999999992</v>
      </c>
      <c r="CV96" s="13">
        <f t="shared" si="95"/>
        <v>42.728591948324492</v>
      </c>
      <c r="CW96" s="20">
        <f t="shared" si="67"/>
        <v>367.69319830999831</v>
      </c>
      <c r="CX96" s="59">
        <f t="shared" si="68"/>
        <v>661.02653164333162</v>
      </c>
      <c r="CY96" s="59">
        <f ca="1">AVERAGE(OFFSET($CX$3,0,0,'Données projet'!$E$13+1,1))-AVERAGE(OFFSET($H$3,0,0,'Données projet'!$E$13+1,1))</f>
        <v>134.70214882504786</v>
      </c>
      <c r="CZ96" s="59">
        <f t="shared" si="96"/>
        <v>102.18553029667771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0.30526596491247332</v>
      </c>
      <c r="DG96" s="21">
        <f>EXP(-LN(2)/25)*DG95+(1-EXP(-LN(2)/25))/(LN(2)/25)*Calculateur!DB96*Calculateur!DD96*VLOOKUP('Données projet'!$B$13,Paramètres!$A$1:$I$89,3,0)*0.475*44/12</f>
        <v>2.1879427422883766</v>
      </c>
      <c r="DH96" s="21">
        <f>EXP(-LN(2)/2)*DH95+(1-EXP(-LN(2)/2))/(LN(2)/2)*DB96*DE96*VLOOKUP('Données projet'!$B$13,Paramètres!$A$1:$I$89,3,0)*0.475*44/12</f>
        <v>2.5373378835737035E-9</v>
      </c>
      <c r="DI96" s="22">
        <f t="shared" si="69"/>
        <v>2.4932087097381879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-2.8421709430404007E-13</v>
      </c>
      <c r="DP96" s="17">
        <f>DO96*VLOOKUP('Données projet'!$B$14,Paramètres!$A$1:$I$89,3,0)*VLOOKUP('Données projet'!$B$14,Paramètres!$A$1:$I$89,5,0)</f>
        <v>-1.69961822393816E-13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179.32848817523677</v>
      </c>
      <c r="DU96" s="59">
        <f t="shared" si="98"/>
        <v>131.3292389103035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</v>
      </c>
      <c r="EB96" s="21">
        <f>EXP(-LN(2)/25)*EB95+(1-EXP(-LN(2)/25))/(LN(2)/25)*Calculateur!DW96*Calculateur!DY96*VLOOKUP('Données projet'!$B$14,Paramètres!$A$1:$I$89,3,0)*0.475*44/12</f>
        <v>2.2978538741611501</v>
      </c>
      <c r="EC96" s="21">
        <f>EXP(-LN(2)/2)*EC95+(1-EXP(-LN(2)/2))/(LN(2)/2)*DW96*DZ96*VLOOKUP('Données projet'!$B$14,Paramètres!$A$1:$I$89,3,0)*0.475*44/12</f>
        <v>1.7329168623077093E-9</v>
      </c>
      <c r="ED96" s="22">
        <f t="shared" si="72"/>
        <v>2.297853875894067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-2.2737367544323206E-13</v>
      </c>
      <c r="EK96" s="17">
        <f>EJ96*VLOOKUP('Données projet'!$B$15,Paramètres!$A$1:$I$89,3,0)*VLOOKUP('Données projet'!$B$15,Paramètres!$A$1:$I$89,5,0)</f>
        <v>-1.0049916454590858E-13</v>
      </c>
      <c r="EL96" s="13" t="e">
        <f t="shared" si="99"/>
        <v>#NUM!</v>
      </c>
      <c r="EM96" s="20" t="e">
        <f t="shared" si="73"/>
        <v>#NUM!</v>
      </c>
      <c r="EN96" s="59" t="e">
        <f t="shared" si="74"/>
        <v>#NUM!</v>
      </c>
      <c r="EO96" s="59">
        <f ca="1">AVERAGE(OFFSET($EN$3,0,0,'Données projet'!$E$15+1,1))-AVERAGE(OFFSET($H$3,0,0,'Données projet'!$E$15+1,1))</f>
        <v>191.932060106699</v>
      </c>
      <c r="EP96" s="59">
        <f t="shared" si="100"/>
        <v>260.28593152736903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0.70165025853816088</v>
      </c>
      <c r="EW96" s="21">
        <f>EXP(-LN(2)/25)*EW95+(1-EXP(-LN(2)/25))/(LN(2)/25)*Calculateur!ER96*Calculateur!ET96*VLOOKUP('Données projet'!$B$15,Paramètres!$A$1:$I$89,3,0)*0.475*44/12</f>
        <v>2.2001627656935665</v>
      </c>
      <c r="EX96" s="21">
        <f>EXP(-LN(2)/2)*EX95+(1-EXP(-LN(2)/2))/(LN(2)/2)*ER96*EU96*VLOOKUP('Données projet'!$B$15,Paramètres!$A$1:$I$89,3,0)*0.475*44/12</f>
        <v>4.406901028941893E-10</v>
      </c>
      <c r="EY96" s="22">
        <f t="shared" si="75"/>
        <v>2.9018130246724176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2.9</v>
      </c>
      <c r="FE96" s="12">
        <f>IF('Données projet'!$A$218&gt;35,FE95+FD96-FM95,IF(A96&lt;'Données projet'!$A$218,$FB$205^A96,IF(A96='Données projet'!$A$218,'Données projet'!$B$218,FE95+FD96-FM95)))</f>
        <v>158.69999999999999</v>
      </c>
      <c r="FF96" s="17">
        <f>FE96*VLOOKUP('Données projet'!$B$16,Paramètres!$A$1:$I$89,3,0)*VLOOKUP('Données projet'!$B$16,Paramètres!$A$1:$I$89,5,0)</f>
        <v>153.49464</v>
      </c>
      <c r="FG96" s="13">
        <f t="shared" si="101"/>
        <v>39.371687492841382</v>
      </c>
      <c r="FH96" s="20">
        <f t="shared" si="76"/>
        <v>335.90885371669873</v>
      </c>
      <c r="FI96" s="59">
        <f t="shared" si="77"/>
        <v>629.24218705003204</v>
      </c>
      <c r="FJ96" s="59">
        <f ca="1">AVERAGE(OFFSET($FI$3,0,0,'Données projet'!$E$16+1,1))-AVERAGE(OFFSET($H$3,0,0,'Données projet'!$E$16+1,1))</f>
        <v>102.86738524979938</v>
      </c>
      <c r="FK96" s="59">
        <f t="shared" si="102"/>
        <v>56.347130462109817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0</v>
      </c>
      <c r="FR96" s="21">
        <f>EXP(-LN(2)/25)*FR95+(1-EXP(-LN(2)/25))/(LN(2)/25)*Calculateur!FM96*Calculateur!FO96*VLOOKUP('Données projet'!$B$16,Paramètres!$A$1:$I$89,3,0)*0.475*44/12</f>
        <v>0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0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5.8</v>
      </c>
      <c r="FZ96" s="12">
        <f>IF('Données projet'!$A$244&gt;35,FZ95+FY96-GH95,IF(A96&lt;'Données projet'!$A$244,$FW$205^A96,IF(A96='Données projet'!$A$244,'Données projet'!$B$244,FZ95+FY96-GH95)))</f>
        <v>280.40000000000026</v>
      </c>
      <c r="GA96" s="17">
        <f>FZ96*VLOOKUP('Données projet'!$B$17,Paramètres!$A$1:$I$89,3,0)*VLOOKUP('Données projet'!$B$17,Paramètres!$A$1:$I$89,5,0)</f>
        <v>188.0923200000002</v>
      </c>
      <c r="GB96" s="13">
        <f t="shared" si="103"/>
        <v>47.117944506023051</v>
      </c>
      <c r="GC96" s="20">
        <f t="shared" si="79"/>
        <v>409.65787734799045</v>
      </c>
      <c r="GD96" s="59">
        <f t="shared" si="80"/>
        <v>702.99121068132376</v>
      </c>
      <c r="GE96" s="59">
        <f ca="1">AVERAGE(OFFSET($GD$3,0,0,'Données projet'!$E$17+1,1))-AVERAGE(OFFSET($H$3,0,0,'Données projet'!$E$17+1,1))</f>
        <v>168.00454652899231</v>
      </c>
      <c r="GF96" s="59">
        <f t="shared" si="104"/>
        <v>135.31958994080446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0</v>
      </c>
      <c r="GM96" s="21">
        <f>EXP(-LN(2)/25)*GM95+(1-EXP(-LN(2)/25))/(LN(2)/25)*Calculateur!GH96*Calculateur!GJ96*VLOOKUP('Données projet'!$B$17,Paramètres!$A$1:$I$89,3,0)*0.475*44/12</f>
        <v>0</v>
      </c>
      <c r="GN96" s="21">
        <f>EXP(-LN(2)/2)*GN95+(1-EXP(-LN(2)/2))/(LN(2)/2)*GH96*GK96*VLOOKUP('Données projet'!$B$17,Paramètres!$A$1:$I$89,3,0)*0.475*44/12</f>
        <v>0</v>
      </c>
      <c r="GO96" s="21">
        <f t="shared" si="81"/>
        <v>0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7.1782051282051267</v>
      </c>
      <c r="N97" s="13">
        <f>IF('Données projet'!$A$36&gt;35,N96+M97-V96,IF(A97&lt;'Données projet'!$A$36,$K$205^A97,IF(A97='Données projet'!$A$36,'Données projet'!$B$36,N96+M97-V96)))</f>
        <v>282.35897435897459</v>
      </c>
      <c r="O97" s="13">
        <f>N97*VLOOKUP('Données projet'!$B$9,Paramètres!$A$1:$I$89,3,0)*VLOOKUP('Données projet'!$B$9,Paramètres!$A$1:$I$89,5,0)</f>
        <v>255.47840000000019</v>
      </c>
      <c r="P97" s="13">
        <f t="shared" si="87"/>
        <v>61.757573660260746</v>
      </c>
      <c r="Q97" s="20">
        <f t="shared" si="54"/>
        <v>552.51932079162111</v>
      </c>
      <c r="R97" s="59">
        <f t="shared" si="55"/>
        <v>845.85265412495437</v>
      </c>
      <c r="S97" s="59">
        <f ca="1">AVERAGE(OFFSET($R$3,0,0,'Données projet'!$E$9+1,1))-AVERAGE(OFFSET($H$3,0,0,'Données projet'!$E$9+1,1))</f>
        <v>221.7429870520005</v>
      </c>
      <c r="T97" s="59">
        <f t="shared" si="88"/>
        <v>182.2029938397186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0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5.2583333333333373</v>
      </c>
      <c r="AI97" s="13">
        <f>IF('Données projet'!$A$62&gt;35,AI96+AH97-AQ96,IF(A97&lt;'Données projet'!$A$62,$AF$205^A97,IF(A97='Données projet'!$A$62,'Données projet'!$B$62,AI96+AH97-AQ96)))</f>
        <v>187.44423076923053</v>
      </c>
      <c r="AJ97" s="13">
        <f>AI97*VLOOKUP('Données projet'!$B$10,Paramètres!$A$1:$I$89,3,0)*VLOOKUP('Données projet'!$B$10,Paramètres!$A$1:$I$89,5,0)</f>
        <v>169.59953999999976</v>
      </c>
      <c r="AK97" s="13">
        <f t="shared" si="89"/>
        <v>43.000321559740421</v>
      </c>
      <c r="AL97" s="20">
        <f t="shared" si="58"/>
        <v>370.27809221654746</v>
      </c>
      <c r="AM97" s="59">
        <f t="shared" si="59"/>
        <v>663.61142554988078</v>
      </c>
      <c r="AN97" s="59">
        <f ca="1">AVERAGE(OFFSET($AM$3,0,0,'Données projet'!$E$10+1,1))-AVERAGE(OFFSET($H$3,0,0,'Données projet'!$E$10+1,1))</f>
        <v>153.45079678708987</v>
      </c>
      <c r="AO97" s="59">
        <f t="shared" si="90"/>
        <v>115.4217868409637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0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11.242307692307691</v>
      </c>
      <c r="BD97" s="12">
        <f>IF('Données projet'!$A$88&gt;35,BD96+BC97-BL96,IF(A97&lt;'Données projet'!$A$88,$BA$205^A97,IF(A97='Données projet'!$A$88,'Données projet'!$B$88,BD96+BC97-BL96)))</f>
        <v>457.88076923076943</v>
      </c>
      <c r="BE97" s="13">
        <f>BD97*VLOOKUP('Données projet'!$B$11,Paramètres!$A$1:$I$89,3,0)*VLOOKUP('Données projet'!$B$11,Paramètres!$A$1:$I$89,5,0)</f>
        <v>214.28820000000007</v>
      </c>
      <c r="BF97" s="13">
        <f t="shared" si="91"/>
        <v>52.871559993650941</v>
      </c>
      <c r="BG97" s="20">
        <f t="shared" si="61"/>
        <v>465.3032486556088</v>
      </c>
      <c r="BH97" s="59">
        <f t="shared" si="62"/>
        <v>758.63658198894211</v>
      </c>
      <c r="BI97" s="59">
        <f ca="1">AVERAGE(OFFSET($BH$3,0,0,'Données projet'!$E$11+1,1))-AVERAGE(OFFSET($H$3,0,0,'Données projet'!$E$11+1,1))</f>
        <v>158.58786357608489</v>
      </c>
      <c r="BJ97" s="59">
        <f t="shared" si="92"/>
        <v>163.20074068819849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0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>
        <f>BY97*VLOOKUP('Données projet'!$B$12,Paramètres!$A$1:$I$89,3,0)*VLOOKUP('Données projet'!$B$12,Paramètres!$A$1:$I$89,5,0)</f>
        <v>0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255.41017495879987</v>
      </c>
      <c r="CE97" s="59">
        <f t="shared" si="94"/>
        <v>297.50513563712764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2.3491926263877452</v>
      </c>
      <c r="CL97" s="21">
        <f>EXP(-LN(2)/25)*CL96+(1-EXP(-LN(2)/25))/(LN(2)/25)*Calculateur!CG97*Calculateur!CI97*VLOOKUP('Données projet'!$B$12,Paramètres!$A$1:$I$89,3,0)*0.475*44/12</f>
        <v>4.7260478925736793</v>
      </c>
      <c r="CM97" s="21">
        <f>EXP(-LN(2)/2)*CM96+(1-EXP(-LN(2)/2))/(LN(2)/2)*CG97*CJ97*VLOOKUP('Données projet'!$B$12,Paramètres!$A$1:$I$89,3,0)*0.475*44/12</f>
        <v>5.6813450383282918E-9</v>
      </c>
      <c r="CN97" s="22">
        <f t="shared" si="66"/>
        <v>7.0752405246427692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4.1123076923076898</v>
      </c>
      <c r="CT97" s="12">
        <f>IF('Données projet'!$A$140&gt;35,CT96+CS97-DB96,IF(A97&lt;'Données projet'!$A$140,$CQ$205^A97,IF(A97='Données projet'!$A$140,'Données projet'!$B$140,CT96+CS97-DB96)))</f>
        <v>298.49538461538447</v>
      </c>
      <c r="CU97" s="17">
        <f>CT97*VLOOKUP('Données projet'!$B$13,Paramètres!$A$1:$I$89,3,0)*VLOOKUP('Données projet'!$B$13,Paramètres!$A$1:$I$89,5,0)</f>
        <v>170.73935999999995</v>
      </c>
      <c r="CV97" s="13">
        <f t="shared" si="95"/>
        <v>43.255573782704637</v>
      </c>
      <c r="CW97" s="20">
        <f t="shared" si="67"/>
        <v>372.70784300487713</v>
      </c>
      <c r="CX97" s="59">
        <f t="shared" si="68"/>
        <v>666.04117633821045</v>
      </c>
      <c r="CY97" s="59">
        <f ca="1">AVERAGE(OFFSET($CX$3,0,0,'Données projet'!$E$13+1,1))-AVERAGE(OFFSET($H$3,0,0,'Données projet'!$E$13+1,1))</f>
        <v>134.70214882504786</v>
      </c>
      <c r="CZ97" s="59">
        <f t="shared" si="96"/>
        <v>102.18553029667771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0.29927988553439322</v>
      </c>
      <c r="DG97" s="21">
        <f>EXP(-LN(2)/25)*DG96+(1-EXP(-LN(2)/25))/(LN(2)/25)*Calculateur!DB97*Calculateur!DD97*VLOOKUP('Données projet'!$B$13,Paramètres!$A$1:$I$89,3,0)*0.475*44/12</f>
        <v>2.1281133329415929</v>
      </c>
      <c r="DH97" s="21">
        <f>EXP(-LN(2)/2)*DH96+(1-EXP(-LN(2)/2))/(LN(2)/2)*DB97*DE97*VLOOKUP('Données projet'!$B$13,Paramètres!$A$1:$I$89,3,0)*0.475*44/12</f>
        <v>1.7941688236364884E-9</v>
      </c>
      <c r="DI97" s="22">
        <f t="shared" si="69"/>
        <v>2.4273932202701549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-2.8421709430404007E-13</v>
      </c>
      <c r="DP97" s="17">
        <f>DO97*VLOOKUP('Données projet'!$B$14,Paramètres!$A$1:$I$89,3,0)*VLOOKUP('Données projet'!$B$14,Paramètres!$A$1:$I$89,5,0)</f>
        <v>-1.69961822393816E-13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179.32848817523677</v>
      </c>
      <c r="DU97" s="59">
        <f t="shared" si="98"/>
        <v>131.3292389103035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</v>
      </c>
      <c r="EB97" s="21">
        <f>EXP(-LN(2)/25)*EB96+(1-EXP(-LN(2)/25))/(LN(2)/25)*Calculateur!DW97*Calculateur!DY97*VLOOKUP('Données projet'!$B$14,Paramètres!$A$1:$I$89,3,0)*0.475*44/12</f>
        <v>2.2350189391333299</v>
      </c>
      <c r="EC97" s="21">
        <f>EXP(-LN(2)/2)*EC96+(1-EXP(-LN(2)/2))/(LN(2)/2)*DW97*DZ97*VLOOKUP('Données projet'!$B$14,Paramètres!$A$1:$I$89,3,0)*0.475*44/12</f>
        <v>1.2253572645702959E-9</v>
      </c>
      <c r="ED97" s="22">
        <f t="shared" si="72"/>
        <v>2.2350189403586871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-2.2737367544323206E-13</v>
      </c>
      <c r="EK97" s="17">
        <f>EJ97*VLOOKUP('Données projet'!$B$15,Paramètres!$A$1:$I$89,3,0)*VLOOKUP('Données projet'!$B$15,Paramètres!$A$1:$I$89,5,0)</f>
        <v>-1.0049916454590858E-13</v>
      </c>
      <c r="EL97" s="13" t="e">
        <f t="shared" si="99"/>
        <v>#NUM!</v>
      </c>
      <c r="EM97" s="20" t="e">
        <f t="shared" si="73"/>
        <v>#NUM!</v>
      </c>
      <c r="EN97" s="59" t="e">
        <f t="shared" si="74"/>
        <v>#NUM!</v>
      </c>
      <c r="EO97" s="59">
        <f ca="1">AVERAGE(OFFSET($EN$3,0,0,'Données projet'!$E$15+1,1))-AVERAGE(OFFSET($H$3,0,0,'Données projet'!$E$15+1,1))</f>
        <v>191.932060106699</v>
      </c>
      <c r="EP97" s="59">
        <f t="shared" si="100"/>
        <v>260.28593152736903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0.68789132493262728</v>
      </c>
      <c r="EW97" s="21">
        <f>EXP(-LN(2)/25)*EW96+(1-EXP(-LN(2)/25))/(LN(2)/25)*Calculateur!ER97*Calculateur!ET97*VLOOKUP('Données projet'!$B$15,Paramètres!$A$1:$I$89,3,0)*0.475*44/12</f>
        <v>2.1399991991641447</v>
      </c>
      <c r="EX97" s="21">
        <f>EXP(-LN(2)/2)*EX96+(1-EXP(-LN(2)/2))/(LN(2)/2)*ER97*EU97*VLOOKUP('Données projet'!$B$15,Paramètres!$A$1:$I$89,3,0)*0.475*44/12</f>
        <v>3.1161496015827862E-10</v>
      </c>
      <c r="EY97" s="22">
        <f t="shared" si="75"/>
        <v>2.8278905244083874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2.9</v>
      </c>
      <c r="FE97" s="12">
        <f>IF('Données projet'!$A$218&gt;35,FE96+FD97-FM96,IF(A97&lt;'Données projet'!$A$218,$FB$205^A97,IF(A97='Données projet'!$A$218,'Données projet'!$B$218,FE96+FD97-FM96)))</f>
        <v>161.6</v>
      </c>
      <c r="FF97" s="17">
        <f>FE97*VLOOKUP('Données projet'!$B$16,Paramètres!$A$1:$I$89,3,0)*VLOOKUP('Données projet'!$B$16,Paramètres!$A$1:$I$89,5,0)</f>
        <v>156.29952</v>
      </c>
      <c r="FG97" s="13">
        <f t="shared" si="101"/>
        <v>40.006728538728396</v>
      </c>
      <c r="FH97" s="20">
        <f t="shared" si="76"/>
        <v>341.90004953828526</v>
      </c>
      <c r="FI97" s="59">
        <f t="shared" si="77"/>
        <v>635.23338287161857</v>
      </c>
      <c r="FJ97" s="59">
        <f ca="1">AVERAGE(OFFSET($FI$3,0,0,'Données projet'!$E$16+1,1))-AVERAGE(OFFSET($H$3,0,0,'Données projet'!$E$16+1,1))</f>
        <v>102.86738524979938</v>
      </c>
      <c r="FK97" s="59">
        <f t="shared" si="102"/>
        <v>56.347130462109817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0</v>
      </c>
      <c r="FR97" s="21">
        <f>EXP(-LN(2)/25)*FR96+(1-EXP(-LN(2)/25))/(LN(2)/25)*Calculateur!FM97*Calculateur!FO97*VLOOKUP('Données projet'!$B$16,Paramètres!$A$1:$I$89,3,0)*0.475*44/12</f>
        <v>0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0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5.8</v>
      </c>
      <c r="FZ97" s="12">
        <f>IF('Données projet'!$A$244&gt;35,FZ96+FY97-GH96,IF(A97&lt;'Données projet'!$A$244,$FW$205^A97,IF(A97='Données projet'!$A$244,'Données projet'!$B$244,FZ96+FY97-GH96)))</f>
        <v>286.20000000000027</v>
      </c>
      <c r="GA97" s="17">
        <f>FZ97*VLOOKUP('Données projet'!$B$17,Paramètres!$A$1:$I$89,3,0)*VLOOKUP('Données projet'!$B$17,Paramètres!$A$1:$I$89,5,0)</f>
        <v>191.98296000000019</v>
      </c>
      <c r="GB97" s="13">
        <f t="shared" si="103"/>
        <v>47.978091889278268</v>
      </c>
      <c r="GC97" s="20">
        <f t="shared" si="79"/>
        <v>417.93216537382659</v>
      </c>
      <c r="GD97" s="59">
        <f t="shared" si="80"/>
        <v>711.26549870715985</v>
      </c>
      <c r="GE97" s="59">
        <f ca="1">AVERAGE(OFFSET($GD$3,0,0,'Données projet'!$E$17+1,1))-AVERAGE(OFFSET($H$3,0,0,'Données projet'!$E$17+1,1))</f>
        <v>168.00454652899231</v>
      </c>
      <c r="GF97" s="59">
        <f t="shared" si="104"/>
        <v>135.31958994080446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0</v>
      </c>
      <c r="GM97" s="21">
        <f>EXP(-LN(2)/25)*GM96+(1-EXP(-LN(2)/25))/(LN(2)/25)*Calculateur!GH97*Calculateur!GJ97*VLOOKUP('Données projet'!$B$17,Paramètres!$A$1:$I$89,3,0)*0.475*44/12</f>
        <v>0</v>
      </c>
      <c r="GN97" s="21">
        <f>EXP(-LN(2)/2)*GN96+(1-EXP(-LN(2)/2))/(LN(2)/2)*GH97*GK97*VLOOKUP('Données projet'!$B$17,Paramètres!$A$1:$I$89,3,0)*0.475*44/12</f>
        <v>0</v>
      </c>
      <c r="GO97" s="21">
        <f t="shared" si="81"/>
        <v>0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7.1782051282051267</v>
      </c>
      <c r="N98" s="13">
        <f>IF('Données projet'!$A$36&gt;35,N97+M98-V97,IF(A98&lt;'Données projet'!$A$36,$K$205^A98,IF(A98='Données projet'!$A$36,'Données projet'!$B$36,N97+M98-V97)))</f>
        <v>289.53717948717974</v>
      </c>
      <c r="O98" s="13">
        <f>N98*VLOOKUP('Données projet'!$B$9,Paramètres!$A$1:$I$89,3,0)*VLOOKUP('Données projet'!$B$9,Paramètres!$A$1:$I$89,5,0)</f>
        <v>261.9732400000002</v>
      </c>
      <c r="P98" s="13">
        <f t="shared" si="87"/>
        <v>63.142807719765102</v>
      </c>
      <c r="Q98" s="20">
        <f t="shared" si="54"/>
        <v>566.2437831119247</v>
      </c>
      <c r="R98" s="59">
        <f t="shared" si="55"/>
        <v>859.57711644525807</v>
      </c>
      <c r="S98" s="59">
        <f ca="1">AVERAGE(OFFSET($R$3,0,0,'Données projet'!$E$9+1,1))-AVERAGE(OFFSET($H$3,0,0,'Données projet'!$E$9+1,1))</f>
        <v>221.7429870520005</v>
      </c>
      <c r="T98" s="59">
        <f t="shared" si="88"/>
        <v>182.2029938397186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0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5.2583333333333373</v>
      </c>
      <c r="AI98" s="13">
        <f>IF('Données projet'!$A$62&gt;35,AI97+AH98-AQ97,IF(A98&lt;'Données projet'!$A$62,$AF$205^A98,IF(A98='Données projet'!$A$62,'Données projet'!$B$62,AI97+AH98-AQ97)))</f>
        <v>192.70256410256385</v>
      </c>
      <c r="AJ98" s="13">
        <f>AI98*VLOOKUP('Données projet'!$B$10,Paramètres!$A$1:$I$89,3,0)*VLOOKUP('Données projet'!$B$10,Paramètres!$A$1:$I$89,5,0)</f>
        <v>174.35727999999978</v>
      </c>
      <c r="AK98" s="13">
        <f t="shared" si="89"/>
        <v>44.064467301710017</v>
      </c>
      <c r="AL98" s="20">
        <f t="shared" si="58"/>
        <v>380.41787655047784</v>
      </c>
      <c r="AM98" s="59">
        <f t="shared" si="59"/>
        <v>673.75120988381116</v>
      </c>
      <c r="AN98" s="59">
        <f ca="1">AVERAGE(OFFSET($AM$3,0,0,'Données projet'!$E$10+1,1))-AVERAGE(OFFSET($H$3,0,0,'Données projet'!$E$10+1,1))</f>
        <v>153.45079678708987</v>
      </c>
      <c r="AO98" s="59">
        <f t="shared" si="90"/>
        <v>115.4217868409637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0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469.12307692307689</v>
      </c>
      <c r="BB98" s="12">
        <f>VLOOKUP(A98,'Données projet'!$A$87:$I$107,9,0)</f>
        <v>11.242307692307691</v>
      </c>
      <c r="BC98" s="12">
        <f t="array" ref="BC98">INDEX(BB:BB,MIN(IF(ISNUMBER(BB98:BB294),ROW(BB98:BB294),"")))</f>
        <v>11.242307692307691</v>
      </c>
      <c r="BD98" s="12">
        <f>IF('Données projet'!$A$88&gt;35,BD97+BC98-BL97,IF(A98&lt;'Données projet'!$A$88,$BA$205^A98,IF(A98='Données projet'!$A$88,'Données projet'!$B$88,BD97+BC98-BL97)))</f>
        <v>469.12307692307712</v>
      </c>
      <c r="BE98" s="13">
        <f>BD98*VLOOKUP('Données projet'!$B$11,Paramètres!$A$1:$I$89,3,0)*VLOOKUP('Données projet'!$B$11,Paramètres!$A$1:$I$89,5,0)</f>
        <v>219.54960000000008</v>
      </c>
      <c r="BF98" s="13">
        <f t="shared" si="91"/>
        <v>54.016981833057052</v>
      </c>
      <c r="BG98" s="20">
        <f t="shared" si="61"/>
        <v>476.46179669257441</v>
      </c>
      <c r="BH98" s="59">
        <f t="shared" si="62"/>
        <v>769.79513002590772</v>
      </c>
      <c r="BI98" s="59">
        <f ca="1">AVERAGE(OFFSET($BH$3,0,0,'Données projet'!$E$11+1,1))-AVERAGE(OFFSET($H$3,0,0,'Données projet'!$E$11+1,1))</f>
        <v>158.58786357608489</v>
      </c>
      <c r="BJ98" s="59">
        <f t="shared" si="92"/>
        <v>163.20074068819849</v>
      </c>
      <c r="BK98" s="15">
        <f>IF(ISNA(VLOOKUP(A98,'Données projet'!$A$87:$I$107,3,0)),0,VLOOKUP(A98,'Données projet'!$A$87:$I$107,3,0))</f>
        <v>8</v>
      </c>
      <c r="BL98" s="15">
        <f>IF(ISNA(VLOOKUP(A98,'Données projet'!$A$87:$I$107,4,0)),0,VLOOKUP(A98,'Données projet'!$A$87:$I$107,4,0))</f>
        <v>234.42307692307691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0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>
        <f>BY98*VLOOKUP('Données projet'!$B$12,Paramètres!$A$1:$I$89,3,0)*VLOOKUP('Données projet'!$B$12,Paramètres!$A$1:$I$89,5,0)</f>
        <v>0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255.41017495879987</v>
      </c>
      <c r="CE98" s="59">
        <f t="shared" si="94"/>
        <v>297.50513563712764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2.3031263918503</v>
      </c>
      <c r="CL98" s="21">
        <f>EXP(-LN(2)/25)*CL97+(1-EXP(-LN(2)/25))/(LN(2)/25)*Calculateur!CG98*Calculateur!CI98*VLOOKUP('Données projet'!$B$12,Paramètres!$A$1:$I$89,3,0)*0.475*44/12</f>
        <v>4.5968138644191949</v>
      </c>
      <c r="CM98" s="21">
        <f>EXP(-LN(2)/2)*CM97+(1-EXP(-LN(2)/2))/(LN(2)/2)*CG98*CJ98*VLOOKUP('Données projet'!$B$12,Paramètres!$A$1:$I$89,3,0)*0.475*44/12</f>
        <v>4.0173176028624808E-9</v>
      </c>
      <c r="CN98" s="22">
        <f t="shared" si="66"/>
        <v>6.8999402602868134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4.1123076923076898</v>
      </c>
      <c r="CT98" s="12">
        <f>IF('Données projet'!$A$140&gt;35,CT97+CS98-DB97,IF(A98&lt;'Données projet'!$A$140,$CQ$205^A98,IF(A98='Données projet'!$A$140,'Données projet'!$B$140,CT97+CS98-DB97)))</f>
        <v>302.60769230769216</v>
      </c>
      <c r="CU98" s="17">
        <f>CT98*VLOOKUP('Données projet'!$B$13,Paramètres!$A$1:$I$89,3,0)*VLOOKUP('Données projet'!$B$13,Paramètres!$A$1:$I$89,5,0)</f>
        <v>173.09159999999991</v>
      </c>
      <c r="CV98" s="13">
        <f t="shared" si="95"/>
        <v>43.781711188435843</v>
      </c>
      <c r="CW98" s="20">
        <f t="shared" si="67"/>
        <v>377.72101698652563</v>
      </c>
      <c r="CX98" s="59">
        <f t="shared" si="68"/>
        <v>671.05435031985894</v>
      </c>
      <c r="CY98" s="59">
        <f ca="1">AVERAGE(OFFSET($CX$3,0,0,'Données projet'!$E$13+1,1))-AVERAGE(OFFSET($H$3,0,0,'Données projet'!$E$13+1,1))</f>
        <v>134.70214882504786</v>
      </c>
      <c r="CZ98" s="59">
        <f t="shared" si="96"/>
        <v>102.18553029667771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0.29341118952176937</v>
      </c>
      <c r="DG98" s="21">
        <f>EXP(-LN(2)/25)*DG97+(1-EXP(-LN(2)/25))/(LN(2)/25)*Calculateur!DB98*Calculateur!DD98*VLOOKUP('Données projet'!$B$13,Paramètres!$A$1:$I$89,3,0)*0.475*44/12</f>
        <v>2.0699199619396889</v>
      </c>
      <c r="DH98" s="21">
        <f>EXP(-LN(2)/2)*DH97+(1-EXP(-LN(2)/2))/(LN(2)/2)*DB98*DE98*VLOOKUP('Données projet'!$B$13,Paramètres!$A$1:$I$89,3,0)*0.475*44/12</f>
        <v>1.2686689417868517E-9</v>
      </c>
      <c r="DI98" s="22">
        <f t="shared" si="69"/>
        <v>2.3633311527301268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-2.8421709430404007E-13</v>
      </c>
      <c r="DP98" s="17">
        <f>DO98*VLOOKUP('Données projet'!$B$14,Paramètres!$A$1:$I$89,3,0)*VLOOKUP('Données projet'!$B$14,Paramètres!$A$1:$I$89,5,0)</f>
        <v>-1.69961822393816E-13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179.32848817523677</v>
      </c>
      <c r="DU98" s="59">
        <f t="shared" si="98"/>
        <v>131.3292389103035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</v>
      </c>
      <c r="EB98" s="21">
        <f>EXP(-LN(2)/25)*EB97+(1-EXP(-LN(2)/25))/(LN(2)/25)*Calculateur!DW98*Calculateur!DY98*VLOOKUP('Données projet'!$B$14,Paramètres!$A$1:$I$89,3,0)*0.475*44/12</f>
        <v>2.1739022287081911</v>
      </c>
      <c r="EC98" s="21">
        <f>EXP(-LN(2)/2)*EC97+(1-EXP(-LN(2)/2))/(LN(2)/2)*DW98*DZ98*VLOOKUP('Données projet'!$B$14,Paramètres!$A$1:$I$89,3,0)*0.475*44/12</f>
        <v>8.6645843115385467E-10</v>
      </c>
      <c r="ED98" s="22">
        <f t="shared" si="72"/>
        <v>2.1739022295746495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-2.2737367544323206E-13</v>
      </c>
      <c r="EK98" s="17">
        <f>EJ98*VLOOKUP('Données projet'!$B$15,Paramètres!$A$1:$I$89,3,0)*VLOOKUP('Données projet'!$B$15,Paramètres!$A$1:$I$89,5,0)</f>
        <v>-1.0049916454590858E-13</v>
      </c>
      <c r="EL98" s="13" t="e">
        <f t="shared" si="99"/>
        <v>#NUM!</v>
      </c>
      <c r="EM98" s="20" t="e">
        <f t="shared" si="73"/>
        <v>#NUM!</v>
      </c>
      <c r="EN98" s="59" t="e">
        <f t="shared" si="74"/>
        <v>#NUM!</v>
      </c>
      <c r="EO98" s="59">
        <f ca="1">AVERAGE(OFFSET($EN$3,0,0,'Données projet'!$E$15+1,1))-AVERAGE(OFFSET($H$3,0,0,'Données projet'!$E$15+1,1))</f>
        <v>191.932060106699</v>
      </c>
      <c r="EP98" s="59">
        <f t="shared" si="100"/>
        <v>260.28593152736903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0.67440219562297732</v>
      </c>
      <c r="EW98" s="21">
        <f>EXP(-LN(2)/25)*EW97+(1-EXP(-LN(2)/25))/(LN(2)/25)*Calculateur!ER98*Calculateur!ET98*VLOOKUP('Données projet'!$B$15,Paramètres!$A$1:$I$89,3,0)*0.475*44/12</f>
        <v>2.0814808085253342</v>
      </c>
      <c r="EX98" s="21">
        <f>EXP(-LN(2)/2)*EX97+(1-EXP(-LN(2)/2))/(LN(2)/2)*ER98*EU98*VLOOKUP('Données projet'!$B$15,Paramètres!$A$1:$I$89,3,0)*0.475*44/12</f>
        <v>2.2034505144709465E-10</v>
      </c>
      <c r="EY98" s="22">
        <f t="shared" si="75"/>
        <v>2.7558830043686569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2.9</v>
      </c>
      <c r="FE98" s="12">
        <f>IF('Données projet'!$A$218&gt;35,FE97+FD98-FM97,IF(A98&lt;'Données projet'!$A$218,$FB$205^A98,IF(A98='Données projet'!$A$218,'Données projet'!$B$218,FE97+FD98-FM97)))</f>
        <v>164.5</v>
      </c>
      <c r="FF98" s="17">
        <f>FE98*VLOOKUP('Données projet'!$B$16,Paramètres!$A$1:$I$89,3,0)*VLOOKUP('Données projet'!$B$16,Paramètres!$A$1:$I$89,5,0)</f>
        <v>159.1044</v>
      </c>
      <c r="FG98" s="13">
        <f t="shared" si="101"/>
        <v>40.640444381186896</v>
      </c>
      <c r="FH98" s="20">
        <f t="shared" si="76"/>
        <v>347.88893729723378</v>
      </c>
      <c r="FI98" s="59">
        <f t="shared" si="77"/>
        <v>641.2222706305671</v>
      </c>
      <c r="FJ98" s="59">
        <f ca="1">AVERAGE(OFFSET($FI$3,0,0,'Données projet'!$E$16+1,1))-AVERAGE(OFFSET($H$3,0,0,'Données projet'!$E$16+1,1))</f>
        <v>102.86738524979938</v>
      </c>
      <c r="FK98" s="59">
        <f t="shared" si="102"/>
        <v>56.347130462109817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0</v>
      </c>
      <c r="FR98" s="21">
        <f>EXP(-LN(2)/25)*FR97+(1-EXP(-LN(2)/25))/(LN(2)/25)*Calculateur!FM98*Calculateur!FO98*VLOOKUP('Données projet'!$B$16,Paramètres!$A$1:$I$89,3,0)*0.475*44/12</f>
        <v>0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0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5.8</v>
      </c>
      <c r="FZ98" s="12">
        <f>IF('Données projet'!$A$244&gt;35,FZ97+FY98-GH97,IF(A98&lt;'Données projet'!$A$244,$FW$205^A98,IF(A98='Données projet'!$A$244,'Données projet'!$B$244,FZ97+FY98-GH97)))</f>
        <v>292.00000000000028</v>
      </c>
      <c r="GA98" s="17">
        <f>FZ98*VLOOKUP('Données projet'!$B$17,Paramètres!$A$1:$I$89,3,0)*VLOOKUP('Données projet'!$B$17,Paramètres!$A$1:$I$89,5,0)</f>
        <v>195.87360000000018</v>
      </c>
      <c r="GB98" s="13">
        <f t="shared" si="103"/>
        <v>48.836212506996169</v>
      </c>
      <c r="GC98" s="20">
        <f t="shared" si="79"/>
        <v>426.20292344968533</v>
      </c>
      <c r="GD98" s="59">
        <f t="shared" si="80"/>
        <v>719.53625678301864</v>
      </c>
      <c r="GE98" s="59">
        <f ca="1">AVERAGE(OFFSET($GD$3,0,0,'Données projet'!$E$17+1,1))-AVERAGE(OFFSET($H$3,0,0,'Données projet'!$E$17+1,1))</f>
        <v>168.00454652899231</v>
      </c>
      <c r="GF98" s="59">
        <f t="shared" si="104"/>
        <v>135.31958994080446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0</v>
      </c>
      <c r="GM98" s="21">
        <f>EXP(-LN(2)/25)*GM97+(1-EXP(-LN(2)/25))/(LN(2)/25)*Calculateur!GH98*Calculateur!GJ98*VLOOKUP('Données projet'!$B$17,Paramètres!$A$1:$I$89,3,0)*0.475*44/12</f>
        <v>0</v>
      </c>
      <c r="GN98" s="21">
        <f>EXP(-LN(2)/2)*GN97+(1-EXP(-LN(2)/2))/(LN(2)/2)*GH98*GK98*VLOOKUP('Données projet'!$B$17,Paramètres!$A$1:$I$89,3,0)*0.475*44/12</f>
        <v>0</v>
      </c>
      <c r="GO98" s="21">
        <f t="shared" si="81"/>
        <v>0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7.1782051282051267</v>
      </c>
      <c r="N99" s="13">
        <f>IF('Données projet'!$A$36&gt;35,N98+M99-V98,IF(A99&lt;'Données projet'!$A$36,$K$205^A99,IF(A99='Données projet'!$A$36,'Données projet'!$B$36,N98+M99-V98)))</f>
        <v>296.71538461538489</v>
      </c>
      <c r="O99" s="13">
        <f>N99*VLOOKUP('Données projet'!$B$9,Paramètres!$A$1:$I$89,3,0)*VLOOKUP('Données projet'!$B$9,Paramètres!$A$1:$I$89,5,0)</f>
        <v>268.46808000000027</v>
      </c>
      <c r="P99" s="13">
        <f t="shared" si="87"/>
        <v>64.524049616897358</v>
      </c>
      <c r="Q99" s="20">
        <f t="shared" ref="Q99:Q130" si="107">(O99+P99)*0.475*44/12</f>
        <v>579.96129241609663</v>
      </c>
      <c r="R99" s="59">
        <f t="shared" si="55"/>
        <v>873.29462574943</v>
      </c>
      <c r="S99" s="59">
        <f ca="1">AVERAGE(OFFSET($R$3,0,0,'Données projet'!$E$9+1,1))-AVERAGE(OFFSET($H$3,0,0,'Données projet'!$E$9+1,1))</f>
        <v>221.7429870520005</v>
      </c>
      <c r="T99" s="59">
        <f t="shared" si="88"/>
        <v>182.2029938397186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0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5.2583333333333373</v>
      </c>
      <c r="AI99" s="13">
        <f>IF('Données projet'!$A$62&gt;35,AI98+AH99-AQ98,IF(A99&lt;'Données projet'!$A$62,$AF$205^A99,IF(A99='Données projet'!$A$62,'Données projet'!$B$62,AI98+AH99-AQ98)))</f>
        <v>197.96089743589718</v>
      </c>
      <c r="AJ99" s="13">
        <f>AI99*VLOOKUP('Données projet'!$B$10,Paramètres!$A$1:$I$89,3,0)*VLOOKUP('Données projet'!$B$10,Paramètres!$A$1:$I$89,5,0)</f>
        <v>179.11501999999976</v>
      </c>
      <c r="AK99" s="13">
        <f t="shared" si="89"/>
        <v>45.125237978705186</v>
      </c>
      <c r="AL99" s="20">
        <f t="shared" si="58"/>
        <v>390.55178264624448</v>
      </c>
      <c r="AM99" s="59">
        <f t="shared" si="59"/>
        <v>683.88511597957779</v>
      </c>
      <c r="AN99" s="59">
        <f ca="1">AVERAGE(OFFSET($AM$3,0,0,'Données projet'!$E$10+1,1))-AVERAGE(OFFSET($H$3,0,0,'Données projet'!$E$10+1,1))</f>
        <v>153.45079678708987</v>
      </c>
      <c r="AO99" s="59">
        <f t="shared" si="90"/>
        <v>115.4217868409637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0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7.5015384615384617</v>
      </c>
      <c r="BD99" s="12">
        <f>IF('Données projet'!$A$88&gt;35,BD98+BC99-BL98,IF(A99&lt;'Données projet'!$A$88,$BA$205^A99,IF(A99='Données projet'!$A$88,'Données projet'!$B$88,BD98+BC99-BL98)))</f>
        <v>242.20153846153869</v>
      </c>
      <c r="BE99" s="13">
        <f>BD99*VLOOKUP('Données projet'!$B$11,Paramètres!$A$1:$I$89,3,0)*VLOOKUP('Données projet'!$B$11,Paramètres!$A$1:$I$89,5,0)</f>
        <v>113.35032000000011</v>
      </c>
      <c r="BF99" s="13">
        <f t="shared" si="91"/>
        <v>30.118962463528121</v>
      </c>
      <c r="BG99" s="20">
        <f t="shared" si="61"/>
        <v>249.87566695731167</v>
      </c>
      <c r="BH99" s="59">
        <f t="shared" si="62"/>
        <v>543.20900029064501</v>
      </c>
      <c r="BI99" s="59">
        <f ca="1">AVERAGE(OFFSET($BH$3,0,0,'Données projet'!$E$11+1,1))-AVERAGE(OFFSET($H$3,0,0,'Données projet'!$E$11+1,1))</f>
        <v>158.58786357608489</v>
      </c>
      <c r="BJ99" s="59">
        <f t="shared" si="92"/>
        <v>163.20074068819849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0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>
        <f>BY99*VLOOKUP('Données projet'!$B$12,Paramètres!$A$1:$I$89,3,0)*VLOOKUP('Données projet'!$B$12,Paramètres!$A$1:$I$89,5,0)</f>
        <v>0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255.41017495879987</v>
      </c>
      <c r="CE99" s="59">
        <f t="shared" si="94"/>
        <v>297.50513563712764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2.2579634880745054</v>
      </c>
      <c r="CL99" s="21">
        <f>EXP(-LN(2)/25)*CL98+(1-EXP(-LN(2)/25))/(LN(2)/25)*Calculateur!CG99*Calculateur!CI99*VLOOKUP('Données projet'!$B$12,Paramètres!$A$1:$I$89,3,0)*0.475*44/12</f>
        <v>4.4711137475607172</v>
      </c>
      <c r="CM99" s="21">
        <f>EXP(-LN(2)/2)*CM98+(1-EXP(-LN(2)/2))/(LN(2)/2)*CG99*CJ99*VLOOKUP('Données projet'!$B$12,Paramètres!$A$1:$I$89,3,0)*0.475*44/12</f>
        <v>2.8406725191641459E-9</v>
      </c>
      <c r="CN99" s="22">
        <f t="shared" si="66"/>
        <v>6.7290772384758952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4.1123076923076898</v>
      </c>
      <c r="CT99" s="12">
        <f>IF('Données projet'!$A$140&gt;35,CT98+CS99-DB98,IF(A99&lt;'Données projet'!$A$140,$CQ$205^A99,IF(A99='Données projet'!$A$140,'Données projet'!$B$140,CT98+CS99-DB98)))</f>
        <v>306.71999999999986</v>
      </c>
      <c r="CU99" s="17">
        <f>CT99*VLOOKUP('Données projet'!$B$13,Paramètres!$A$1:$I$89,3,0)*VLOOKUP('Données projet'!$B$13,Paramètres!$A$1:$I$89,5,0)</f>
        <v>175.44383999999991</v>
      </c>
      <c r="CV99" s="13">
        <f t="shared" si="95"/>
        <v>44.307016967342939</v>
      </c>
      <c r="CW99" s="20">
        <f t="shared" si="67"/>
        <v>382.73274255145543</v>
      </c>
      <c r="CX99" s="59">
        <f t="shared" si="68"/>
        <v>676.06607588478869</v>
      </c>
      <c r="CY99" s="59">
        <f ca="1">AVERAGE(OFFSET($CX$3,0,0,'Données projet'!$E$13+1,1))-AVERAGE(OFFSET($H$3,0,0,'Données projet'!$E$13+1,1))</f>
        <v>134.70214882504786</v>
      </c>
      <c r="CZ99" s="59">
        <f t="shared" si="96"/>
        <v>102.18553029667771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0.28765757505840195</v>
      </c>
      <c r="DG99" s="21">
        <f>EXP(-LN(2)/25)*DG98+(1-EXP(-LN(2)/25))/(LN(2)/25)*Calculateur!DB99*Calculateur!DD99*VLOOKUP('Données projet'!$B$13,Paramètres!$A$1:$I$89,3,0)*0.475*44/12</f>
        <v>2.0133178917280881</v>
      </c>
      <c r="DH99" s="21">
        <f>EXP(-LN(2)/2)*DH98+(1-EXP(-LN(2)/2))/(LN(2)/2)*DB99*DE99*VLOOKUP('Données projet'!$B$13,Paramètres!$A$1:$I$89,3,0)*0.475*44/12</f>
        <v>8.9708441181824418E-10</v>
      </c>
      <c r="DI99" s="22">
        <f t="shared" si="69"/>
        <v>2.3009754676835747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-2.8421709430404007E-13</v>
      </c>
      <c r="DP99" s="17">
        <f>DO99*VLOOKUP('Données projet'!$B$14,Paramètres!$A$1:$I$89,3,0)*VLOOKUP('Données projet'!$B$14,Paramètres!$A$1:$I$89,5,0)</f>
        <v>-1.69961822393816E-13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179.32848817523677</v>
      </c>
      <c r="DU99" s="59">
        <f t="shared" si="98"/>
        <v>131.3292389103035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</v>
      </c>
      <c r="EB99" s="21">
        <f>EXP(-LN(2)/25)*EB98+(1-EXP(-LN(2)/25))/(LN(2)/25)*Calculateur!DW99*Calculateur!DY99*VLOOKUP('Données projet'!$B$14,Paramètres!$A$1:$I$89,3,0)*0.475*44/12</f>
        <v>2.114456757943616</v>
      </c>
      <c r="EC99" s="21">
        <f>EXP(-LN(2)/2)*EC98+(1-EXP(-LN(2)/2))/(LN(2)/2)*DW99*DZ99*VLOOKUP('Données projet'!$B$14,Paramètres!$A$1:$I$89,3,0)*0.475*44/12</f>
        <v>6.1267863228514796E-10</v>
      </c>
      <c r="ED99" s="22">
        <f t="shared" si="72"/>
        <v>2.1144567585562948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-2.2737367544323206E-13</v>
      </c>
      <c r="EK99" s="17">
        <f>EJ99*VLOOKUP('Données projet'!$B$15,Paramètres!$A$1:$I$89,3,0)*VLOOKUP('Données projet'!$B$15,Paramètres!$A$1:$I$89,5,0)</f>
        <v>-1.0049916454590858E-13</v>
      </c>
      <c r="EL99" s="13" t="e">
        <f t="shared" si="99"/>
        <v>#NUM!</v>
      </c>
      <c r="EM99" s="20" t="e">
        <f t="shared" si="73"/>
        <v>#NUM!</v>
      </c>
      <c r="EN99" s="59" t="e">
        <f t="shared" si="74"/>
        <v>#NUM!</v>
      </c>
      <c r="EO99" s="59">
        <f ca="1">AVERAGE(OFFSET($EN$3,0,0,'Données projet'!$E$15+1,1))-AVERAGE(OFFSET($H$3,0,0,'Données projet'!$E$15+1,1))</f>
        <v>191.932060106699</v>
      </c>
      <c r="EP99" s="59">
        <f t="shared" si="100"/>
        <v>260.28593152736903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0.66117757991153314</v>
      </c>
      <c r="EW99" s="21">
        <f>EXP(-LN(2)/25)*EW98+(1-EXP(-LN(2)/25))/(LN(2)/25)*Calculateur!ER99*Calculateur!ET99*VLOOKUP('Données projet'!$B$15,Paramètres!$A$1:$I$89,3,0)*0.475*44/12</f>
        <v>2.0245626063558904</v>
      </c>
      <c r="EX99" s="21">
        <f>EXP(-LN(2)/2)*EX98+(1-EXP(-LN(2)/2))/(LN(2)/2)*ER99*EU99*VLOOKUP('Données projet'!$B$15,Paramètres!$A$1:$I$89,3,0)*0.475*44/12</f>
        <v>1.5580748007913931E-10</v>
      </c>
      <c r="EY99" s="22">
        <f t="shared" si="75"/>
        <v>2.6857401864232311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2.9</v>
      </c>
      <c r="FE99" s="12">
        <f>IF('Données projet'!$A$218&gt;35,FE98+FD99-FM98,IF(A99&lt;'Données projet'!$A$218,$FB$205^A99,IF(A99='Données projet'!$A$218,'Données projet'!$B$218,FE98+FD99-FM98)))</f>
        <v>167.4</v>
      </c>
      <c r="FF99" s="17">
        <f>FE99*VLOOKUP('Données projet'!$B$16,Paramètres!$A$1:$I$89,3,0)*VLOOKUP('Données projet'!$B$16,Paramètres!$A$1:$I$89,5,0)</f>
        <v>161.90928</v>
      </c>
      <c r="FG99" s="13">
        <f t="shared" si="101"/>
        <v>41.272861077810653</v>
      </c>
      <c r="FH99" s="20">
        <f t="shared" si="76"/>
        <v>353.8755623771869</v>
      </c>
      <c r="FI99" s="59">
        <f t="shared" si="77"/>
        <v>647.20889571052021</v>
      </c>
      <c r="FJ99" s="59">
        <f ca="1">AVERAGE(OFFSET($FI$3,0,0,'Données projet'!$E$16+1,1))-AVERAGE(OFFSET($H$3,0,0,'Données projet'!$E$16+1,1))</f>
        <v>102.86738524979938</v>
      </c>
      <c r="FK99" s="59">
        <f t="shared" si="102"/>
        <v>56.347130462109817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0</v>
      </c>
      <c r="FR99" s="21">
        <f>EXP(-LN(2)/25)*FR98+(1-EXP(-LN(2)/25))/(LN(2)/25)*Calculateur!FM99*Calculateur!FO99*VLOOKUP('Données projet'!$B$16,Paramètres!$A$1:$I$89,3,0)*0.475*44/12</f>
        <v>0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0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5.8</v>
      </c>
      <c r="FZ99" s="12">
        <f>IF('Données projet'!$A$244&gt;35,FZ98+FY99-GH98,IF(A99&lt;'Données projet'!$A$244,$FW$205^A99,IF(A99='Données projet'!$A$244,'Données projet'!$B$244,FZ98+FY99-GH98)))</f>
        <v>297.8000000000003</v>
      </c>
      <c r="GA99" s="17">
        <f>FZ99*VLOOKUP('Données projet'!$B$17,Paramètres!$A$1:$I$89,3,0)*VLOOKUP('Données projet'!$B$17,Paramètres!$A$1:$I$89,5,0)</f>
        <v>199.7642400000002</v>
      </c>
      <c r="GB99" s="13">
        <f t="shared" si="103"/>
        <v>49.692351256883327</v>
      </c>
      <c r="GC99" s="20">
        <f t="shared" si="79"/>
        <v>434.47022977240545</v>
      </c>
      <c r="GD99" s="59">
        <f t="shared" si="80"/>
        <v>727.8035631057387</v>
      </c>
      <c r="GE99" s="59">
        <f ca="1">AVERAGE(OFFSET($GD$3,0,0,'Données projet'!$E$17+1,1))-AVERAGE(OFFSET($H$3,0,0,'Données projet'!$E$17+1,1))</f>
        <v>168.00454652899231</v>
      </c>
      <c r="GF99" s="59">
        <f t="shared" si="104"/>
        <v>135.31958994080446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0</v>
      </c>
      <c r="GM99" s="21">
        <f>EXP(-LN(2)/25)*GM98+(1-EXP(-LN(2)/25))/(LN(2)/25)*Calculateur!GH99*Calculateur!GJ99*VLOOKUP('Données projet'!$B$17,Paramètres!$A$1:$I$89,3,0)*0.475*44/12</f>
        <v>0</v>
      </c>
      <c r="GN99" s="21">
        <f>EXP(-LN(2)/2)*GN98+(1-EXP(-LN(2)/2))/(LN(2)/2)*GH99*GK99*VLOOKUP('Données projet'!$B$17,Paramètres!$A$1:$I$89,3,0)*0.475*44/12</f>
        <v>0</v>
      </c>
      <c r="GO99" s="21">
        <f t="shared" si="81"/>
        <v>0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7.1782051282051267</v>
      </c>
      <c r="N100" s="13">
        <f>IF('Données projet'!$A$36&gt;35,N99+M100-V99,IF(A100&lt;'Données projet'!$A$36,$K$205^A100,IF(A100='Données projet'!$A$36,'Données projet'!$B$36,N99+M100-V99)))</f>
        <v>303.89358974359004</v>
      </c>
      <c r="O100" s="13">
        <f>N100*VLOOKUP('Données projet'!$B$9,Paramètres!$A$1:$I$89,3,0)*VLOOKUP('Données projet'!$B$9,Paramètres!$A$1:$I$89,5,0)</f>
        <v>274.96292000000028</v>
      </c>
      <c r="P100" s="13">
        <f t="shared" si="87"/>
        <v>65.901407042348566</v>
      </c>
      <c r="Q100" s="20">
        <f t="shared" si="107"/>
        <v>593.67203626542425</v>
      </c>
      <c r="R100" s="59">
        <f t="shared" si="55"/>
        <v>887.00536959875762</v>
      </c>
      <c r="S100" s="59">
        <f ca="1">AVERAGE(OFFSET($R$3,0,0,'Données projet'!$E$9+1,1))-AVERAGE(OFFSET($H$3,0,0,'Données projet'!$E$9+1,1))</f>
        <v>221.7429870520005</v>
      </c>
      <c r="T100" s="59">
        <f t="shared" si="88"/>
        <v>182.2029938397186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0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5.2583333333333373</v>
      </c>
      <c r="AI100" s="13">
        <f>IF('Données projet'!$A$62&gt;35,AI99+AH100-AQ99,IF(A100&lt;'Données projet'!$A$62,$AF$205^A100,IF(A100='Données projet'!$A$62,'Données projet'!$B$62,AI99+AH100-AQ99)))</f>
        <v>203.21923076923051</v>
      </c>
      <c r="AJ100" s="13">
        <f>AI100*VLOOKUP('Données projet'!$B$10,Paramètres!$A$1:$I$89,3,0)*VLOOKUP('Données projet'!$B$10,Paramètres!$A$1:$I$89,5,0)</f>
        <v>183.87275999999974</v>
      </c>
      <c r="AK100" s="13">
        <f t="shared" si="89"/>
        <v>46.182733545341328</v>
      </c>
      <c r="AL100" s="20">
        <f t="shared" si="58"/>
        <v>400.67998459146901</v>
      </c>
      <c r="AM100" s="59">
        <f t="shared" si="59"/>
        <v>694.01331792480232</v>
      </c>
      <c r="AN100" s="59">
        <f ca="1">AVERAGE(OFFSET($AM$3,0,0,'Données projet'!$E$10+1,1))-AVERAGE(OFFSET($H$3,0,0,'Données projet'!$E$10+1,1))</f>
        <v>153.45079678708987</v>
      </c>
      <c r="AO100" s="59">
        <f t="shared" si="90"/>
        <v>115.4217868409637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0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7.5015384615384617</v>
      </c>
      <c r="BD100" s="12">
        <f>IF('Données projet'!$A$88&gt;35,BD99+BC100-BL99,IF(A100&lt;'Données projet'!$A$88,$BA$205^A100,IF(A100='Données projet'!$A$88,'Données projet'!$B$88,BD99+BC100-BL99)))</f>
        <v>249.70307692307716</v>
      </c>
      <c r="BE100" s="13">
        <f>BD100*VLOOKUP('Données projet'!$B$11,Paramètres!$A$1:$I$89,3,0)*VLOOKUP('Données projet'!$B$11,Paramètres!$A$1:$I$89,5,0)</f>
        <v>116.86104000000012</v>
      </c>
      <c r="BF100" s="13">
        <f t="shared" si="91"/>
        <v>30.941762857231797</v>
      </c>
      <c r="BG100" s="20">
        <f t="shared" si="61"/>
        <v>257.42321497634555</v>
      </c>
      <c r="BH100" s="59">
        <f t="shared" si="62"/>
        <v>550.75654830967892</v>
      </c>
      <c r="BI100" s="59">
        <f ca="1">AVERAGE(OFFSET($BH$3,0,0,'Données projet'!$E$11+1,1))-AVERAGE(OFFSET($H$3,0,0,'Données projet'!$E$11+1,1))</f>
        <v>158.58786357608489</v>
      </c>
      <c r="BJ100" s="59">
        <f t="shared" si="92"/>
        <v>163.20074068819849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0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>
        <f>BY100*VLOOKUP('Données projet'!$B$12,Paramètres!$A$1:$I$89,3,0)*VLOOKUP('Données projet'!$B$12,Paramètres!$A$1:$I$89,5,0)</f>
        <v>0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255.41017495879987</v>
      </c>
      <c r="CE100" s="59">
        <f t="shared" si="94"/>
        <v>297.50513563712764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2.2136862012951029</v>
      </c>
      <c r="CL100" s="21">
        <f>EXP(-LN(2)/25)*CL99+(1-EXP(-LN(2)/25))/(LN(2)/25)*Calculateur!CG100*Calculateur!CI100*VLOOKUP('Données projet'!$B$12,Paramètres!$A$1:$I$89,3,0)*0.475*44/12</f>
        <v>4.3488509070080159</v>
      </c>
      <c r="CM100" s="21">
        <f>EXP(-LN(2)/2)*CM99+(1-EXP(-LN(2)/2))/(LN(2)/2)*CG100*CJ100*VLOOKUP('Données projet'!$B$12,Paramètres!$A$1:$I$89,3,0)*0.475*44/12</f>
        <v>2.0086588014312404E-9</v>
      </c>
      <c r="CN100" s="22">
        <f t="shared" si="66"/>
        <v>6.5625371103117773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4.1123076923076898</v>
      </c>
      <c r="CT100" s="12">
        <f>IF('Données projet'!$A$140&gt;35,CT99+CS100-DB99,IF(A100&lt;'Données projet'!$A$140,$CQ$205^A100,IF(A100='Données projet'!$A$140,'Données projet'!$B$140,CT99+CS100-DB99)))</f>
        <v>310.83230769230755</v>
      </c>
      <c r="CU100" s="17">
        <f>CT100*VLOOKUP('Données projet'!$B$13,Paramètres!$A$1:$I$89,3,0)*VLOOKUP('Données projet'!$B$13,Paramètres!$A$1:$I$89,5,0)</f>
        <v>177.79607999999993</v>
      </c>
      <c r="CV100" s="13">
        <f t="shared" si="95"/>
        <v>44.831503558245444</v>
      </c>
      <c r="CW100" s="20">
        <f t="shared" si="67"/>
        <v>387.74304136394403</v>
      </c>
      <c r="CX100" s="59">
        <f t="shared" si="68"/>
        <v>681.07637469727729</v>
      </c>
      <c r="CY100" s="59">
        <f ca="1">AVERAGE(OFFSET($CX$3,0,0,'Données projet'!$E$13+1,1))-AVERAGE(OFFSET($H$3,0,0,'Données projet'!$E$13+1,1))</f>
        <v>134.70214882504786</v>
      </c>
      <c r="CZ100" s="59">
        <f t="shared" si="96"/>
        <v>102.18553029667771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0.28201678546530284</v>
      </c>
      <c r="DG100" s="21">
        <f>EXP(-LN(2)/25)*DG99+(1-EXP(-LN(2)/25))/(LN(2)/25)*Calculateur!DB100*Calculateur!DD100*VLOOKUP('Données projet'!$B$13,Paramètres!$A$1:$I$89,3,0)*0.475*44/12</f>
        <v>1.9582636081029972</v>
      </c>
      <c r="DH100" s="21">
        <f>EXP(-LN(2)/2)*DH99+(1-EXP(-LN(2)/2))/(LN(2)/2)*DB100*DE100*VLOOKUP('Données projet'!$B$13,Paramètres!$A$1:$I$89,3,0)*0.475*44/12</f>
        <v>6.3433447089342587E-10</v>
      </c>
      <c r="DI100" s="22">
        <f t="shared" si="69"/>
        <v>2.2402803942026344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-2.8421709430404007E-13</v>
      </c>
      <c r="DP100" s="17">
        <f>DO100*VLOOKUP('Données projet'!$B$14,Paramètres!$A$1:$I$89,3,0)*VLOOKUP('Données projet'!$B$14,Paramètres!$A$1:$I$89,5,0)</f>
        <v>-1.69961822393816E-13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179.32848817523677</v>
      </c>
      <c r="DU100" s="59">
        <f t="shared" si="98"/>
        <v>131.3292389103035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</v>
      </c>
      <c r="EB100" s="21">
        <f>EXP(-LN(2)/25)*EB99+(1-EXP(-LN(2)/25))/(LN(2)/25)*Calculateur!DW100*Calculateur!DY100*VLOOKUP('Données projet'!$B$14,Paramètres!$A$1:$I$89,3,0)*0.475*44/12</f>
        <v>2.0566368267031994</v>
      </c>
      <c r="EC100" s="21">
        <f>EXP(-LN(2)/2)*EC99+(1-EXP(-LN(2)/2))/(LN(2)/2)*DW100*DZ100*VLOOKUP('Données projet'!$B$14,Paramètres!$A$1:$I$89,3,0)*0.475*44/12</f>
        <v>4.3322921557692733E-10</v>
      </c>
      <c r="ED100" s="22">
        <f t="shared" si="72"/>
        <v>2.0566368271364284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-2.2737367544323206E-13</v>
      </c>
      <c r="EK100" s="17">
        <f>EJ100*VLOOKUP('Données projet'!$B$15,Paramètres!$A$1:$I$89,3,0)*VLOOKUP('Données projet'!$B$15,Paramètres!$A$1:$I$89,5,0)</f>
        <v>-1.0049916454590858E-13</v>
      </c>
      <c r="EL100" s="13" t="e">
        <f t="shared" si="99"/>
        <v>#NUM!</v>
      </c>
      <c r="EM100" s="20" t="e">
        <f t="shared" si="73"/>
        <v>#NUM!</v>
      </c>
      <c r="EN100" s="59" t="e">
        <f t="shared" si="74"/>
        <v>#NUM!</v>
      </c>
      <c r="EO100" s="59">
        <f ca="1">AVERAGE(OFFSET($EN$3,0,0,'Données projet'!$E$15+1,1))-AVERAGE(OFFSET($H$3,0,0,'Données projet'!$E$15+1,1))</f>
        <v>191.932060106699</v>
      </c>
      <c r="EP100" s="59">
        <f t="shared" si="100"/>
        <v>260.28593152736903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0.64821229084797127</v>
      </c>
      <c r="EW100" s="21">
        <f>EXP(-LN(2)/25)*EW99+(1-EXP(-LN(2)/25))/(LN(2)/25)*Calculateur!ER100*Calculateur!ET100*VLOOKUP('Données projet'!$B$15,Paramètres!$A$1:$I$89,3,0)*0.475*44/12</f>
        <v>1.9692008354179682</v>
      </c>
      <c r="EX100" s="21">
        <f>EXP(-LN(2)/2)*EX99+(1-EXP(-LN(2)/2))/(LN(2)/2)*ER100*EU100*VLOOKUP('Données projet'!$B$15,Paramètres!$A$1:$I$89,3,0)*0.475*44/12</f>
        <v>1.1017252572354732E-10</v>
      </c>
      <c r="EY100" s="22">
        <f t="shared" si="75"/>
        <v>2.6174131263761118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2.9</v>
      </c>
      <c r="FE100" s="12">
        <f>IF('Données projet'!$A$218&gt;35,FE99+FD100-FM99,IF(A100&lt;'Données projet'!$A$218,$FB$205^A100,IF(A100='Données projet'!$A$218,'Données projet'!$B$218,FE99+FD100-FM99)))</f>
        <v>170.3</v>
      </c>
      <c r="FF100" s="17">
        <f>FE100*VLOOKUP('Données projet'!$B$16,Paramètres!$A$1:$I$89,3,0)*VLOOKUP('Données projet'!$B$16,Paramètres!$A$1:$I$89,5,0)</f>
        <v>164.71416000000002</v>
      </c>
      <c r="FG100" s="13">
        <f t="shared" si="101"/>
        <v>41.904003731636671</v>
      </c>
      <c r="FH100" s="20">
        <f t="shared" si="76"/>
        <v>359.85996849926727</v>
      </c>
      <c r="FI100" s="59">
        <f t="shared" si="77"/>
        <v>653.19330183260058</v>
      </c>
      <c r="FJ100" s="59">
        <f ca="1">AVERAGE(OFFSET($FI$3,0,0,'Données projet'!$E$16+1,1))-AVERAGE(OFFSET($H$3,0,0,'Données projet'!$E$16+1,1))</f>
        <v>102.86738524979938</v>
      </c>
      <c r="FK100" s="59">
        <f t="shared" si="102"/>
        <v>56.347130462109817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0</v>
      </c>
      <c r="FR100" s="21">
        <f>EXP(-LN(2)/25)*FR99+(1-EXP(-LN(2)/25))/(LN(2)/25)*Calculateur!FM100*Calculateur!FO100*VLOOKUP('Données projet'!$B$16,Paramètres!$A$1:$I$89,3,0)*0.475*44/12</f>
        <v>0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0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5.8</v>
      </c>
      <c r="FZ100" s="12">
        <f>IF('Données projet'!$A$244&gt;35,FZ99+FY100-GH99,IF(A100&lt;'Données projet'!$A$244,$FW$205^A100,IF(A100='Données projet'!$A$244,'Données projet'!$B$244,FZ99+FY100-GH99)))</f>
        <v>303.60000000000031</v>
      </c>
      <c r="GA100" s="17">
        <f>FZ100*VLOOKUP('Données projet'!$B$17,Paramètres!$A$1:$I$89,3,0)*VLOOKUP('Données projet'!$B$17,Paramètres!$A$1:$I$89,5,0)</f>
        <v>203.65488000000022</v>
      </c>
      <c r="GB100" s="13">
        <f t="shared" si="103"/>
        <v>50.546551187738309</v>
      </c>
      <c r="GC100" s="20">
        <f t="shared" si="79"/>
        <v>442.73415931864457</v>
      </c>
      <c r="GD100" s="59">
        <f t="shared" si="80"/>
        <v>736.06749265197789</v>
      </c>
      <c r="GE100" s="59">
        <f ca="1">AVERAGE(OFFSET($GD$3,0,0,'Données projet'!$E$17+1,1))-AVERAGE(OFFSET($H$3,0,0,'Données projet'!$E$17+1,1))</f>
        <v>168.00454652899231</v>
      </c>
      <c r="GF100" s="59">
        <f t="shared" si="104"/>
        <v>135.31958994080446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0</v>
      </c>
      <c r="GM100" s="21">
        <f>EXP(-LN(2)/25)*GM99+(1-EXP(-LN(2)/25))/(LN(2)/25)*Calculateur!GH100*Calculateur!GJ100*VLOOKUP('Données projet'!$B$17,Paramètres!$A$1:$I$89,3,0)*0.475*44/12</f>
        <v>0</v>
      </c>
      <c r="GN100" s="21">
        <f>EXP(-LN(2)/2)*GN99+(1-EXP(-LN(2)/2))/(LN(2)/2)*GH100*GK100*VLOOKUP('Données projet'!$B$17,Paramètres!$A$1:$I$89,3,0)*0.475*44/12</f>
        <v>0</v>
      </c>
      <c r="GO100" s="21">
        <f t="shared" si="81"/>
        <v>0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7.1782051282051267</v>
      </c>
      <c r="N101" s="13">
        <f>IF('Données projet'!$A$36&gt;35,N100+M101-V100,IF(A101&lt;'Données projet'!$A$36,$K$205^A101,IF(A101='Données projet'!$A$36,'Données projet'!$B$36,N100+M101-V100)))</f>
        <v>311.07179487179519</v>
      </c>
      <c r="O101" s="13">
        <f>N101*VLOOKUP('Données projet'!$B$9,Paramètres!$A$1:$I$89,3,0)*VLOOKUP('Données projet'!$B$9,Paramètres!$A$1:$I$89,5,0)</f>
        <v>281.45776000000029</v>
      </c>
      <c r="P101" s="13">
        <f t="shared" si="87"/>
        <v>67.274982309129754</v>
      </c>
      <c r="Q101" s="20">
        <f t="shared" si="107"/>
        <v>607.37619285506821</v>
      </c>
      <c r="R101" s="59">
        <f t="shared" si="55"/>
        <v>900.70952618840147</v>
      </c>
      <c r="S101" s="59">
        <f ca="1">AVERAGE(OFFSET($R$3,0,0,'Données projet'!$E$9+1,1))-AVERAGE(OFFSET($H$3,0,0,'Données projet'!$E$9+1,1))</f>
        <v>221.7429870520005</v>
      </c>
      <c r="T101" s="59">
        <f t="shared" si="88"/>
        <v>182.2029938397186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0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5.2583333333333373</v>
      </c>
      <c r="AI101" s="13">
        <f>IF('Données projet'!$A$62&gt;35,AI100+AH101-AQ100,IF(A101&lt;'Données projet'!$A$62,$AF$205^A101,IF(A101='Données projet'!$A$62,'Données projet'!$B$62,AI100+AH101-AQ100)))</f>
        <v>208.47756410256383</v>
      </c>
      <c r="AJ101" s="13">
        <f>AI101*VLOOKUP('Données projet'!$B$10,Paramètres!$A$1:$I$89,3,0)*VLOOKUP('Données projet'!$B$10,Paramètres!$A$1:$I$89,5,0)</f>
        <v>188.63049999999973</v>
      </c>
      <c r="AK101" s="13">
        <f t="shared" si="89"/>
        <v>47.237048488890842</v>
      </c>
      <c r="AL101" s="20">
        <f t="shared" si="58"/>
        <v>410.80264695148441</v>
      </c>
      <c r="AM101" s="59">
        <f t="shared" si="59"/>
        <v>704.13598028481772</v>
      </c>
      <c r="AN101" s="59">
        <f ca="1">AVERAGE(OFFSET($AM$3,0,0,'Données projet'!$E$10+1,1))-AVERAGE(OFFSET($H$3,0,0,'Données projet'!$E$10+1,1))</f>
        <v>153.45079678708987</v>
      </c>
      <c r="AO101" s="59">
        <f t="shared" si="90"/>
        <v>115.4217868409637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0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7.5015384615384617</v>
      </c>
      <c r="BD101" s="12">
        <f>IF('Données projet'!$A$88&gt;35,BD100+BC101-BL100,IF(A101&lt;'Données projet'!$A$88,$BA$205^A101,IF(A101='Données projet'!$A$88,'Données projet'!$B$88,BD100+BC101-BL100)))</f>
        <v>257.20461538461564</v>
      </c>
      <c r="BE101" s="13">
        <f>BD101*VLOOKUP('Données projet'!$B$11,Paramètres!$A$1:$I$89,3,0)*VLOOKUP('Données projet'!$B$11,Paramètres!$A$1:$I$89,5,0)</f>
        <v>120.37176000000012</v>
      </c>
      <c r="BF101" s="13">
        <f t="shared" si="91"/>
        <v>31.761690593555869</v>
      </c>
      <c r="BG101" s="20">
        <f t="shared" si="61"/>
        <v>264.96575978377672</v>
      </c>
      <c r="BH101" s="59">
        <f t="shared" si="62"/>
        <v>558.29909311711003</v>
      </c>
      <c r="BI101" s="59">
        <f ca="1">AVERAGE(OFFSET($BH$3,0,0,'Données projet'!$E$11+1,1))-AVERAGE(OFFSET($H$3,0,0,'Données projet'!$E$11+1,1))</f>
        <v>158.58786357608489</v>
      </c>
      <c r="BJ101" s="59">
        <f t="shared" si="92"/>
        <v>163.20074068819849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0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>
        <f>BY101*VLOOKUP('Données projet'!$B$12,Paramètres!$A$1:$I$89,3,0)*VLOOKUP('Données projet'!$B$12,Paramètres!$A$1:$I$89,5,0)</f>
        <v>0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255.41017495879987</v>
      </c>
      <c r="CE101" s="59">
        <f t="shared" si="94"/>
        <v>297.50513563712764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2.170277165102966</v>
      </c>
      <c r="CL101" s="21">
        <f>EXP(-LN(2)/25)*CL100+(1-EXP(-LN(2)/25))/(LN(2)/25)*Calculateur!CG101*Calculateur!CI101*VLOOKUP('Données projet'!$B$12,Paramètres!$A$1:$I$89,3,0)*0.475*44/12</f>
        <v>4.2299313502597515</v>
      </c>
      <c r="CM101" s="21">
        <f>EXP(-LN(2)/2)*CM100+(1-EXP(-LN(2)/2))/(LN(2)/2)*CG101*CJ101*VLOOKUP('Données projet'!$B$12,Paramètres!$A$1:$I$89,3,0)*0.475*44/12</f>
        <v>1.420336259582073E-9</v>
      </c>
      <c r="CN101" s="22">
        <f t="shared" si="66"/>
        <v>6.4002085167830529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4.1123076923076898</v>
      </c>
      <c r="CT101" s="12">
        <f>IF('Données projet'!$A$140&gt;35,CT100+CS101-DB100,IF(A101&lt;'Données projet'!$A$140,$CQ$205^A101,IF(A101='Données projet'!$A$140,'Données projet'!$B$140,CT100+CS101-DB100)))</f>
        <v>314.94461538461525</v>
      </c>
      <c r="CU101" s="17">
        <f>CT101*VLOOKUP('Données projet'!$B$13,Paramètres!$A$1:$I$89,3,0)*VLOOKUP('Données projet'!$B$13,Paramètres!$A$1:$I$89,5,0)</f>
        <v>180.14831999999993</v>
      </c>
      <c r="CV101" s="13">
        <f t="shared" si="95"/>
        <v>45.355183051914281</v>
      </c>
      <c r="CW101" s="20">
        <f t="shared" si="67"/>
        <v>392.75193448208393</v>
      </c>
      <c r="CX101" s="59">
        <f t="shared" si="68"/>
        <v>686.08526781541718</v>
      </c>
      <c r="CY101" s="59">
        <f ca="1">AVERAGE(OFFSET($CX$3,0,0,'Données projet'!$E$13+1,1))-AVERAGE(OFFSET($H$3,0,0,'Données projet'!$E$13+1,1))</f>
        <v>134.70214882504786</v>
      </c>
      <c r="CZ101" s="59">
        <f t="shared" si="96"/>
        <v>102.18553029667771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0.27648660831558247</v>
      </c>
      <c r="DG101" s="21">
        <f>EXP(-LN(2)/25)*DG100+(1-EXP(-LN(2)/25))/(LN(2)/25)*Calculateur!DB101*Calculateur!DD101*VLOOKUP('Données projet'!$B$13,Paramètres!$A$1:$I$89,3,0)*0.475*44/12</f>
        <v>1.9047147867588132</v>
      </c>
      <c r="DH101" s="21">
        <f>EXP(-LN(2)/2)*DH100+(1-EXP(-LN(2)/2))/(LN(2)/2)*DB101*DE101*VLOOKUP('Données projet'!$B$13,Paramètres!$A$1:$I$89,3,0)*0.475*44/12</f>
        <v>4.4854220590912209E-10</v>
      </c>
      <c r="DI101" s="22">
        <f t="shared" si="69"/>
        <v>2.1812013955229377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-2.8421709430404007E-13</v>
      </c>
      <c r="DP101" s="17">
        <f>DO101*VLOOKUP('Données projet'!$B$14,Paramètres!$A$1:$I$89,3,0)*VLOOKUP('Données projet'!$B$14,Paramètres!$A$1:$I$89,5,0)</f>
        <v>-1.69961822393816E-13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179.32848817523677</v>
      </c>
      <c r="DU101" s="59">
        <f t="shared" si="98"/>
        <v>131.3292389103035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</v>
      </c>
      <c r="EB101" s="21">
        <f>EXP(-LN(2)/25)*EB100+(1-EXP(-LN(2)/25))/(LN(2)/25)*Calculateur!DW101*Calculateur!DY101*VLOOKUP('Données projet'!$B$14,Paramètres!$A$1:$I$89,3,0)*0.475*44/12</f>
        <v>2.0003979845231701</v>
      </c>
      <c r="EC101" s="21">
        <f>EXP(-LN(2)/2)*EC100+(1-EXP(-LN(2)/2))/(LN(2)/2)*DW101*DZ101*VLOOKUP('Données projet'!$B$14,Paramètres!$A$1:$I$89,3,0)*0.475*44/12</f>
        <v>3.0633931614257398E-10</v>
      </c>
      <c r="ED101" s="22">
        <f t="shared" si="72"/>
        <v>2.0003979848295095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-2.2737367544323206E-13</v>
      </c>
      <c r="EK101" s="17">
        <f>EJ101*VLOOKUP('Données projet'!$B$15,Paramètres!$A$1:$I$89,3,0)*VLOOKUP('Données projet'!$B$15,Paramètres!$A$1:$I$89,5,0)</f>
        <v>-1.0049916454590858E-13</v>
      </c>
      <c r="EL101" s="13" t="e">
        <f t="shared" si="99"/>
        <v>#NUM!</v>
      </c>
      <c r="EM101" s="20" t="e">
        <f t="shared" si="73"/>
        <v>#NUM!</v>
      </c>
      <c r="EN101" s="59" t="e">
        <f t="shared" si="74"/>
        <v>#NUM!</v>
      </c>
      <c r="EO101" s="59">
        <f ca="1">AVERAGE(OFFSET($EN$3,0,0,'Données projet'!$E$15+1,1))-AVERAGE(OFFSET($H$3,0,0,'Données projet'!$E$15+1,1))</f>
        <v>191.932060106699</v>
      </c>
      <c r="EP101" s="59">
        <f t="shared" si="100"/>
        <v>260.28593152736903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0.63550124319490042</v>
      </c>
      <c r="EW101" s="21">
        <f>EXP(-LN(2)/25)*EW100+(1-EXP(-LN(2)/25))/(LN(2)/25)*Calculateur!ER101*Calculateur!ET101*VLOOKUP('Données projet'!$B$15,Paramètres!$A$1:$I$89,3,0)*0.475*44/12</f>
        <v>1.9153529350176925</v>
      </c>
      <c r="EX101" s="21">
        <f>EXP(-LN(2)/2)*EX100+(1-EXP(-LN(2)/2))/(LN(2)/2)*ER101*EU101*VLOOKUP('Données projet'!$B$15,Paramètres!$A$1:$I$89,3,0)*0.475*44/12</f>
        <v>7.7903740039569656E-11</v>
      </c>
      <c r="EY101" s="22">
        <f t="shared" si="75"/>
        <v>2.5508541782904968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2.9</v>
      </c>
      <c r="FE101" s="12">
        <f>IF('Données projet'!$A$218&gt;35,FE100+FD101-FM100,IF(A101&lt;'Données projet'!$A$218,$FB$205^A101,IF(A101='Données projet'!$A$218,'Données projet'!$B$218,FE100+FD101-FM100)))</f>
        <v>173.20000000000002</v>
      </c>
      <c r="FF101" s="17">
        <f>FE101*VLOOKUP('Données projet'!$B$16,Paramètres!$A$1:$I$89,3,0)*VLOOKUP('Données projet'!$B$16,Paramètres!$A$1:$I$89,5,0)</f>
        <v>167.51904000000002</v>
      </c>
      <c r="FG101" s="13">
        <f t="shared" si="101"/>
        <v>42.533896541761493</v>
      </c>
      <c r="FH101" s="20">
        <f t="shared" si="76"/>
        <v>365.84219781023461</v>
      </c>
      <c r="FI101" s="59">
        <f t="shared" si="77"/>
        <v>659.17553114356792</v>
      </c>
      <c r="FJ101" s="59">
        <f ca="1">AVERAGE(OFFSET($FI$3,0,0,'Données projet'!$E$16+1,1))-AVERAGE(OFFSET($H$3,0,0,'Données projet'!$E$16+1,1))</f>
        <v>102.86738524979938</v>
      </c>
      <c r="FK101" s="59">
        <f t="shared" si="102"/>
        <v>56.347130462109817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0</v>
      </c>
      <c r="FR101" s="21">
        <f>EXP(-LN(2)/25)*FR100+(1-EXP(-LN(2)/25))/(LN(2)/25)*Calculateur!FM101*Calculateur!FO101*VLOOKUP('Données projet'!$B$16,Paramètres!$A$1:$I$89,3,0)*0.475*44/12</f>
        <v>0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0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5.8</v>
      </c>
      <c r="FZ101" s="12">
        <f>IF('Données projet'!$A$244&gt;35,FZ100+FY101-GH100,IF(A101&lt;'Données projet'!$A$244,$FW$205^A101,IF(A101='Données projet'!$A$244,'Données projet'!$B$244,FZ100+FY101-GH100)))</f>
        <v>309.40000000000032</v>
      </c>
      <c r="GA101" s="17">
        <f>FZ101*VLOOKUP('Données projet'!$B$17,Paramètres!$A$1:$I$89,3,0)*VLOOKUP('Données projet'!$B$17,Paramètres!$A$1:$I$89,5,0)</f>
        <v>207.54552000000024</v>
      </c>
      <c r="GB101" s="13">
        <f t="shared" si="103"/>
        <v>51.398853609432273</v>
      </c>
      <c r="GC101" s="20">
        <f t="shared" si="79"/>
        <v>450.9947840364282</v>
      </c>
      <c r="GD101" s="59">
        <f t="shared" si="80"/>
        <v>744.32811736976146</v>
      </c>
      <c r="GE101" s="59">
        <f ca="1">AVERAGE(OFFSET($GD$3,0,0,'Données projet'!$E$17+1,1))-AVERAGE(OFFSET($H$3,0,0,'Données projet'!$E$17+1,1))</f>
        <v>168.00454652899231</v>
      </c>
      <c r="GF101" s="59">
        <f t="shared" si="104"/>
        <v>135.31958994080446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0</v>
      </c>
      <c r="GM101" s="21">
        <f>EXP(-LN(2)/25)*GM100+(1-EXP(-LN(2)/25))/(LN(2)/25)*Calculateur!GH101*Calculateur!GJ101*VLOOKUP('Données projet'!$B$17,Paramètres!$A$1:$I$89,3,0)*0.475*44/12</f>
        <v>0</v>
      </c>
      <c r="GN101" s="21">
        <f>EXP(-LN(2)/2)*GN100+(1-EXP(-LN(2)/2))/(LN(2)/2)*GH101*GK101*VLOOKUP('Données projet'!$B$17,Paramètres!$A$1:$I$89,3,0)*0.475*44/12</f>
        <v>0</v>
      </c>
      <c r="GO101" s="21">
        <f t="shared" si="81"/>
        <v>0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>
        <f>VLOOKUP(A102,'Données projet'!$A$35:$I$55,2,0)</f>
        <v>318.25</v>
      </c>
      <c r="L102" s="12">
        <f>VLOOKUP(A102,'Données projet'!$A$35:$I$55,9,0)</f>
        <v>7.1782051282051267</v>
      </c>
      <c r="M102" s="12">
        <f t="array" ref="M102">INDEX(L:L,MIN(IF(ISNUMBER(L102:L298),ROW(L102:L298),"")))</f>
        <v>7.1782051282051267</v>
      </c>
      <c r="N102" s="13">
        <f>IF('Données projet'!$A$36&gt;35,N101+M102-V101,IF(A102&lt;'Données projet'!$A$36,$K$205^A102,IF(A102='Données projet'!$A$36,'Données projet'!$B$36,N101+M102-V101)))</f>
        <v>318.25000000000034</v>
      </c>
      <c r="O102" s="13">
        <f>N102*VLOOKUP('Données projet'!$B$9,Paramètres!$A$1:$I$89,3,0)*VLOOKUP('Données projet'!$B$9,Paramètres!$A$1:$I$89,5,0)</f>
        <v>287.9526000000003</v>
      </c>
      <c r="P102" s="13">
        <f t="shared" si="87"/>
        <v>68.644872738917243</v>
      </c>
      <c r="Q102" s="20">
        <f t="shared" si="107"/>
        <v>621.07393168694807</v>
      </c>
      <c r="R102" s="59">
        <f t="shared" si="55"/>
        <v>914.40726502028133</v>
      </c>
      <c r="S102" s="59">
        <f ca="1">AVERAGE(OFFSET($R$3,0,0,'Données projet'!$E$9+1,1))-AVERAGE(OFFSET($H$3,0,0,'Données projet'!$E$9+1,1))</f>
        <v>221.7429870520005</v>
      </c>
      <c r="T102" s="59">
        <f t="shared" si="88"/>
        <v>182.2029938397186</v>
      </c>
      <c r="U102" s="15">
        <f>IF(ISNA(VLOOKUP(A102,'Données projet'!$A$35:$I$55,3,0)),0,VLOOKUP(A102,'Données projet'!$A$35:$I$55,3,0))</f>
        <v>9</v>
      </c>
      <c r="V102" s="15">
        <f>IF(ISNA(VLOOKUP(A102,'Données projet'!$A$35:$I$55,4,0)),0,VLOOKUP(A102,'Données projet'!$A$35:$I$55,4,0))</f>
        <v>48.019230769230766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0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5.2583333333333373</v>
      </c>
      <c r="AI102" s="13">
        <f>IF('Données projet'!$A$62&gt;35,AI101+AH102-AQ101,IF(A102&lt;'Données projet'!$A$62,$AF$205^A102,IF(A102='Données projet'!$A$62,'Données projet'!$B$62,AI101+AH102-AQ101)))</f>
        <v>213.73589743589716</v>
      </c>
      <c r="AJ102" s="13">
        <f>AI102*VLOOKUP('Données projet'!$B$10,Paramètres!$A$1:$I$89,3,0)*VLOOKUP('Données projet'!$B$10,Paramètres!$A$1:$I$89,5,0)</f>
        <v>193.38823999999974</v>
      </c>
      <c r="AK102" s="13">
        <f t="shared" si="89"/>
        <v>48.288272258589146</v>
      </c>
      <c r="AL102" s="20">
        <f t="shared" si="58"/>
        <v>420.91992551704237</v>
      </c>
      <c r="AM102" s="59">
        <f t="shared" si="59"/>
        <v>714.25325885037569</v>
      </c>
      <c r="AN102" s="59">
        <f ca="1">AVERAGE(OFFSET($AM$3,0,0,'Données projet'!$E$10+1,1))-AVERAGE(OFFSET($H$3,0,0,'Données projet'!$E$10+1,1))</f>
        <v>153.45079678708987</v>
      </c>
      <c r="AO102" s="59">
        <f t="shared" si="90"/>
        <v>115.4217868409637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0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7.5015384615384617</v>
      </c>
      <c r="BD102" s="12">
        <f>IF('Données projet'!$A$88&gt;35,BD101+BC102-BL101,IF(A102&lt;'Données projet'!$A$88,$BA$205^A102,IF(A102='Données projet'!$A$88,'Données projet'!$B$88,BD101+BC102-BL101)))</f>
        <v>264.70615384615411</v>
      </c>
      <c r="BE102" s="13">
        <f>BD102*VLOOKUP('Données projet'!$B$11,Paramètres!$A$1:$I$89,3,0)*VLOOKUP('Données projet'!$B$11,Paramètres!$A$1:$I$89,5,0)</f>
        <v>123.88248000000011</v>
      </c>
      <c r="BF102" s="13">
        <f t="shared" si="91"/>
        <v>32.578839075986679</v>
      </c>
      <c r="BG102" s="20">
        <f t="shared" si="61"/>
        <v>272.50346405734365</v>
      </c>
      <c r="BH102" s="59">
        <f t="shared" si="62"/>
        <v>565.83679739067702</v>
      </c>
      <c r="BI102" s="59">
        <f ca="1">AVERAGE(OFFSET($BH$3,0,0,'Données projet'!$E$11+1,1))-AVERAGE(OFFSET($H$3,0,0,'Données projet'!$E$11+1,1))</f>
        <v>158.58786357608489</v>
      </c>
      <c r="BJ102" s="59">
        <f t="shared" si="92"/>
        <v>163.20074068819849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0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>
        <f>BY102*VLOOKUP('Données projet'!$B$12,Paramètres!$A$1:$I$89,3,0)*VLOOKUP('Données projet'!$B$12,Paramètres!$A$1:$I$89,5,0)</f>
        <v>0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255.41017495879987</v>
      </c>
      <c r="CE102" s="59">
        <f t="shared" si="94"/>
        <v>297.50513563712764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2.1277193536336592</v>
      </c>
      <c r="CL102" s="21">
        <f>EXP(-LN(2)/25)*CL101+(1-EXP(-LN(2)/25))/(LN(2)/25)*Calculateur!CG102*Calculateur!CI102*VLOOKUP('Données projet'!$B$12,Paramètres!$A$1:$I$89,3,0)*0.475*44/12</f>
        <v>4.1142636550444767</v>
      </c>
      <c r="CM102" s="21">
        <f>EXP(-LN(2)/2)*CM101+(1-EXP(-LN(2)/2))/(LN(2)/2)*CG102*CJ102*VLOOKUP('Données projet'!$B$12,Paramètres!$A$1:$I$89,3,0)*0.475*44/12</f>
        <v>1.0043294007156202E-9</v>
      </c>
      <c r="CN102" s="22">
        <f t="shared" si="66"/>
        <v>6.2419830096824649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4.1123076923076898</v>
      </c>
      <c r="CT102" s="12">
        <f>IF('Données projet'!$A$140&gt;35,CT101+CS102-DB101,IF(A102&lt;'Données projet'!$A$140,$CQ$205^A102,IF(A102='Données projet'!$A$140,'Données projet'!$B$140,CT101+CS102-DB101)))</f>
        <v>319.05692307692294</v>
      </c>
      <c r="CU102" s="17">
        <f>CT102*VLOOKUP('Données projet'!$B$13,Paramètres!$A$1:$I$89,3,0)*VLOOKUP('Données projet'!$B$13,Paramètres!$A$1:$I$89,5,0)</f>
        <v>182.50055999999995</v>
      </c>
      <c r="CV102" s="13">
        <f t="shared" si="95"/>
        <v>45.87806720522542</v>
      </c>
      <c r="CW102" s="20">
        <f t="shared" si="67"/>
        <v>397.7594423824342</v>
      </c>
      <c r="CX102" s="59">
        <f t="shared" si="68"/>
        <v>691.09277571576752</v>
      </c>
      <c r="CY102" s="59">
        <f ca="1">AVERAGE(OFFSET($CX$3,0,0,'Données projet'!$E$13+1,1))-AVERAGE(OFFSET($H$3,0,0,'Données projet'!$E$13+1,1))</f>
        <v>134.70214882504786</v>
      </c>
      <c r="CZ102" s="59">
        <f t="shared" si="96"/>
        <v>102.18553029667771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0.27106487456669315</v>
      </c>
      <c r="DG102" s="21">
        <f>EXP(-LN(2)/25)*DG101+(1-EXP(-LN(2)/25))/(LN(2)/25)*Calculateur!DB102*Calculateur!DD102*VLOOKUP('Données projet'!$B$13,Paramètres!$A$1:$I$89,3,0)*0.475*44/12</f>
        <v>1.852630260750296</v>
      </c>
      <c r="DH102" s="21">
        <f>EXP(-LN(2)/2)*DH101+(1-EXP(-LN(2)/2))/(LN(2)/2)*DB102*DE102*VLOOKUP('Données projet'!$B$13,Paramètres!$A$1:$I$89,3,0)*0.475*44/12</f>
        <v>3.1716723544671293E-10</v>
      </c>
      <c r="DI102" s="22">
        <f t="shared" si="69"/>
        <v>2.1236951356341565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-2.8421709430404007E-13</v>
      </c>
      <c r="DP102" s="17">
        <f>DO102*VLOOKUP('Données projet'!$B$14,Paramètres!$A$1:$I$89,3,0)*VLOOKUP('Données projet'!$B$14,Paramètres!$A$1:$I$89,5,0)</f>
        <v>-1.69961822393816E-13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179.32848817523677</v>
      </c>
      <c r="DU102" s="59">
        <f t="shared" si="98"/>
        <v>131.3292389103035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</v>
      </c>
      <c r="EB102" s="21">
        <f>EXP(-LN(2)/25)*EB101+(1-EXP(-LN(2)/25))/(LN(2)/25)*Calculateur!DW102*Calculateur!DY102*VLOOKUP('Données projet'!$B$14,Paramètres!$A$1:$I$89,3,0)*0.475*44/12</f>
        <v>1.9456969964400259</v>
      </c>
      <c r="EC102" s="21">
        <f>EXP(-LN(2)/2)*EC101+(1-EXP(-LN(2)/2))/(LN(2)/2)*DW102*DZ102*VLOOKUP('Données projet'!$B$14,Paramètres!$A$1:$I$89,3,0)*0.475*44/12</f>
        <v>2.1661460778846367E-10</v>
      </c>
      <c r="ED102" s="22">
        <f t="shared" si="72"/>
        <v>1.9456969966566404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-2.2737367544323206E-13</v>
      </c>
      <c r="EK102" s="17">
        <f>EJ102*VLOOKUP('Données projet'!$B$15,Paramètres!$A$1:$I$89,3,0)*VLOOKUP('Données projet'!$B$15,Paramètres!$A$1:$I$89,5,0)</f>
        <v>-1.0049916454590858E-13</v>
      </c>
      <c r="EL102" s="13" t="e">
        <f t="shared" si="99"/>
        <v>#NUM!</v>
      </c>
      <c r="EM102" s="20" t="e">
        <f t="shared" si="73"/>
        <v>#NUM!</v>
      </c>
      <c r="EN102" s="59" t="e">
        <f t="shared" si="74"/>
        <v>#NUM!</v>
      </c>
      <c r="EO102" s="59">
        <f ca="1">AVERAGE(OFFSET($EN$3,0,0,'Données projet'!$E$15+1,1))-AVERAGE(OFFSET($H$3,0,0,'Données projet'!$E$15+1,1))</f>
        <v>191.932060106699</v>
      </c>
      <c r="EP102" s="59">
        <f t="shared" si="100"/>
        <v>260.28593152736903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0.62303945143333272</v>
      </c>
      <c r="EW102" s="21">
        <f>EXP(-LN(2)/25)*EW101+(1-EXP(-LN(2)/25))/(LN(2)/25)*Calculateur!ER102*Calculateur!ET102*VLOOKUP('Données projet'!$B$15,Paramètres!$A$1:$I$89,3,0)*0.475*44/12</f>
        <v>1.8629775082856004</v>
      </c>
      <c r="EX102" s="21">
        <f>EXP(-LN(2)/2)*EX101+(1-EXP(-LN(2)/2))/(LN(2)/2)*ER102*EU102*VLOOKUP('Données projet'!$B$15,Paramètres!$A$1:$I$89,3,0)*0.475*44/12</f>
        <v>5.5086262861773662E-11</v>
      </c>
      <c r="EY102" s="22">
        <f t="shared" si="75"/>
        <v>2.4860169597740192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2.9</v>
      </c>
      <c r="FE102" s="12">
        <f>IF('Données projet'!$A$218&gt;35,FE101+FD102-FM101,IF(A102&lt;'Données projet'!$A$218,$FB$205^A102,IF(A102='Données projet'!$A$218,'Données projet'!$B$218,FE101+FD102-FM101)))</f>
        <v>176.10000000000002</v>
      </c>
      <c r="FF102" s="17">
        <f>FE102*VLOOKUP('Données projet'!$B$16,Paramètres!$A$1:$I$89,3,0)*VLOOKUP('Données projet'!$B$16,Paramètres!$A$1:$I$89,5,0)</f>
        <v>170.32392000000004</v>
      </c>
      <c r="FG102" s="13">
        <f t="shared" si="101"/>
        <v>43.162562850471744</v>
      </c>
      <c r="FH102" s="20">
        <f t="shared" si="76"/>
        <v>371.82229096457166</v>
      </c>
      <c r="FI102" s="59">
        <f t="shared" si="77"/>
        <v>665.15562429790498</v>
      </c>
      <c r="FJ102" s="59">
        <f ca="1">AVERAGE(OFFSET($FI$3,0,0,'Données projet'!$E$16+1,1))-AVERAGE(OFFSET($H$3,0,0,'Données projet'!$E$16+1,1))</f>
        <v>102.86738524979938</v>
      </c>
      <c r="FK102" s="59">
        <f t="shared" si="102"/>
        <v>56.347130462109817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0</v>
      </c>
      <c r="FR102" s="21">
        <f>EXP(-LN(2)/25)*FR101+(1-EXP(-LN(2)/25))/(LN(2)/25)*Calculateur!FM102*Calculateur!FO102*VLOOKUP('Données projet'!$B$16,Paramètres!$A$1:$I$89,3,0)*0.475*44/12</f>
        <v>0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0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5.8</v>
      </c>
      <c r="FZ102" s="12">
        <f>IF('Données projet'!$A$244&gt;35,FZ101+FY102-GH101,IF(A102&lt;'Données projet'!$A$244,$FW$205^A102,IF(A102='Données projet'!$A$244,'Données projet'!$B$244,FZ101+FY102-GH101)))</f>
        <v>315.20000000000033</v>
      </c>
      <c r="GA102" s="17">
        <f>FZ102*VLOOKUP('Données projet'!$B$17,Paramètres!$A$1:$I$89,3,0)*VLOOKUP('Données projet'!$B$17,Paramètres!$A$1:$I$89,5,0)</f>
        <v>211.43616000000023</v>
      </c>
      <c r="GB102" s="13">
        <f t="shared" si="103"/>
        <v>52.249298194410336</v>
      </c>
      <c r="GC102" s="20">
        <f t="shared" si="79"/>
        <v>459.2521730219317</v>
      </c>
      <c r="GD102" s="59">
        <f t="shared" si="80"/>
        <v>752.58550635526501</v>
      </c>
      <c r="GE102" s="59">
        <f ca="1">AVERAGE(OFFSET($GD$3,0,0,'Données projet'!$E$17+1,1))-AVERAGE(OFFSET($H$3,0,0,'Données projet'!$E$17+1,1))</f>
        <v>168.00454652899231</v>
      </c>
      <c r="GF102" s="59">
        <f t="shared" si="104"/>
        <v>135.31958994080446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0</v>
      </c>
      <c r="GM102" s="21">
        <f>EXP(-LN(2)/25)*GM101+(1-EXP(-LN(2)/25))/(LN(2)/25)*Calculateur!GH102*Calculateur!GJ102*VLOOKUP('Données projet'!$B$17,Paramètres!$A$1:$I$89,3,0)*0.475*44/12</f>
        <v>0</v>
      </c>
      <c r="GN102" s="21">
        <f>EXP(-LN(2)/2)*GN101+(1-EXP(-LN(2)/2))/(LN(2)/2)*GH102*GK102*VLOOKUP('Données projet'!$B$17,Paramètres!$A$1:$I$89,3,0)*0.475*44/12</f>
        <v>0</v>
      </c>
      <c r="GO102" s="21">
        <f t="shared" si="81"/>
        <v>0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6.9935897435897401</v>
      </c>
      <c r="N103" s="13">
        <f>IF('Données projet'!$A$36&gt;35,N102+M103-V102,IF(A103&lt;'Données projet'!$A$36,$K$205^A103,IF(A103='Données projet'!$A$36,'Données projet'!$B$36,N102+M103-V102)))</f>
        <v>277.22435897435929</v>
      </c>
      <c r="O103" s="13">
        <f>N103*VLOOKUP('Données projet'!$B$9,Paramètres!$A$1:$I$89,3,0)*VLOOKUP('Données projet'!$B$9,Paramètres!$A$1:$I$89,5,0)</f>
        <v>250.8326000000003</v>
      </c>
      <c r="P103" s="13">
        <f t="shared" si="87"/>
        <v>60.764195096344402</v>
      </c>
      <c r="Q103" s="20">
        <f t="shared" si="107"/>
        <v>542.69775145946699</v>
      </c>
      <c r="R103" s="59">
        <f t="shared" si="55"/>
        <v>836.03108479280036</v>
      </c>
      <c r="S103" s="59">
        <f ca="1">AVERAGE(OFFSET($R$3,0,0,'Données projet'!$E$9+1,1))-AVERAGE(OFFSET($H$3,0,0,'Données projet'!$E$9+1,1))</f>
        <v>221.7429870520005</v>
      </c>
      <c r="T103" s="59">
        <f t="shared" si="88"/>
        <v>182.2029938397186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0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5.2583333333333373</v>
      </c>
      <c r="AI103" s="13">
        <f>IF('Données projet'!$A$62&gt;35,AI102+AH103-AQ102,IF(A103&lt;'Données projet'!$A$62,$AF$205^A103,IF(A103='Données projet'!$A$62,'Données projet'!$B$62,AI102+AH103-AQ102)))</f>
        <v>218.99423076923048</v>
      </c>
      <c r="AJ103" s="13">
        <f>AI103*VLOOKUP('Données projet'!$B$10,Paramètres!$A$1:$I$89,3,0)*VLOOKUP('Données projet'!$B$10,Paramètres!$A$1:$I$89,5,0)</f>
        <v>198.14597999999972</v>
      </c>
      <c r="AK103" s="13">
        <f t="shared" si="89"/>
        <v>49.336489651503598</v>
      </c>
      <c r="AL103" s="20">
        <f t="shared" si="58"/>
        <v>431.03196797636821</v>
      </c>
      <c r="AM103" s="59">
        <f t="shared" si="59"/>
        <v>724.36530130970152</v>
      </c>
      <c r="AN103" s="59">
        <f ca="1">AVERAGE(OFFSET($AM$3,0,0,'Données projet'!$E$10+1,1))-AVERAGE(OFFSET($H$3,0,0,'Données projet'!$E$10+1,1))</f>
        <v>153.45079678708987</v>
      </c>
      <c r="AO103" s="59">
        <f t="shared" si="90"/>
        <v>115.4217868409637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0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7.5015384615384617</v>
      </c>
      <c r="BD103" s="12">
        <f>IF('Données projet'!$A$88&gt;35,BD102+BC103-BL102,IF(A103&lt;'Données projet'!$A$88,$BA$205^A103,IF(A103='Données projet'!$A$88,'Données projet'!$B$88,BD102+BC103-BL102)))</f>
        <v>272.20769230769258</v>
      </c>
      <c r="BE103" s="13">
        <f>BD103*VLOOKUP('Données projet'!$B$11,Paramètres!$A$1:$I$89,3,0)*VLOOKUP('Données projet'!$B$11,Paramètres!$A$1:$I$89,5,0)</f>
        <v>127.39320000000012</v>
      </c>
      <c r="BF103" s="13">
        <f t="shared" si="91"/>
        <v>33.393296112922592</v>
      </c>
      <c r="BG103" s="20">
        <f t="shared" si="61"/>
        <v>280.03648073000704</v>
      </c>
      <c r="BH103" s="59">
        <f t="shared" si="62"/>
        <v>573.3698140633403</v>
      </c>
      <c r="BI103" s="59">
        <f ca="1">AVERAGE(OFFSET($BH$3,0,0,'Données projet'!$E$11+1,1))-AVERAGE(OFFSET($H$3,0,0,'Données projet'!$E$11+1,1))</f>
        <v>158.58786357608489</v>
      </c>
      <c r="BJ103" s="59">
        <f t="shared" si="92"/>
        <v>163.20074068819849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0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>
        <f>BY103*VLOOKUP('Données projet'!$B$12,Paramètres!$A$1:$I$89,3,0)*VLOOKUP('Données projet'!$B$12,Paramètres!$A$1:$I$89,5,0)</f>
        <v>0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255.41017495879987</v>
      </c>
      <c r="CE103" s="59">
        <f t="shared" si="94"/>
        <v>297.50513563712764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2.0859960748895636</v>
      </c>
      <c r="CL103" s="21">
        <f>EXP(-LN(2)/25)*CL102+(1-EXP(-LN(2)/25))/(LN(2)/25)*Calculateur!CG103*Calculateur!CI103*VLOOKUP('Données projet'!$B$12,Paramètres!$A$1:$I$89,3,0)*0.475*44/12</f>
        <v>4.0017588990375632</v>
      </c>
      <c r="CM103" s="21">
        <f>EXP(-LN(2)/2)*CM102+(1-EXP(-LN(2)/2))/(LN(2)/2)*CG103*CJ103*VLOOKUP('Données projet'!$B$12,Paramètres!$A$1:$I$89,3,0)*0.475*44/12</f>
        <v>7.1016812979103648E-10</v>
      </c>
      <c r="CN103" s="22">
        <f t="shared" si="66"/>
        <v>6.0877549746372948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323.16923076923075</v>
      </c>
      <c r="CR103" s="12">
        <f>VLOOKUP(A103,'Données projet'!$A$139:$I$159,9,0)</f>
        <v>4.1123076923076898</v>
      </c>
      <c r="CS103" s="12">
        <f t="array" ref="CS103">INDEX(CR:CR,MIN(IF(ISNUMBER(CR103:CR299),ROW(CR103:CR299),"")))</f>
        <v>4.1123076923076898</v>
      </c>
      <c r="CT103" s="12">
        <f>IF('Données projet'!$A$140&gt;35,CT102+CS103-DB102,IF(A103&lt;'Données projet'!$A$140,$CQ$205^A103,IF(A103='Données projet'!$A$140,'Données projet'!$B$140,CT102+CS103-DB102)))</f>
        <v>323.16923076923064</v>
      </c>
      <c r="CU103" s="17">
        <f>CT103*VLOOKUP('Données projet'!$B$13,Paramètres!$A$1:$I$89,3,0)*VLOOKUP('Données projet'!$B$13,Paramètres!$A$1:$I$89,5,0)</f>
        <v>184.85279999999992</v>
      </c>
      <c r="CV103" s="13">
        <f t="shared" si="95"/>
        <v>46.400167454562755</v>
      </c>
      <c r="CW103" s="20">
        <f t="shared" si="67"/>
        <v>402.76558498336334</v>
      </c>
      <c r="CX103" s="59">
        <f t="shared" si="68"/>
        <v>696.09891831669665</v>
      </c>
      <c r="CY103" s="59">
        <f ca="1">AVERAGE(OFFSET($CX$3,0,0,'Données projet'!$E$13+1,1))-AVERAGE(OFFSET($H$3,0,0,'Données projet'!$E$13+1,1))</f>
        <v>134.70214882504786</v>
      </c>
      <c r="CZ103" s="59">
        <f t="shared" si="96"/>
        <v>102.18553029667771</v>
      </c>
      <c r="DA103" s="15">
        <f>IF(ISNA(VLOOKUP(A103,'Données projet'!$A$139:$I$159,3,0)),0,VLOOKUP(A103,'Données projet'!$A$139:$I$159,3,0))</f>
        <v>10</v>
      </c>
      <c r="DB103" s="15">
        <f>IF(ISNA(VLOOKUP(A103,'Données projet'!$A$139:$I$159,4,0)),0,VLOOKUP(A103,'Données projet'!$A$139:$I$159,4,0))</f>
        <v>190.88461538461539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0.2657494577096885</v>
      </c>
      <c r="DG103" s="21">
        <f>EXP(-LN(2)/25)*DG102+(1-EXP(-LN(2)/25))/(LN(2)/25)*Calculateur!DB103*Calculateur!DD103*VLOOKUP('Données projet'!$B$13,Paramètres!$A$1:$I$89,3,0)*0.475*44/12</f>
        <v>1.801969988844488</v>
      </c>
      <c r="DH103" s="21">
        <f>EXP(-LN(2)/2)*DH102+(1-EXP(-LN(2)/2))/(LN(2)/2)*DB103*DE103*VLOOKUP('Données projet'!$B$13,Paramètres!$A$1:$I$89,3,0)*0.475*44/12</f>
        <v>2.2427110295456104E-10</v>
      </c>
      <c r="DI103" s="22">
        <f t="shared" si="69"/>
        <v>2.0677194467784479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-2.8421709430404007E-13</v>
      </c>
      <c r="DP103" s="17">
        <f>DO103*VLOOKUP('Données projet'!$B$14,Paramètres!$A$1:$I$89,3,0)*VLOOKUP('Données projet'!$B$14,Paramètres!$A$1:$I$89,5,0)</f>
        <v>-1.69961822393816E-13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179.32848817523677</v>
      </c>
      <c r="DU103" s="59">
        <f t="shared" si="98"/>
        <v>131.3292389103035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</v>
      </c>
      <c r="EB103" s="21">
        <f>EXP(-LN(2)/25)*EB102+(1-EXP(-LN(2)/25))/(LN(2)/25)*Calculateur!DW103*Calculateur!DY103*VLOOKUP('Données projet'!$B$14,Paramètres!$A$1:$I$89,3,0)*0.475*44/12</f>
        <v>1.8924918097526153</v>
      </c>
      <c r="EC103" s="21">
        <f>EXP(-LN(2)/2)*EC102+(1-EXP(-LN(2)/2))/(LN(2)/2)*DW103*DZ103*VLOOKUP('Données projet'!$B$14,Paramètres!$A$1:$I$89,3,0)*0.475*44/12</f>
        <v>1.5316965807128699E-10</v>
      </c>
      <c r="ED103" s="22">
        <f t="shared" si="72"/>
        <v>1.892491809905785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-2.2737367544323206E-13</v>
      </c>
      <c r="EK103" s="17">
        <f>EJ103*VLOOKUP('Données projet'!$B$15,Paramètres!$A$1:$I$89,3,0)*VLOOKUP('Données projet'!$B$15,Paramètres!$A$1:$I$89,5,0)</f>
        <v>-1.0049916454590858E-13</v>
      </c>
      <c r="EL103" s="13" t="e">
        <f t="shared" si="99"/>
        <v>#NUM!</v>
      </c>
      <c r="EM103" s="20" t="e">
        <f t="shared" si="73"/>
        <v>#NUM!</v>
      </c>
      <c r="EN103" s="59" t="e">
        <f t="shared" si="74"/>
        <v>#NUM!</v>
      </c>
      <c r="EO103" s="59">
        <f ca="1">AVERAGE(OFFSET($EN$3,0,0,'Données projet'!$E$15+1,1))-AVERAGE(OFFSET($H$3,0,0,'Données projet'!$E$15+1,1))</f>
        <v>191.932060106699</v>
      </c>
      <c r="EP103" s="59">
        <f t="shared" si="100"/>
        <v>260.28593152736903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0.61082202780726691</v>
      </c>
      <c r="EW103" s="21">
        <f>EXP(-LN(2)/25)*EW102+(1-EXP(-LN(2)/25))/(LN(2)/25)*Calculateur!ER103*Calculateur!ET103*VLOOKUP('Données projet'!$B$15,Paramètres!$A$1:$I$89,3,0)*0.475*44/12</f>
        <v>1.8120342903518014</v>
      </c>
      <c r="EX103" s="21">
        <f>EXP(-LN(2)/2)*EX102+(1-EXP(-LN(2)/2))/(LN(2)/2)*ER103*EU103*VLOOKUP('Données projet'!$B$15,Paramètres!$A$1:$I$89,3,0)*0.475*44/12</f>
        <v>3.8951870019784828E-11</v>
      </c>
      <c r="EY103" s="22">
        <f t="shared" si="75"/>
        <v>2.4228563181980203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>
        <f>VLOOKUP(A103,'Données projet'!$A$217:$I$237,2,0)</f>
        <v>179</v>
      </c>
      <c r="FC103" s="12">
        <f>VLOOKUP(A103,'Données projet'!$A$217:$I$237,9,0)</f>
        <v>2.9</v>
      </c>
      <c r="FD103" s="12">
        <f t="array" ref="FD103">INDEX(FC:FC,MIN(IF(ISNUMBER(FC103:FC299),ROW(FC103:FC299),"")))</f>
        <v>2.9</v>
      </c>
      <c r="FE103" s="12">
        <f>IF('Données projet'!$A$218&gt;35,FE102+FD103-FM102,IF(A103&lt;'Données projet'!$A$218,$FB$205^A103,IF(A103='Données projet'!$A$218,'Données projet'!$B$218,FE102+FD103-FM102)))</f>
        <v>179.00000000000003</v>
      </c>
      <c r="FF103" s="17">
        <f>FE103*VLOOKUP('Données projet'!$B$16,Paramètres!$A$1:$I$89,3,0)*VLOOKUP('Données projet'!$B$16,Paramètres!$A$1:$I$89,5,0)</f>
        <v>173.12880000000004</v>
      </c>
      <c r="FG103" s="13">
        <f t="shared" si="101"/>
        <v>43.790025187181634</v>
      </c>
      <c r="FH103" s="20">
        <f t="shared" si="76"/>
        <v>377.80028720100813</v>
      </c>
      <c r="FI103" s="59">
        <f t="shared" si="77"/>
        <v>671.13362053434139</v>
      </c>
      <c r="FJ103" s="59">
        <f ca="1">AVERAGE(OFFSET($FI$3,0,0,'Données projet'!$E$16+1,1))-AVERAGE(OFFSET($H$3,0,0,'Données projet'!$E$16+1,1))</f>
        <v>102.86738524979938</v>
      </c>
      <c r="FK103" s="59">
        <f t="shared" si="102"/>
        <v>56.347130462109817</v>
      </c>
      <c r="FL103" s="15">
        <f>IF(ISNA(VLOOKUP(A103,'Données projet'!$A$217:$I$237,3,0)),0,VLOOKUP(A103,'Données projet'!$A$217:$I$237,3,0))</f>
        <v>8</v>
      </c>
      <c r="FM103" s="15">
        <f>IF(ISNA(VLOOKUP(A103,'Données projet'!$A$217:$I$237,4,0)),0,VLOOKUP(A103,'Données projet'!$A$217:$I$237,4,0))</f>
        <v>18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0</v>
      </c>
      <c r="FR103" s="21">
        <f>EXP(-LN(2)/25)*FR102+(1-EXP(-LN(2)/25))/(LN(2)/25)*Calculateur!FM103*Calculateur!FO103*VLOOKUP('Données projet'!$B$16,Paramètres!$A$1:$I$89,3,0)*0.475*44/12</f>
        <v>0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0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>
        <f>VLOOKUP(A103,'Données projet'!$A$243:$I$263,2,0)</f>
        <v>321</v>
      </c>
      <c r="FX103" s="12">
        <f>VLOOKUP(A103,'Données projet'!$A$243:$I$263,9,0)</f>
        <v>5.8</v>
      </c>
      <c r="FY103" s="12">
        <f t="array" ref="FY103">INDEX(FX:FX,MIN(IF(ISNUMBER(FX103:FX299),ROW(FX103:FX299),"")))</f>
        <v>5.8</v>
      </c>
      <c r="FZ103" s="12">
        <f>IF('Données projet'!$A$244&gt;35,FZ102+FY103-GH102,IF(A103&lt;'Données projet'!$A$244,$FW$205^A103,IF(A103='Données projet'!$A$244,'Données projet'!$B$244,FZ102+FY103-GH102)))</f>
        <v>321.00000000000034</v>
      </c>
      <c r="GA103" s="17">
        <f>FZ103*VLOOKUP('Données projet'!$B$17,Paramètres!$A$1:$I$89,3,0)*VLOOKUP('Données projet'!$B$17,Paramètres!$A$1:$I$89,5,0)</f>
        <v>215.32680000000022</v>
      </c>
      <c r="GB103" s="13">
        <f t="shared" si="103"/>
        <v>53.097923071509825</v>
      </c>
      <c r="GC103" s="20">
        <f t="shared" si="79"/>
        <v>467.50639268287995</v>
      </c>
      <c r="GD103" s="59">
        <f t="shared" si="80"/>
        <v>760.83972601621326</v>
      </c>
      <c r="GE103" s="59">
        <f ca="1">AVERAGE(OFFSET($GD$3,0,0,'Données projet'!$E$17+1,1))-AVERAGE(OFFSET($H$3,0,0,'Données projet'!$E$17+1,1))</f>
        <v>168.00454652899231</v>
      </c>
      <c r="GF103" s="59">
        <f t="shared" si="104"/>
        <v>135.31958994080446</v>
      </c>
      <c r="GG103" s="15">
        <f>IF(ISNA(VLOOKUP(A103,'Données projet'!$A$243:$I$263,3,0)),0,VLOOKUP(A103,'Données projet'!$A$243:$I$263,3,0))</f>
        <v>9</v>
      </c>
      <c r="GH103" s="15">
        <f>IF(ISNA(VLOOKUP(A103,'Données projet'!$A$243:$I$263,4,0)),0,VLOOKUP(A103,'Données projet'!$A$243:$I$263,4,0))</f>
        <v>43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0</v>
      </c>
      <c r="GM103" s="21">
        <f>EXP(-LN(2)/25)*GM102+(1-EXP(-LN(2)/25))/(LN(2)/25)*Calculateur!GH103*Calculateur!GJ103*VLOOKUP('Données projet'!$B$17,Paramètres!$A$1:$I$89,3,0)*0.475*44/12</f>
        <v>0</v>
      </c>
      <c r="GN103" s="21">
        <f>EXP(-LN(2)/2)*GN102+(1-EXP(-LN(2)/2))/(LN(2)/2)*GH103*GK103*VLOOKUP('Données projet'!$B$17,Paramètres!$A$1:$I$89,3,0)*0.475*44/12</f>
        <v>0</v>
      </c>
      <c r="GO103" s="21">
        <f t="shared" si="81"/>
        <v>0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6.9935897435897401</v>
      </c>
      <c r="N104" s="13">
        <f>IF('Données projet'!$A$36&gt;35,N103+M104-V103,IF(A104&lt;'Données projet'!$A$36,$K$205^A104,IF(A104='Données projet'!$A$36,'Données projet'!$B$36,N103+M104-V103)))</f>
        <v>284.21794871794901</v>
      </c>
      <c r="O104" s="13">
        <f>N104*VLOOKUP('Données projet'!$B$9,Paramètres!$A$1:$I$89,3,0)*VLOOKUP('Données projet'!$B$9,Paramètres!$A$1:$I$89,5,0)</f>
        <v>257.16040000000027</v>
      </c>
      <c r="P104" s="13">
        <f t="shared" si="87"/>
        <v>62.116703672873726</v>
      </c>
      <c r="Q104" s="20">
        <f t="shared" si="107"/>
        <v>556.07428889692221</v>
      </c>
      <c r="R104" s="59">
        <f t="shared" si="55"/>
        <v>849.40762223025558</v>
      </c>
      <c r="S104" s="59">
        <f ca="1">AVERAGE(OFFSET($R$3,0,0,'Données projet'!$E$9+1,1))-AVERAGE(OFFSET($H$3,0,0,'Données projet'!$E$9+1,1))</f>
        <v>221.7429870520005</v>
      </c>
      <c r="T104" s="59">
        <f t="shared" si="88"/>
        <v>182.2029938397186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0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5.2583333333333373</v>
      </c>
      <c r="AI104" s="13">
        <f>IF('Données projet'!$A$62&gt;35,AI103+AH104-AQ103,IF(A104&lt;'Données projet'!$A$62,$AF$205^A104,IF(A104='Données projet'!$A$62,'Données projet'!$B$62,AI103+AH104-AQ103)))</f>
        <v>224.25256410256381</v>
      </c>
      <c r="AJ104" s="13">
        <f>AI104*VLOOKUP('Données projet'!$B$10,Paramètres!$A$1:$I$89,3,0)*VLOOKUP('Données projet'!$B$10,Paramètres!$A$1:$I$89,5,0)</f>
        <v>202.90371999999974</v>
      </c>
      <c r="AK104" s="13">
        <f t="shared" si="89"/>
        <v>50.381781160298395</v>
      </c>
      <c r="AL104" s="20">
        <f t="shared" si="58"/>
        <v>441.13891452085255</v>
      </c>
      <c r="AM104" s="59">
        <f t="shared" si="59"/>
        <v>734.47224785418587</v>
      </c>
      <c r="AN104" s="59">
        <f ca="1">AVERAGE(OFFSET($AM$3,0,0,'Données projet'!$E$10+1,1))-AVERAGE(OFFSET($H$3,0,0,'Données projet'!$E$10+1,1))</f>
        <v>153.45079678708987</v>
      </c>
      <c r="AO104" s="59">
        <f t="shared" si="90"/>
        <v>115.4217868409637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0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7.5015384615384617</v>
      </c>
      <c r="BD104" s="12">
        <f>IF('Données projet'!$A$88&gt;35,BD103+BC104-BL103,IF(A104&lt;'Données projet'!$A$88,$BA$205^A104,IF(A104='Données projet'!$A$88,'Données projet'!$B$88,BD103+BC104-BL103)))</f>
        <v>279.70923076923106</v>
      </c>
      <c r="BE104" s="13">
        <f>BD104*VLOOKUP('Données projet'!$B$11,Paramètres!$A$1:$I$89,3,0)*VLOOKUP('Données projet'!$B$11,Paramètres!$A$1:$I$89,5,0)</f>
        <v>130.90392000000014</v>
      </c>
      <c r="BF104" s="13">
        <f t="shared" si="91"/>
        <v>34.205144397668505</v>
      </c>
      <c r="BG104" s="20">
        <f t="shared" si="61"/>
        <v>287.56495382593954</v>
      </c>
      <c r="BH104" s="59">
        <f t="shared" si="62"/>
        <v>580.89828715927285</v>
      </c>
      <c r="BI104" s="59">
        <f ca="1">AVERAGE(OFFSET($BH$3,0,0,'Données projet'!$E$11+1,1))-AVERAGE(OFFSET($H$3,0,0,'Données projet'!$E$11+1,1))</f>
        <v>158.58786357608489</v>
      </c>
      <c r="BJ104" s="59">
        <f t="shared" si="92"/>
        <v>163.20074068819849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0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>
        <f>BY104*VLOOKUP('Données projet'!$B$12,Paramètres!$A$1:$I$89,3,0)*VLOOKUP('Données projet'!$B$12,Paramètres!$A$1:$I$89,5,0)</f>
        <v>0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255.41017495879987</v>
      </c>
      <c r="CE104" s="59">
        <f t="shared" si="94"/>
        <v>297.50513563712764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2.0450909641929527</v>
      </c>
      <c r="CL104" s="21">
        <f>EXP(-LN(2)/25)*CL103+(1-EXP(-LN(2)/25))/(LN(2)/25)*Calculateur!CG104*Calculateur!CI104*VLOOKUP('Données projet'!$B$12,Paramètres!$A$1:$I$89,3,0)*0.475*44/12</f>
        <v>3.8923305915000266</v>
      </c>
      <c r="CM104" s="21">
        <f>EXP(-LN(2)/2)*CM103+(1-EXP(-LN(2)/2))/(LN(2)/2)*CG104*CJ104*VLOOKUP('Données projet'!$B$12,Paramètres!$A$1:$I$89,3,0)*0.475*44/12</f>
        <v>5.0216470035781011E-10</v>
      </c>
      <c r="CN104" s="22">
        <f t="shared" si="66"/>
        <v>5.9374215561951438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2.0897435897436005</v>
      </c>
      <c r="CT104" s="12">
        <f>IF('Données projet'!$A$140&gt;35,CT103+CS104-DB103,IF(A104&lt;'Données projet'!$A$140,$CQ$205^A104,IF(A104='Données projet'!$A$140,'Données projet'!$B$140,CT103+CS104-DB103)))</f>
        <v>134.37435897435884</v>
      </c>
      <c r="CU104" s="17">
        <f>CT104*VLOOKUP('Données projet'!$B$13,Paramètres!$A$1:$I$89,3,0)*VLOOKUP('Données projet'!$B$13,Paramètres!$A$1:$I$89,5,0)</f>
        <v>76.862133333333261</v>
      </c>
      <c r="CV104" s="13">
        <f t="shared" si="95"/>
        <v>21.368181888669596</v>
      </c>
      <c r="CW104" s="20">
        <f t="shared" si="67"/>
        <v>171.08446567832164</v>
      </c>
      <c r="CX104" s="59">
        <f t="shared" si="68"/>
        <v>464.41779901165495</v>
      </c>
      <c r="CY104" s="59">
        <f ca="1">AVERAGE(OFFSET($CX$3,0,0,'Données projet'!$E$13+1,1))-AVERAGE(OFFSET($H$3,0,0,'Données projet'!$E$13+1,1))</f>
        <v>134.70214882504786</v>
      </c>
      <c r="CZ104" s="59">
        <f t="shared" si="96"/>
        <v>102.18553029667771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0.26053827293516552</v>
      </c>
      <c r="DG104" s="21">
        <f>EXP(-LN(2)/25)*DG103+(1-EXP(-LN(2)/25))/(LN(2)/25)*Calculateur!DB104*Calculateur!DD104*VLOOKUP('Données projet'!$B$13,Paramètres!$A$1:$I$89,3,0)*0.475*44/12</f>
        <v>1.7526950247380522</v>
      </c>
      <c r="DH104" s="21">
        <f>EXP(-LN(2)/2)*DH103+(1-EXP(-LN(2)/2))/(LN(2)/2)*DB104*DE104*VLOOKUP('Données projet'!$B$13,Paramètres!$A$1:$I$89,3,0)*0.475*44/12</f>
        <v>1.5858361772335647E-10</v>
      </c>
      <c r="DI104" s="22">
        <f t="shared" si="69"/>
        <v>2.0132332978318015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-2.8421709430404007E-13</v>
      </c>
      <c r="DP104" s="17">
        <f>DO104*VLOOKUP('Données projet'!$B$14,Paramètres!$A$1:$I$89,3,0)*VLOOKUP('Données projet'!$B$14,Paramètres!$A$1:$I$89,5,0)</f>
        <v>-1.69961822393816E-13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179.32848817523677</v>
      </c>
      <c r="DU104" s="59">
        <f t="shared" si="98"/>
        <v>131.3292389103035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</v>
      </c>
      <c r="EB104" s="21">
        <f>EXP(-LN(2)/25)*EB103+(1-EXP(-LN(2)/25))/(LN(2)/25)*Calculateur!DW104*Calculateur!DY104*VLOOKUP('Données projet'!$B$14,Paramètres!$A$1:$I$89,3,0)*0.475*44/12</f>
        <v>1.8407415216931111</v>
      </c>
      <c r="EC104" s="21">
        <f>EXP(-LN(2)/2)*EC103+(1-EXP(-LN(2)/2))/(LN(2)/2)*DW104*DZ104*VLOOKUP('Données projet'!$B$14,Paramètres!$A$1:$I$89,3,0)*0.475*44/12</f>
        <v>1.0830730389423183E-10</v>
      </c>
      <c r="ED104" s="22">
        <f t="shared" si="72"/>
        <v>1.8407415218014185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-2.2737367544323206E-13</v>
      </c>
      <c r="EK104" s="17">
        <f>EJ104*VLOOKUP('Données projet'!$B$15,Paramètres!$A$1:$I$89,3,0)*VLOOKUP('Données projet'!$B$15,Paramètres!$A$1:$I$89,5,0)</f>
        <v>-1.0049916454590858E-13</v>
      </c>
      <c r="EL104" s="13" t="e">
        <f t="shared" si="99"/>
        <v>#NUM!</v>
      </c>
      <c r="EM104" s="20" t="e">
        <f t="shared" si="73"/>
        <v>#NUM!</v>
      </c>
      <c r="EN104" s="59" t="e">
        <f t="shared" si="74"/>
        <v>#NUM!</v>
      </c>
      <c r="EO104" s="59">
        <f ca="1">AVERAGE(OFFSET($EN$3,0,0,'Données projet'!$E$15+1,1))-AVERAGE(OFFSET($H$3,0,0,'Données projet'!$E$15+1,1))</f>
        <v>191.932060106699</v>
      </c>
      <c r="EP104" s="59">
        <f t="shared" si="100"/>
        <v>260.28593152736903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0.59884418040661569</v>
      </c>
      <c r="EW104" s="21">
        <f>EXP(-LN(2)/25)*EW103+(1-EXP(-LN(2)/25))/(LN(2)/25)*Calculateur!ER104*Calculateur!ET104*VLOOKUP('Données projet'!$B$15,Paramètres!$A$1:$I$89,3,0)*0.475*44/12</f>
        <v>1.7624841173913894</v>
      </c>
      <c r="EX104" s="21">
        <f>EXP(-LN(2)/2)*EX103+(1-EXP(-LN(2)/2))/(LN(2)/2)*ER104*EU104*VLOOKUP('Données projet'!$B$15,Paramètres!$A$1:$I$89,3,0)*0.475*44/12</f>
        <v>2.7543131430886831E-11</v>
      </c>
      <c r="EY104" s="22">
        <f t="shared" si="75"/>
        <v>2.3613282978255485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2.9</v>
      </c>
      <c r="FE104" s="12">
        <f>IF('Données projet'!$A$218&gt;35,FE103+FD104-FM103,IF(A104&lt;'Données projet'!$A$218,$FB$205^A104,IF(A104='Données projet'!$A$218,'Données projet'!$B$218,FE103+FD104-FM103)))</f>
        <v>163.90000000000003</v>
      </c>
      <c r="FF104" s="17">
        <f>FE104*VLOOKUP('Données projet'!$B$16,Paramètres!$A$1:$I$89,3,0)*VLOOKUP('Données projet'!$B$16,Paramètres!$A$1:$I$89,5,0)</f>
        <v>158.52408000000005</v>
      </c>
      <c r="FG104" s="13">
        <f t="shared" si="101"/>
        <v>40.509438192876381</v>
      </c>
      <c r="FH104" s="20">
        <f t="shared" si="76"/>
        <v>346.65004418592645</v>
      </c>
      <c r="FI104" s="59">
        <f t="shared" si="77"/>
        <v>639.98337751925976</v>
      </c>
      <c r="FJ104" s="59">
        <f ca="1">AVERAGE(OFFSET($FI$3,0,0,'Données projet'!$E$16+1,1))-AVERAGE(OFFSET($H$3,0,0,'Données projet'!$E$16+1,1))</f>
        <v>102.86738524979938</v>
      </c>
      <c r="FK104" s="59">
        <f t="shared" si="102"/>
        <v>56.347130462109817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0</v>
      </c>
      <c r="FR104" s="21">
        <f>EXP(-LN(2)/25)*FR103+(1-EXP(-LN(2)/25))/(LN(2)/25)*Calculateur!FM104*Calculateur!FO104*VLOOKUP('Données projet'!$B$16,Paramètres!$A$1:$I$89,3,0)*0.475*44/12</f>
        <v>0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0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5.3</v>
      </c>
      <c r="FZ104" s="12">
        <f>IF('Données projet'!$A$244&gt;35,FZ103+FY104-GH103,IF(A104&lt;'Données projet'!$A$244,$FW$205^A104,IF(A104='Données projet'!$A$244,'Données projet'!$B$244,FZ103+FY104-GH103)))</f>
        <v>283.30000000000035</v>
      </c>
      <c r="GA104" s="17">
        <f>FZ104*VLOOKUP('Données projet'!$B$17,Paramètres!$A$1:$I$89,3,0)*VLOOKUP('Données projet'!$B$17,Paramètres!$A$1:$I$89,5,0)</f>
        <v>190.03764000000024</v>
      </c>
      <c r="GB104" s="13">
        <f t="shared" si="103"/>
        <v>47.548274424867813</v>
      </c>
      <c r="GC104" s="20">
        <f t="shared" si="79"/>
        <v>413.79546762331188</v>
      </c>
      <c r="GD104" s="59">
        <f t="shared" si="80"/>
        <v>707.12880095664514</v>
      </c>
      <c r="GE104" s="59">
        <f ca="1">AVERAGE(OFFSET($GD$3,0,0,'Données projet'!$E$17+1,1))-AVERAGE(OFFSET($H$3,0,0,'Données projet'!$E$17+1,1))</f>
        <v>168.00454652899231</v>
      </c>
      <c r="GF104" s="59">
        <f t="shared" si="104"/>
        <v>135.31958994080446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0</v>
      </c>
      <c r="GM104" s="21">
        <f>EXP(-LN(2)/25)*GM103+(1-EXP(-LN(2)/25))/(LN(2)/25)*Calculateur!GH104*Calculateur!GJ104*VLOOKUP('Données projet'!$B$17,Paramètres!$A$1:$I$89,3,0)*0.475*44/12</f>
        <v>0</v>
      </c>
      <c r="GN104" s="21">
        <f>EXP(-LN(2)/2)*GN103+(1-EXP(-LN(2)/2))/(LN(2)/2)*GH104*GK104*VLOOKUP('Données projet'!$B$17,Paramètres!$A$1:$I$89,3,0)*0.475*44/12</f>
        <v>0</v>
      </c>
      <c r="GO104" s="21">
        <f t="shared" si="81"/>
        <v>0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6.9935897435897401</v>
      </c>
      <c r="N105" s="13">
        <f>IF('Données projet'!$A$36&gt;35,N104+M105-V104,IF(A105&lt;'Données projet'!$A$36,$K$205^A105,IF(A105='Données projet'!$A$36,'Données projet'!$B$36,N104+M105-V104)))</f>
        <v>291.21153846153874</v>
      </c>
      <c r="O105" s="13">
        <f>N105*VLOOKUP('Données projet'!$B$9,Paramètres!$A$1:$I$89,3,0)*VLOOKUP('Données projet'!$B$9,Paramètres!$A$1:$I$89,5,0)</f>
        <v>263.48820000000023</v>
      </c>
      <c r="P105" s="13">
        <f t="shared" si="87"/>
        <v>63.465343539396862</v>
      </c>
      <c r="Q105" s="20">
        <f t="shared" si="107"/>
        <v>569.44408833111663</v>
      </c>
      <c r="R105" s="59">
        <f t="shared" si="55"/>
        <v>862.77742166445</v>
      </c>
      <c r="S105" s="59">
        <f ca="1">AVERAGE(OFFSET($R$3,0,0,'Données projet'!$E$9+1,1))-AVERAGE(OFFSET($H$3,0,0,'Données projet'!$E$9+1,1))</f>
        <v>221.7429870520005</v>
      </c>
      <c r="T105" s="59">
        <f t="shared" si="88"/>
        <v>182.2029938397186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0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5.2583333333333373</v>
      </c>
      <c r="AI105" s="13">
        <f>IF('Données projet'!$A$62&gt;35,AI104+AH105-AQ104,IF(A105&lt;'Données projet'!$A$62,$AF$205^A105,IF(A105='Données projet'!$A$62,'Données projet'!$B$62,AI104+AH105-AQ104)))</f>
        <v>229.51089743589714</v>
      </c>
      <c r="AJ105" s="13">
        <f>AI105*VLOOKUP('Données projet'!$B$10,Paramètres!$A$1:$I$89,3,0)*VLOOKUP('Données projet'!$B$10,Paramètres!$A$1:$I$89,5,0)</f>
        <v>207.66145999999972</v>
      </c>
      <c r="AK105" s="13">
        <f t="shared" si="89"/>
        <v>51.424223287461992</v>
      </c>
      <c r="AL105" s="20">
        <f t="shared" si="58"/>
        <v>451.2408983923292</v>
      </c>
      <c r="AM105" s="59">
        <f t="shared" si="59"/>
        <v>744.57423172566246</v>
      </c>
      <c r="AN105" s="59">
        <f ca="1">AVERAGE(OFFSET($AM$3,0,0,'Données projet'!$E$10+1,1))-AVERAGE(OFFSET($H$3,0,0,'Données projet'!$E$10+1,1))</f>
        <v>153.45079678708987</v>
      </c>
      <c r="AO105" s="59">
        <f t="shared" si="90"/>
        <v>115.4217868409637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0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7.5015384615384617</v>
      </c>
      <c r="BD105" s="12">
        <f>IF('Données projet'!$A$88&gt;35,BD104+BC105-BL104,IF(A105&lt;'Données projet'!$A$88,$BA$205^A105,IF(A105='Données projet'!$A$88,'Données projet'!$B$88,BD104+BC105-BL104)))</f>
        <v>287.21076923076953</v>
      </c>
      <c r="BE105" s="13">
        <f>BD105*VLOOKUP('Données projet'!$B$11,Paramètres!$A$1:$I$89,3,0)*VLOOKUP('Données projet'!$B$11,Paramètres!$A$1:$I$89,5,0)</f>
        <v>134.41464000000013</v>
      </c>
      <c r="BF105" s="13">
        <f t="shared" si="91"/>
        <v>35.014461935490388</v>
      </c>
      <c r="BG105" s="20">
        <f t="shared" si="61"/>
        <v>295.08901920431265</v>
      </c>
      <c r="BH105" s="59">
        <f t="shared" si="62"/>
        <v>588.42235253764602</v>
      </c>
      <c r="BI105" s="59">
        <f ca="1">AVERAGE(OFFSET($BH$3,0,0,'Données projet'!$E$11+1,1))-AVERAGE(OFFSET($H$3,0,0,'Données projet'!$E$11+1,1))</f>
        <v>158.58786357608489</v>
      </c>
      <c r="BJ105" s="59">
        <f t="shared" si="92"/>
        <v>163.20074068819849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0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>
        <f>BY105*VLOOKUP('Données projet'!$B$12,Paramètres!$A$1:$I$89,3,0)*VLOOKUP('Données projet'!$B$12,Paramètres!$A$1:$I$89,5,0)</f>
        <v>0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255.41017495879987</v>
      </c>
      <c r="CE105" s="59">
        <f t="shared" si="94"/>
        <v>297.50513563712764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2.0049879777674482</v>
      </c>
      <c r="CL105" s="21">
        <f>EXP(-LN(2)/25)*CL104+(1-EXP(-LN(2)/25))/(LN(2)/25)*Calculateur!CG105*Calculateur!CI105*VLOOKUP('Données projet'!$B$12,Paramètres!$A$1:$I$89,3,0)*0.475*44/12</f>
        <v>3.7858946067866888</v>
      </c>
      <c r="CM105" s="21">
        <f>EXP(-LN(2)/2)*CM104+(1-EXP(-LN(2)/2))/(LN(2)/2)*CG105*CJ105*VLOOKUP('Données projet'!$B$12,Paramètres!$A$1:$I$89,3,0)*0.475*44/12</f>
        <v>3.5508406489551824E-10</v>
      </c>
      <c r="CN105" s="22">
        <f t="shared" si="66"/>
        <v>5.7908825849092205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2.0897435897436005</v>
      </c>
      <c r="CT105" s="12">
        <f>IF('Données projet'!$A$140&gt;35,CT104+CS105-DB104,IF(A105&lt;'Données projet'!$A$140,$CQ$205^A105,IF(A105='Données projet'!$A$140,'Données projet'!$B$140,CT104+CS105-DB104)))</f>
        <v>136.46410256410243</v>
      </c>
      <c r="CU105" s="17">
        <f>CT105*VLOOKUP('Données projet'!$B$13,Paramètres!$A$1:$I$89,3,0)*VLOOKUP('Données projet'!$B$13,Paramètres!$A$1:$I$89,5,0)</f>
        <v>78.057466666666599</v>
      </c>
      <c r="CV105" s="13">
        <f t="shared" si="95"/>
        <v>21.661547276392476</v>
      </c>
      <c r="CW105" s="20">
        <f t="shared" si="67"/>
        <v>173.67728261749457</v>
      </c>
      <c r="CX105" s="59">
        <f t="shared" si="68"/>
        <v>467.01061595082786</v>
      </c>
      <c r="CY105" s="59">
        <f ca="1">AVERAGE(OFFSET($CX$3,0,0,'Données projet'!$E$13+1,1))-AVERAGE(OFFSET($H$3,0,0,'Données projet'!$E$13+1,1))</f>
        <v>134.70214882504786</v>
      </c>
      <c r="CZ105" s="59">
        <f t="shared" si="96"/>
        <v>102.18553029667771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0.25542927631556211</v>
      </c>
      <c r="DG105" s="21">
        <f>EXP(-LN(2)/25)*DG104+(1-EXP(-LN(2)/25))/(LN(2)/25)*Calculateur!DB105*Calculateur!DD105*VLOOKUP('Données projet'!$B$13,Paramètres!$A$1:$I$89,3,0)*0.475*44/12</f>
        <v>1.7047674871163647</v>
      </c>
      <c r="DH105" s="21">
        <f>EXP(-LN(2)/2)*DH104+(1-EXP(-LN(2)/2))/(LN(2)/2)*DB105*DE105*VLOOKUP('Données projet'!$B$13,Paramètres!$A$1:$I$89,3,0)*0.475*44/12</f>
        <v>1.1213555147728052E-10</v>
      </c>
      <c r="DI105" s="22">
        <f t="shared" si="69"/>
        <v>1.9601967635440625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-2.8421709430404007E-13</v>
      </c>
      <c r="DP105" s="17">
        <f>DO105*VLOOKUP('Données projet'!$B$14,Paramètres!$A$1:$I$89,3,0)*VLOOKUP('Données projet'!$B$14,Paramètres!$A$1:$I$89,5,0)</f>
        <v>-1.69961822393816E-13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179.32848817523677</v>
      </c>
      <c r="DU105" s="59">
        <f t="shared" si="98"/>
        <v>131.3292389103035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</v>
      </c>
      <c r="EB105" s="21">
        <f>EXP(-LN(2)/25)*EB104+(1-EXP(-LN(2)/25))/(LN(2)/25)*Calculateur!DW105*Calculateur!DY105*VLOOKUP('Données projet'!$B$14,Paramètres!$A$1:$I$89,3,0)*0.475*44/12</f>
        <v>1.7904063479820234</v>
      </c>
      <c r="EC105" s="21">
        <f>EXP(-LN(2)/2)*EC104+(1-EXP(-LN(2)/2))/(LN(2)/2)*DW105*DZ105*VLOOKUP('Données projet'!$B$14,Paramètres!$A$1:$I$89,3,0)*0.475*44/12</f>
        <v>7.6584829035643495E-11</v>
      </c>
      <c r="ED105" s="22">
        <f t="shared" si="72"/>
        <v>1.7904063480586081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-2.2737367544323206E-13</v>
      </c>
      <c r="EK105" s="17">
        <f>EJ105*VLOOKUP('Données projet'!$B$15,Paramètres!$A$1:$I$89,3,0)*VLOOKUP('Données projet'!$B$15,Paramètres!$A$1:$I$89,5,0)</f>
        <v>-1.0049916454590858E-13</v>
      </c>
      <c r="EL105" s="13" t="e">
        <f t="shared" si="99"/>
        <v>#NUM!</v>
      </c>
      <c r="EM105" s="20" t="e">
        <f t="shared" si="73"/>
        <v>#NUM!</v>
      </c>
      <c r="EN105" s="59" t="e">
        <f t="shared" si="74"/>
        <v>#NUM!</v>
      </c>
      <c r="EO105" s="59">
        <f ca="1">AVERAGE(OFFSET($EN$3,0,0,'Données projet'!$E$15+1,1))-AVERAGE(OFFSET($H$3,0,0,'Données projet'!$E$15+1,1))</f>
        <v>191.932060106699</v>
      </c>
      <c r="EP105" s="59">
        <f t="shared" si="100"/>
        <v>260.28593152736903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0.58710121128772563</v>
      </c>
      <c r="EW105" s="21">
        <f>EXP(-LN(2)/25)*EW104+(1-EXP(-LN(2)/25))/(LN(2)/25)*Calculateur!ER105*Calculateur!ET105*VLOOKUP('Données projet'!$B$15,Paramètres!$A$1:$I$89,3,0)*0.475*44/12</f>
        <v>1.7142888965163103</v>
      </c>
      <c r="EX105" s="21">
        <f>EXP(-LN(2)/2)*EX104+(1-EXP(-LN(2)/2))/(LN(2)/2)*ER105*EU105*VLOOKUP('Données projet'!$B$15,Paramètres!$A$1:$I$89,3,0)*0.475*44/12</f>
        <v>1.9475935009892414E-11</v>
      </c>
      <c r="EY105" s="22">
        <f t="shared" si="75"/>
        <v>2.3013901078235119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2.9</v>
      </c>
      <c r="FE105" s="12">
        <f>IF('Données projet'!$A$218&gt;35,FE104+FD105-FM104,IF(A105&lt;'Données projet'!$A$218,$FB$205^A105,IF(A105='Données projet'!$A$218,'Données projet'!$B$218,FE104+FD105-FM104)))</f>
        <v>166.80000000000004</v>
      </c>
      <c r="FF105" s="17">
        <f>FE105*VLOOKUP('Données projet'!$B$16,Paramètres!$A$1:$I$89,3,0)*VLOOKUP('Données projet'!$B$16,Paramètres!$A$1:$I$89,5,0)</f>
        <v>161.32896000000005</v>
      </c>
      <c r="FG105" s="13">
        <f t="shared" si="101"/>
        <v>41.142121587976256</v>
      </c>
      <c r="FH105" s="20">
        <f t="shared" si="76"/>
        <v>352.63713376572537</v>
      </c>
      <c r="FI105" s="59">
        <f t="shared" si="77"/>
        <v>645.97046709905862</v>
      </c>
      <c r="FJ105" s="59">
        <f ca="1">AVERAGE(OFFSET($FI$3,0,0,'Données projet'!$E$16+1,1))-AVERAGE(OFFSET($H$3,0,0,'Données projet'!$E$16+1,1))</f>
        <v>102.86738524979938</v>
      </c>
      <c r="FK105" s="59">
        <f t="shared" si="102"/>
        <v>56.347130462109817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0</v>
      </c>
      <c r="FR105" s="21">
        <f>EXP(-LN(2)/25)*FR104+(1-EXP(-LN(2)/25))/(LN(2)/25)*Calculateur!FM105*Calculateur!FO105*VLOOKUP('Données projet'!$B$16,Paramètres!$A$1:$I$89,3,0)*0.475*44/12</f>
        <v>0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0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5.3</v>
      </c>
      <c r="FZ105" s="12">
        <f>IF('Données projet'!$A$244&gt;35,FZ104+FY105-GH104,IF(A105&lt;'Données projet'!$A$244,$FW$205^A105,IF(A105='Données projet'!$A$244,'Données projet'!$B$244,FZ104+FY105-GH104)))</f>
        <v>288.60000000000036</v>
      </c>
      <c r="GA105" s="17">
        <f>FZ105*VLOOKUP('Données projet'!$B$17,Paramètres!$A$1:$I$89,3,0)*VLOOKUP('Données projet'!$B$17,Paramètres!$A$1:$I$89,5,0)</f>
        <v>193.59288000000024</v>
      </c>
      <c r="GB105" s="13">
        <f t="shared" si="103"/>
        <v>48.333419487950202</v>
      </c>
      <c r="GC105" s="20">
        <f t="shared" si="79"/>
        <v>421.35497160818039</v>
      </c>
      <c r="GD105" s="59">
        <f t="shared" si="80"/>
        <v>714.68830494151371</v>
      </c>
      <c r="GE105" s="59">
        <f ca="1">AVERAGE(OFFSET($GD$3,0,0,'Données projet'!$E$17+1,1))-AVERAGE(OFFSET($H$3,0,0,'Données projet'!$E$17+1,1))</f>
        <v>168.00454652899231</v>
      </c>
      <c r="GF105" s="59">
        <f t="shared" si="104"/>
        <v>135.31958994080446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0</v>
      </c>
      <c r="GM105" s="21">
        <f>EXP(-LN(2)/25)*GM104+(1-EXP(-LN(2)/25))/(LN(2)/25)*Calculateur!GH105*Calculateur!GJ105*VLOOKUP('Données projet'!$B$17,Paramètres!$A$1:$I$89,3,0)*0.475*44/12</f>
        <v>0</v>
      </c>
      <c r="GN105" s="21">
        <f>EXP(-LN(2)/2)*GN104+(1-EXP(-LN(2)/2))/(LN(2)/2)*GH105*GK105*VLOOKUP('Données projet'!$B$17,Paramètres!$A$1:$I$89,3,0)*0.475*44/12</f>
        <v>0</v>
      </c>
      <c r="GO105" s="21">
        <f t="shared" si="81"/>
        <v>0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6.9935897435897401</v>
      </c>
      <c r="N106" s="13">
        <f>IF('Données projet'!$A$36&gt;35,N105+M106-V105,IF(A106&lt;'Données projet'!$A$36,$K$205^A106,IF(A106='Données projet'!$A$36,'Données projet'!$B$36,N105+M106-V105)))</f>
        <v>298.20512820512846</v>
      </c>
      <c r="O106" s="13">
        <f>N106*VLOOKUP('Données projet'!$B$9,Paramètres!$A$1:$I$89,3,0)*VLOOKUP('Données projet'!$B$9,Paramètres!$A$1:$I$89,5,0)</f>
        <v>269.81600000000026</v>
      </c>
      <c r="P106" s="13">
        <f t="shared" si="87"/>
        <v>64.810218294809729</v>
      </c>
      <c r="Q106" s="20">
        <f t="shared" si="107"/>
        <v>582.80733019679406</v>
      </c>
      <c r="R106" s="59">
        <f t="shared" si="55"/>
        <v>876.14066353012731</v>
      </c>
      <c r="S106" s="59">
        <f ca="1">AVERAGE(OFFSET($R$3,0,0,'Données projet'!$E$9+1,1))-AVERAGE(OFFSET($H$3,0,0,'Données projet'!$E$9+1,1))</f>
        <v>221.7429870520005</v>
      </c>
      <c r="T106" s="59">
        <f t="shared" si="88"/>
        <v>182.2029938397186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0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>
        <f>VLOOKUP(A106,'Données projet'!$A$61:$I$81,2,0)</f>
        <v>234.76923076923077</v>
      </c>
      <c r="AG106" s="12">
        <f>VLOOKUP(A106,'Données projet'!$A$61:$I$81,9,0)</f>
        <v>5.2583333333333373</v>
      </c>
      <c r="AH106" s="12">
        <f t="array" ref="AH106">INDEX(AG:AG,MIN(IF(ISNUMBER(AG106:AG302),ROW(AG106:AG302),"")))</f>
        <v>5.2583333333333373</v>
      </c>
      <c r="AI106" s="13">
        <f>IF('Données projet'!$A$62&gt;35,AI105+AH106-AQ105,IF(A106&lt;'Données projet'!$A$62,$AF$205^A106,IF(A106='Données projet'!$A$62,'Données projet'!$B$62,AI105+AH106-AQ105)))</f>
        <v>234.76923076923046</v>
      </c>
      <c r="AJ106" s="13">
        <f>AI106*VLOOKUP('Données projet'!$B$10,Paramètres!$A$1:$I$89,3,0)*VLOOKUP('Données projet'!$B$10,Paramètres!$A$1:$I$89,5,0)</f>
        <v>212.41919999999973</v>
      </c>
      <c r="AK106" s="13">
        <f t="shared" si="89"/>
        <v>52.463888829926184</v>
      </c>
      <c r="AL106" s="20">
        <f t="shared" si="58"/>
        <v>461.33804637878757</v>
      </c>
      <c r="AM106" s="59">
        <f t="shared" si="59"/>
        <v>754.67137971212082</v>
      </c>
      <c r="AN106" s="59">
        <f ca="1">AVERAGE(OFFSET($AM$3,0,0,'Données projet'!$E$10+1,1))-AVERAGE(OFFSET($H$3,0,0,'Données projet'!$E$10+1,1))</f>
        <v>153.45079678708987</v>
      </c>
      <c r="AO106" s="59">
        <f t="shared" si="90"/>
        <v>115.4217868409637</v>
      </c>
      <c r="AP106" s="15">
        <f>IF(ISNA(VLOOKUP(A106,'Données projet'!$A$61:$I$81,3,0)),0,VLOOKUP(A106,'Données projet'!$A$61:$I$81,3,0))</f>
        <v>8</v>
      </c>
      <c r="AQ106" s="15">
        <f>IF(ISNA(VLOOKUP(A106,'Données projet'!$A$61:$I$81,4,0)),0,VLOOKUP(A106,'Données projet'!$A$61:$I$81,4,0))</f>
        <v>39.512820512820511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0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7.5015384615384617</v>
      </c>
      <c r="BD106" s="12">
        <f>IF('Données projet'!$A$88&gt;35,BD105+BC106-BL105,IF(A106&lt;'Données projet'!$A$88,$BA$205^A106,IF(A106='Données projet'!$A$88,'Données projet'!$B$88,BD105+BC106-BL105)))</f>
        <v>294.712307692308</v>
      </c>
      <c r="BE106" s="13">
        <f>BD106*VLOOKUP('Données projet'!$B$11,Paramètres!$A$1:$I$89,3,0)*VLOOKUP('Données projet'!$B$11,Paramètres!$A$1:$I$89,5,0)</f>
        <v>137.92536000000015</v>
      </c>
      <c r="BF106" s="13">
        <f t="shared" si="91"/>
        <v>35.82132242479814</v>
      </c>
      <c r="BG106" s="20">
        <f t="shared" si="61"/>
        <v>302.6088052231903</v>
      </c>
      <c r="BH106" s="59">
        <f t="shared" si="62"/>
        <v>595.94213855652356</v>
      </c>
      <c r="BI106" s="59">
        <f ca="1">AVERAGE(OFFSET($BH$3,0,0,'Données projet'!$E$11+1,1))-AVERAGE(OFFSET($H$3,0,0,'Données projet'!$E$11+1,1))</f>
        <v>158.58786357608489</v>
      </c>
      <c r="BJ106" s="59">
        <f t="shared" si="92"/>
        <v>163.20074068819849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0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>
        <f>BY106*VLOOKUP('Données projet'!$B$12,Paramètres!$A$1:$I$89,3,0)*VLOOKUP('Données projet'!$B$12,Paramètres!$A$1:$I$89,5,0)</f>
        <v>0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255.41017495879987</v>
      </c>
      <c r="CE106" s="59">
        <f t="shared" si="94"/>
        <v>297.50513563712764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1.9656713864453415</v>
      </c>
      <c r="CL106" s="21">
        <f>EXP(-LN(2)/25)*CL105+(1-EXP(-LN(2)/25))/(LN(2)/25)*Calculateur!CG106*Calculateur!CI106*VLOOKUP('Données projet'!$B$12,Paramètres!$A$1:$I$89,3,0)*0.475*44/12</f>
        <v>3.6823691196725621</v>
      </c>
      <c r="CM106" s="21">
        <f>EXP(-LN(2)/2)*CM105+(1-EXP(-LN(2)/2))/(LN(2)/2)*CG106*CJ106*VLOOKUP('Données projet'!$B$12,Paramètres!$A$1:$I$89,3,0)*0.475*44/12</f>
        <v>2.5108235017890505E-10</v>
      </c>
      <c r="CN106" s="22">
        <f t="shared" si="66"/>
        <v>5.6480405063689858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>
        <f>VLOOKUP(A106,'Données projet'!$A$139:$I$159,2,0)</f>
        <v>138.55384615384617</v>
      </c>
      <c r="CR106" s="12">
        <f>VLOOKUP(A106,'Données projet'!$A$139:$I$159,9,0)</f>
        <v>2.0897435897436005</v>
      </c>
      <c r="CS106" s="12">
        <f t="array" ref="CS106">INDEX(CR:CR,MIN(IF(ISNUMBER(CR106:CR302),ROW(CR106:CR302),"")))</f>
        <v>2.0897435897436005</v>
      </c>
      <c r="CT106" s="12">
        <f>IF('Données projet'!$A$140&gt;35,CT105+CS106-DB105,IF(A106&lt;'Données projet'!$A$140,$CQ$205^A106,IF(A106='Données projet'!$A$140,'Données projet'!$B$140,CT105+CS106-DB105)))</f>
        <v>138.55384615384602</v>
      </c>
      <c r="CU106" s="17">
        <f>CT106*VLOOKUP('Données projet'!$B$13,Paramètres!$A$1:$I$89,3,0)*VLOOKUP('Données projet'!$B$13,Paramètres!$A$1:$I$89,5,0)</f>
        <v>79.252799999999922</v>
      </c>
      <c r="CV106" s="13">
        <f t="shared" si="95"/>
        <v>21.954390186879657</v>
      </c>
      <c r="CW106" s="20">
        <f t="shared" si="67"/>
        <v>176.26918957548196</v>
      </c>
      <c r="CX106" s="59">
        <f t="shared" si="68"/>
        <v>469.60252290881527</v>
      </c>
      <c r="CY106" s="59">
        <f ca="1">AVERAGE(OFFSET($CX$3,0,0,'Données projet'!$E$13+1,1))-AVERAGE(OFFSET($H$3,0,0,'Données projet'!$E$13+1,1))</f>
        <v>134.70214882504786</v>
      </c>
      <c r="CZ106" s="59">
        <f t="shared" si="96"/>
        <v>102.18553029667771</v>
      </c>
      <c r="DA106" s="15">
        <f>IF(ISNA(VLOOKUP(A106,'Données projet'!$A$139:$I$159,3,0)),0,VLOOKUP(A106,'Données projet'!$A$139:$I$159,3,0))</f>
        <v>11</v>
      </c>
      <c r="DB106" s="15">
        <f>IF(ISNA(VLOOKUP(A106,'Données projet'!$A$139:$I$159,4,0)),0,VLOOKUP(A106,'Données projet'!$A$139:$I$159,4,0))</f>
        <v>138.55384615384617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0.25042046400348889</v>
      </c>
      <c r="DG106" s="21">
        <f>EXP(-LN(2)/25)*DG105+(1-EXP(-LN(2)/25))/(LN(2)/25)*Calculateur!DB106*Calculateur!DD106*VLOOKUP('Données projet'!$B$13,Paramètres!$A$1:$I$89,3,0)*0.475*44/12</f>
        <v>1.658150530531342</v>
      </c>
      <c r="DH106" s="21">
        <f>EXP(-LN(2)/2)*DH105+(1-EXP(-LN(2)/2))/(LN(2)/2)*DB106*DE106*VLOOKUP('Données projet'!$B$13,Paramètres!$A$1:$I$89,3,0)*0.475*44/12</f>
        <v>7.9291808861678233E-11</v>
      </c>
      <c r="DI106" s="22">
        <f t="shared" si="69"/>
        <v>1.9085709946141227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-2.8421709430404007E-13</v>
      </c>
      <c r="DP106" s="17">
        <f>DO106*VLOOKUP('Données projet'!$B$14,Paramètres!$A$1:$I$89,3,0)*VLOOKUP('Données projet'!$B$14,Paramètres!$A$1:$I$89,5,0)</f>
        <v>-1.69961822393816E-13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179.32848817523677</v>
      </c>
      <c r="DU106" s="59">
        <f t="shared" si="98"/>
        <v>131.3292389103035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</v>
      </c>
      <c r="EB106" s="21">
        <f>EXP(-LN(2)/25)*EB105+(1-EXP(-LN(2)/25))/(LN(2)/25)*Calculateur!DW106*Calculateur!DY106*VLOOKUP('Données projet'!$B$14,Paramètres!$A$1:$I$89,3,0)*0.475*44/12</f>
        <v>1.7414475922430772</v>
      </c>
      <c r="EC106" s="21">
        <f>EXP(-LN(2)/2)*EC105+(1-EXP(-LN(2)/2))/(LN(2)/2)*DW106*DZ106*VLOOKUP('Données projet'!$B$14,Paramètres!$A$1:$I$89,3,0)*0.475*44/12</f>
        <v>5.4153651947115917E-11</v>
      </c>
      <c r="ED106" s="22">
        <f t="shared" si="72"/>
        <v>1.7414475922972308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-2.2737367544323206E-13</v>
      </c>
      <c r="EK106" s="17">
        <f>EJ106*VLOOKUP('Données projet'!$B$15,Paramètres!$A$1:$I$89,3,0)*VLOOKUP('Données projet'!$B$15,Paramètres!$A$1:$I$89,5,0)</f>
        <v>-1.0049916454590858E-13</v>
      </c>
      <c r="EL106" s="13" t="e">
        <f t="shared" si="99"/>
        <v>#NUM!</v>
      </c>
      <c r="EM106" s="20" t="e">
        <f t="shared" si="73"/>
        <v>#NUM!</v>
      </c>
      <c r="EN106" s="59" t="e">
        <f t="shared" si="74"/>
        <v>#NUM!</v>
      </c>
      <c r="EO106" s="59">
        <f ca="1">AVERAGE(OFFSET($EN$3,0,0,'Données projet'!$E$15+1,1))-AVERAGE(OFFSET($H$3,0,0,'Données projet'!$E$15+1,1))</f>
        <v>191.932060106699</v>
      </c>
      <c r="EP106" s="59">
        <f t="shared" si="100"/>
        <v>260.28593152736903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0.57558851463075311</v>
      </c>
      <c r="EW106" s="21">
        <f>EXP(-LN(2)/25)*EW105+(1-EXP(-LN(2)/25))/(LN(2)/25)*Calculateur!ER106*Calculateur!ET106*VLOOKUP('Données projet'!$B$15,Paramètres!$A$1:$I$89,3,0)*0.475*44/12</f>
        <v>1.6674115764905368</v>
      </c>
      <c r="EX106" s="21">
        <f>EXP(-LN(2)/2)*EX105+(1-EXP(-LN(2)/2))/(LN(2)/2)*ER106*EU106*VLOOKUP('Données projet'!$B$15,Paramètres!$A$1:$I$89,3,0)*0.475*44/12</f>
        <v>1.3771565715443416E-11</v>
      </c>
      <c r="EY106" s="22">
        <f t="shared" si="75"/>
        <v>2.2430000911350616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2.9</v>
      </c>
      <c r="FE106" s="12">
        <f>IF('Données projet'!$A$218&gt;35,FE105+FD106-FM105,IF(A106&lt;'Données projet'!$A$218,$FB$205^A106,IF(A106='Données projet'!$A$218,'Données projet'!$B$218,FE105+FD106-FM105)))</f>
        <v>169.70000000000005</v>
      </c>
      <c r="FF106" s="17">
        <f>FE106*VLOOKUP('Données projet'!$B$16,Paramètres!$A$1:$I$89,3,0)*VLOOKUP('Données projet'!$B$16,Paramètres!$A$1:$I$89,5,0)</f>
        <v>164.13384000000005</v>
      </c>
      <c r="FG106" s="13">
        <f t="shared" si="101"/>
        <v>41.773525822327642</v>
      </c>
      <c r="FH106" s="20">
        <f t="shared" si="76"/>
        <v>358.62199547388735</v>
      </c>
      <c r="FI106" s="59">
        <f t="shared" si="77"/>
        <v>651.95532880722067</v>
      </c>
      <c r="FJ106" s="59">
        <f ca="1">AVERAGE(OFFSET($FI$3,0,0,'Données projet'!$E$16+1,1))-AVERAGE(OFFSET($H$3,0,0,'Données projet'!$E$16+1,1))</f>
        <v>102.86738524979938</v>
      </c>
      <c r="FK106" s="59">
        <f t="shared" si="102"/>
        <v>56.347130462109817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0</v>
      </c>
      <c r="FR106" s="21">
        <f>EXP(-LN(2)/25)*FR105+(1-EXP(-LN(2)/25))/(LN(2)/25)*Calculateur!FM106*Calculateur!FO106*VLOOKUP('Données projet'!$B$16,Paramètres!$A$1:$I$89,3,0)*0.475*44/12</f>
        <v>0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0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5.3</v>
      </c>
      <c r="FZ106" s="12">
        <f>IF('Données projet'!$A$244&gt;35,FZ105+FY106-GH105,IF(A106&lt;'Données projet'!$A$244,$FW$205^A106,IF(A106='Données projet'!$A$244,'Données projet'!$B$244,FZ105+FY106-GH105)))</f>
        <v>293.90000000000038</v>
      </c>
      <c r="GA106" s="17">
        <f>FZ106*VLOOKUP('Données projet'!$B$17,Paramètres!$A$1:$I$89,3,0)*VLOOKUP('Données projet'!$B$17,Paramètres!$A$1:$I$89,5,0)</f>
        <v>197.14812000000026</v>
      </c>
      <c r="GB106" s="13">
        <f t="shared" si="103"/>
        <v>49.116887894377783</v>
      </c>
      <c r="GC106" s="20">
        <f t="shared" si="79"/>
        <v>428.91155541604172</v>
      </c>
      <c r="GD106" s="59">
        <f t="shared" si="80"/>
        <v>722.24488874937504</v>
      </c>
      <c r="GE106" s="59">
        <f ca="1">AVERAGE(OFFSET($GD$3,0,0,'Données projet'!$E$17+1,1))-AVERAGE(OFFSET($H$3,0,0,'Données projet'!$E$17+1,1))</f>
        <v>168.00454652899231</v>
      </c>
      <c r="GF106" s="59">
        <f t="shared" si="104"/>
        <v>135.31958994080446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0</v>
      </c>
      <c r="GM106" s="21">
        <f>EXP(-LN(2)/25)*GM105+(1-EXP(-LN(2)/25))/(LN(2)/25)*Calculateur!GH106*Calculateur!GJ106*VLOOKUP('Données projet'!$B$17,Paramètres!$A$1:$I$89,3,0)*0.475*44/12</f>
        <v>0</v>
      </c>
      <c r="GN106" s="21">
        <f>EXP(-LN(2)/2)*GN105+(1-EXP(-LN(2)/2))/(LN(2)/2)*GH106*GK106*VLOOKUP('Données projet'!$B$17,Paramètres!$A$1:$I$89,3,0)*0.475*44/12</f>
        <v>0</v>
      </c>
      <c r="GO106" s="21">
        <f t="shared" si="81"/>
        <v>0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6.9935897435897401</v>
      </c>
      <c r="N107" s="13">
        <f>IF('Données projet'!$A$36&gt;35,N106+M107-V106,IF(A107&lt;'Données projet'!$A$36,$K$205^A107,IF(A107='Données projet'!$A$36,'Données projet'!$B$36,N106+M107-V106)))</f>
        <v>305.19871794871818</v>
      </c>
      <c r="O107" s="13">
        <f>N107*VLOOKUP('Données projet'!$B$9,Paramètres!$A$1:$I$89,3,0)*VLOOKUP('Données projet'!$B$9,Paramètres!$A$1:$I$89,5,0)</f>
        <v>276.14380000000023</v>
      </c>
      <c r="P107" s="13">
        <f t="shared" si="87"/>
        <v>66.151426401533882</v>
      </c>
      <c r="Q107" s="20">
        <f t="shared" si="107"/>
        <v>596.16418598267194</v>
      </c>
      <c r="R107" s="59">
        <f t="shared" si="55"/>
        <v>889.49751931600531</v>
      </c>
      <c r="S107" s="59">
        <f ca="1">AVERAGE(OFFSET($R$3,0,0,'Données projet'!$E$9+1,1))-AVERAGE(OFFSET($H$3,0,0,'Données projet'!$E$9+1,1))</f>
        <v>221.7429870520005</v>
      </c>
      <c r="T107" s="59">
        <f t="shared" si="88"/>
        <v>182.2029938397186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0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5.0961538461538449</v>
      </c>
      <c r="AI107" s="13">
        <f>IF('Données projet'!$A$62&gt;35,AI106+AH107-AQ106,IF(A107&lt;'Données projet'!$A$62,$AF$205^A107,IF(A107='Données projet'!$A$62,'Données projet'!$B$62,AI106+AH107-AQ106)))</f>
        <v>200.3525641025638</v>
      </c>
      <c r="AJ107" s="13">
        <f>AI107*VLOOKUP('Données projet'!$B$10,Paramètres!$A$1:$I$89,3,0)*VLOOKUP('Données projet'!$B$10,Paramètres!$A$1:$I$89,5,0)</f>
        <v>181.27899999999974</v>
      </c>
      <c r="AK107" s="13">
        <f t="shared" si="89"/>
        <v>45.606622736998297</v>
      </c>
      <c r="AL107" s="20">
        <f t="shared" si="58"/>
        <v>395.15912626693824</v>
      </c>
      <c r="AM107" s="59">
        <f t="shared" si="59"/>
        <v>688.49245960027156</v>
      </c>
      <c r="AN107" s="59">
        <f ca="1">AVERAGE(OFFSET($AM$3,0,0,'Données projet'!$E$10+1,1))-AVERAGE(OFFSET($H$3,0,0,'Données projet'!$E$10+1,1))</f>
        <v>153.45079678708987</v>
      </c>
      <c r="AO107" s="59">
        <f t="shared" si="90"/>
        <v>115.4217868409637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0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7.5015384615384617</v>
      </c>
      <c r="BD107" s="12">
        <f>IF('Données projet'!$A$88&gt;35,BD106+BC107-BL106,IF(A107&lt;'Données projet'!$A$88,$BA$205^A107,IF(A107='Données projet'!$A$88,'Données projet'!$B$88,BD106+BC107-BL106)))</f>
        <v>302.21384615384648</v>
      </c>
      <c r="BE107" s="13">
        <f>BD107*VLOOKUP('Données projet'!$B$11,Paramètres!$A$1:$I$89,3,0)*VLOOKUP('Données projet'!$B$11,Paramètres!$A$1:$I$89,5,0)</f>
        <v>141.43608000000015</v>
      </c>
      <c r="BF107" s="13">
        <f t="shared" si="91"/>
        <v>36.625795598426585</v>
      </c>
      <c r="BG107" s="20">
        <f t="shared" si="61"/>
        <v>310.12443333392656</v>
      </c>
      <c r="BH107" s="59">
        <f t="shared" si="62"/>
        <v>603.45776666725988</v>
      </c>
      <c r="BI107" s="59">
        <f ca="1">AVERAGE(OFFSET($BH$3,0,0,'Données projet'!$E$11+1,1))-AVERAGE(OFFSET($H$3,0,0,'Données projet'!$E$11+1,1))</f>
        <v>158.58786357608489</v>
      </c>
      <c r="BJ107" s="59">
        <f t="shared" si="92"/>
        <v>163.20074068819849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0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>
        <f>BY107*VLOOKUP('Données projet'!$B$12,Paramètres!$A$1:$I$89,3,0)*VLOOKUP('Données projet'!$B$12,Paramètres!$A$1:$I$89,5,0)</f>
        <v>0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255.41017495879987</v>
      </c>
      <c r="CE107" s="59">
        <f t="shared" si="94"/>
        <v>297.50513563712764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1.9271257694983084</v>
      </c>
      <c r="CL107" s="21">
        <f>EXP(-LN(2)/25)*CL106+(1-EXP(-LN(2)/25))/(LN(2)/25)*Calculateur!CG107*Calculateur!CI107*VLOOKUP('Données projet'!$B$12,Paramètres!$A$1:$I$89,3,0)*0.475*44/12</f>
        <v>3.5816745424477401</v>
      </c>
      <c r="CM107" s="21">
        <f>EXP(-LN(2)/2)*CM106+(1-EXP(-LN(2)/2))/(LN(2)/2)*CG107*CJ107*VLOOKUP('Données projet'!$B$12,Paramètres!$A$1:$I$89,3,0)*0.475*44/12</f>
        <v>1.7754203244775912E-10</v>
      </c>
      <c r="CN107" s="22">
        <f t="shared" si="66"/>
        <v>5.5088003121235909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-1.4210854715202004E-13</v>
      </c>
      <c r="CU107" s="17">
        <f>CT107*VLOOKUP('Données projet'!$B$13,Paramètres!$A$1:$I$89,3,0)*VLOOKUP('Données projet'!$B$13,Paramètres!$A$1:$I$89,5,0)</f>
        <v>-8.128608897095547E-14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134.70214882504786</v>
      </c>
      <c r="CZ107" s="59">
        <f t="shared" si="96"/>
        <v>102.18553029667771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0.24550987144578154</v>
      </c>
      <c r="DG107" s="21">
        <f>EXP(-LN(2)/25)*DG106+(1-EXP(-LN(2)/25))/(LN(2)/25)*Calculateur!DB107*Calculateur!DD107*VLOOKUP('Données projet'!$B$13,Paramètres!$A$1:$I$89,3,0)*0.475*44/12</f>
        <v>1.6128083170756158</v>
      </c>
      <c r="DH107" s="21">
        <f>EXP(-LN(2)/2)*DH106+(1-EXP(-LN(2)/2))/(LN(2)/2)*DB107*DE107*VLOOKUP('Données projet'!$B$13,Paramètres!$A$1:$I$89,3,0)*0.475*44/12</f>
        <v>5.6067775738640261E-11</v>
      </c>
      <c r="DI107" s="22">
        <f t="shared" si="69"/>
        <v>1.8583181885774651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-2.8421709430404007E-13</v>
      </c>
      <c r="DP107" s="17">
        <f>DO107*VLOOKUP('Données projet'!$B$14,Paramètres!$A$1:$I$89,3,0)*VLOOKUP('Données projet'!$B$14,Paramètres!$A$1:$I$89,5,0)</f>
        <v>-1.69961822393816E-13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179.32848817523677</v>
      </c>
      <c r="DU107" s="59">
        <f t="shared" si="98"/>
        <v>131.3292389103035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</v>
      </c>
      <c r="EB107" s="21">
        <f>EXP(-LN(2)/25)*EB106+(1-EXP(-LN(2)/25))/(LN(2)/25)*Calculateur!DW107*Calculateur!DY107*VLOOKUP('Données projet'!$B$14,Paramètres!$A$1:$I$89,3,0)*0.475*44/12</f>
        <v>1.6938276162544414</v>
      </c>
      <c r="EC107" s="21">
        <f>EXP(-LN(2)/2)*EC106+(1-EXP(-LN(2)/2))/(LN(2)/2)*DW107*DZ107*VLOOKUP('Données projet'!$B$14,Paramètres!$A$1:$I$89,3,0)*0.475*44/12</f>
        <v>3.8292414517821747E-11</v>
      </c>
      <c r="ED107" s="22">
        <f t="shared" si="72"/>
        <v>1.6938276162927339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-2.2737367544323206E-13</v>
      </c>
      <c r="EK107" s="17">
        <f>EJ107*VLOOKUP('Données projet'!$B$15,Paramètres!$A$1:$I$89,3,0)*VLOOKUP('Données projet'!$B$15,Paramètres!$A$1:$I$89,5,0)</f>
        <v>-1.0049916454590858E-13</v>
      </c>
      <c r="EL107" s="13" t="e">
        <f t="shared" si="99"/>
        <v>#NUM!</v>
      </c>
      <c r="EM107" s="20" t="e">
        <f t="shared" si="73"/>
        <v>#NUM!</v>
      </c>
      <c r="EN107" s="59" t="e">
        <f t="shared" si="74"/>
        <v>#NUM!</v>
      </c>
      <c r="EO107" s="59">
        <f ca="1">AVERAGE(OFFSET($EN$3,0,0,'Données projet'!$E$15+1,1))-AVERAGE(OFFSET($H$3,0,0,'Données projet'!$E$15+1,1))</f>
        <v>191.932060106699</v>
      </c>
      <c r="EP107" s="59">
        <f t="shared" si="100"/>
        <v>260.28593152736903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0.56430157493317223</v>
      </c>
      <c r="EW107" s="21">
        <f>EXP(-LN(2)/25)*EW106+(1-EXP(-LN(2)/25))/(LN(2)/25)*Calculateur!ER107*Calculateur!ET107*VLOOKUP('Données projet'!$B$15,Paramètres!$A$1:$I$89,3,0)*0.475*44/12</f>
        <v>1.6218161192460392</v>
      </c>
      <c r="EX107" s="21">
        <f>EXP(-LN(2)/2)*EX106+(1-EXP(-LN(2)/2))/(LN(2)/2)*ER107*EU107*VLOOKUP('Données projet'!$B$15,Paramètres!$A$1:$I$89,3,0)*0.475*44/12</f>
        <v>9.737967504946207E-12</v>
      </c>
      <c r="EY107" s="22">
        <f t="shared" si="75"/>
        <v>2.1861176941889493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2.9</v>
      </c>
      <c r="FE107" s="12">
        <f>IF('Données projet'!$A$218&gt;35,FE106+FD107-FM106,IF(A107&lt;'Données projet'!$A$218,$FB$205^A107,IF(A107='Données projet'!$A$218,'Données projet'!$B$218,FE106+FD107-FM106)))</f>
        <v>172.60000000000005</v>
      </c>
      <c r="FF107" s="17">
        <f>FE107*VLOOKUP('Données projet'!$B$16,Paramètres!$A$1:$I$89,3,0)*VLOOKUP('Données projet'!$B$16,Paramètres!$A$1:$I$89,5,0)</f>
        <v>166.93872000000005</v>
      </c>
      <c r="FG107" s="13">
        <f t="shared" si="101"/>
        <v>42.403675278071887</v>
      </c>
      <c r="FH107" s="20">
        <f t="shared" si="76"/>
        <v>364.60467177597525</v>
      </c>
      <c r="FI107" s="59">
        <f t="shared" si="77"/>
        <v>657.93800510930851</v>
      </c>
      <c r="FJ107" s="59">
        <f ca="1">AVERAGE(OFFSET($FI$3,0,0,'Données projet'!$E$16+1,1))-AVERAGE(OFFSET($H$3,0,0,'Données projet'!$E$16+1,1))</f>
        <v>102.86738524979938</v>
      </c>
      <c r="FK107" s="59">
        <f t="shared" si="102"/>
        <v>56.347130462109817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0</v>
      </c>
      <c r="FR107" s="21">
        <f>EXP(-LN(2)/25)*FR106+(1-EXP(-LN(2)/25))/(LN(2)/25)*Calculateur!FM107*Calculateur!FO107*VLOOKUP('Données projet'!$B$16,Paramètres!$A$1:$I$89,3,0)*0.475*44/12</f>
        <v>0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0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5.3</v>
      </c>
      <c r="FZ107" s="12">
        <f>IF('Données projet'!$A$244&gt;35,FZ106+FY107-GH106,IF(A107&lt;'Données projet'!$A$244,$FW$205^A107,IF(A107='Données projet'!$A$244,'Données projet'!$B$244,FZ106+FY107-GH106)))</f>
        <v>299.20000000000039</v>
      </c>
      <c r="GA107" s="17">
        <f>FZ107*VLOOKUP('Données projet'!$B$17,Paramètres!$A$1:$I$89,3,0)*VLOOKUP('Données projet'!$B$17,Paramètres!$A$1:$I$89,5,0)</f>
        <v>200.70336000000029</v>
      </c>
      <c r="GB107" s="13">
        <f t="shared" si="103"/>
        <v>49.898713367599633</v>
      </c>
      <c r="GC107" s="20">
        <f t="shared" si="79"/>
        <v>436.46527778190324</v>
      </c>
      <c r="GD107" s="59">
        <f t="shared" si="80"/>
        <v>729.79861111523655</v>
      </c>
      <c r="GE107" s="59">
        <f ca="1">AVERAGE(OFFSET($GD$3,0,0,'Données projet'!$E$17+1,1))-AVERAGE(OFFSET($H$3,0,0,'Données projet'!$E$17+1,1))</f>
        <v>168.00454652899231</v>
      </c>
      <c r="GF107" s="59">
        <f t="shared" si="104"/>
        <v>135.31958994080446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0</v>
      </c>
      <c r="GM107" s="21">
        <f>EXP(-LN(2)/25)*GM106+(1-EXP(-LN(2)/25))/(LN(2)/25)*Calculateur!GH107*Calculateur!GJ107*VLOOKUP('Données projet'!$B$17,Paramètres!$A$1:$I$89,3,0)*0.475*44/12</f>
        <v>0</v>
      </c>
      <c r="GN107" s="21">
        <f>EXP(-LN(2)/2)*GN106+(1-EXP(-LN(2)/2))/(LN(2)/2)*GH107*GK107*VLOOKUP('Données projet'!$B$17,Paramètres!$A$1:$I$89,3,0)*0.475*44/12</f>
        <v>0</v>
      </c>
      <c r="GO107" s="21">
        <f t="shared" si="81"/>
        <v>0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6.9935897435897401</v>
      </c>
      <c r="N108" s="13">
        <f>IF('Données projet'!$A$36&gt;35,N107+M108-V107,IF(A108&lt;'Données projet'!$A$36,$K$205^A108,IF(A108='Données projet'!$A$36,'Données projet'!$B$36,N107+M108-V107)))</f>
        <v>312.19230769230791</v>
      </c>
      <c r="O108" s="13">
        <f>N108*VLOOKUP('Données projet'!$B$9,Paramètres!$A$1:$I$89,3,0)*VLOOKUP('Données projet'!$B$9,Paramètres!$A$1:$I$89,5,0)</f>
        <v>282.47160000000019</v>
      </c>
      <c r="P108" s="13">
        <f t="shared" si="87"/>
        <v>67.489061551962138</v>
      </c>
      <c r="Q108" s="20">
        <f t="shared" si="107"/>
        <v>609.51481886966769</v>
      </c>
      <c r="R108" s="59">
        <f t="shared" si="55"/>
        <v>902.84815220300106</v>
      </c>
      <c r="S108" s="59">
        <f ca="1">AVERAGE(OFFSET($R$3,0,0,'Données projet'!$E$9+1,1))-AVERAGE(OFFSET($H$3,0,0,'Données projet'!$E$9+1,1))</f>
        <v>221.7429870520005</v>
      </c>
      <c r="T108" s="59">
        <f t="shared" si="88"/>
        <v>182.2029938397186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0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5.0961538461538449</v>
      </c>
      <c r="AI108" s="13">
        <f>IF('Données projet'!$A$62&gt;35,AI107+AH108-AQ107,IF(A108&lt;'Données projet'!$A$62,$AF$205^A108,IF(A108='Données projet'!$A$62,'Données projet'!$B$62,AI107+AH108-AQ107)))</f>
        <v>205.44871794871764</v>
      </c>
      <c r="AJ108" s="13">
        <f>AI108*VLOOKUP('Données projet'!$B$10,Paramètres!$A$1:$I$89,3,0)*VLOOKUP('Données projet'!$B$10,Paramètres!$A$1:$I$89,5,0)</f>
        <v>185.8899999999997</v>
      </c>
      <c r="AK108" s="13">
        <f t="shared" si="89"/>
        <v>46.630136922287527</v>
      </c>
      <c r="AL108" s="20">
        <f t="shared" si="58"/>
        <v>404.97257180631692</v>
      </c>
      <c r="AM108" s="59">
        <f t="shared" si="59"/>
        <v>698.30590513965024</v>
      </c>
      <c r="AN108" s="59">
        <f ca="1">AVERAGE(OFFSET($AM$3,0,0,'Données projet'!$E$10+1,1))-AVERAGE(OFFSET($H$3,0,0,'Données projet'!$E$10+1,1))</f>
        <v>153.45079678708987</v>
      </c>
      <c r="AO108" s="59">
        <f t="shared" si="90"/>
        <v>115.4217868409637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0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>
        <f>VLOOKUP(A108,'Données projet'!$A$87:$I$107,2,0)</f>
        <v>309.71538461538461</v>
      </c>
      <c r="BB108" s="12">
        <f>VLOOKUP(A108,'Données projet'!$A$87:$I$107,9,0)</f>
        <v>7.5015384615384617</v>
      </c>
      <c r="BC108" s="12">
        <f t="array" ref="BC108">INDEX(BB:BB,MIN(IF(ISNUMBER(BB108:BB304),ROW(BB108:BB304),"")))</f>
        <v>7.5015384615384617</v>
      </c>
      <c r="BD108" s="12">
        <f>IF('Données projet'!$A$88&gt;35,BD107+BC108-BL107,IF(A108&lt;'Données projet'!$A$88,$BA$205^A108,IF(A108='Données projet'!$A$88,'Données projet'!$B$88,BD107+BC108-BL107)))</f>
        <v>309.71538461538495</v>
      </c>
      <c r="BE108" s="13">
        <f>BD108*VLOOKUP('Données projet'!$B$11,Paramètres!$A$1:$I$89,3,0)*VLOOKUP('Données projet'!$B$11,Paramètres!$A$1:$I$89,5,0)</f>
        <v>144.94680000000017</v>
      </c>
      <c r="BF108" s="13">
        <f t="shared" si="91"/>
        <v>37.427947530076956</v>
      </c>
      <c r="BG108" s="20">
        <f t="shared" si="61"/>
        <v>317.63601861488428</v>
      </c>
      <c r="BH108" s="59">
        <f t="shared" si="62"/>
        <v>610.96935194821754</v>
      </c>
      <c r="BI108" s="59">
        <f ca="1">AVERAGE(OFFSET($BH$3,0,0,'Données projet'!$E$11+1,1))-AVERAGE(OFFSET($H$3,0,0,'Données projet'!$E$11+1,1))</f>
        <v>158.58786357608489</v>
      </c>
      <c r="BJ108" s="59">
        <f t="shared" si="92"/>
        <v>163.20074068819849</v>
      </c>
      <c r="BK108" s="15">
        <f>IF(ISNA(VLOOKUP(A108,'Données projet'!$A$87:$I$107,3,0)),0,VLOOKUP(A108,'Données projet'!$A$87:$I$107,3,0))</f>
        <v>9</v>
      </c>
      <c r="BL108" s="15">
        <f>IF(ISNA(VLOOKUP(A108,'Données projet'!$A$87:$I$107,4,0)),0,VLOOKUP(A108,'Données projet'!$A$87:$I$107,4,0))</f>
        <v>309.71538461538461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0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>
        <f>BY108*VLOOKUP('Données projet'!$B$12,Paramètres!$A$1:$I$89,3,0)*VLOOKUP('Données projet'!$B$12,Paramètres!$A$1:$I$89,5,0)</f>
        <v>0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255.41017495879987</v>
      </c>
      <c r="CE108" s="59">
        <f t="shared" si="94"/>
        <v>297.50513563712764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1.8893360085891018</v>
      </c>
      <c r="CL108" s="21">
        <f>EXP(-LN(2)/25)*CL107+(1-EXP(-LN(2)/25))/(LN(2)/25)*Calculateur!CG108*Calculateur!CI108*VLOOKUP('Données projet'!$B$12,Paramètres!$A$1:$I$89,3,0)*0.475*44/12</f>
        <v>3.4837334637324284</v>
      </c>
      <c r="CM108" s="21">
        <f>EXP(-LN(2)/2)*CM107+(1-EXP(-LN(2)/2))/(LN(2)/2)*CG108*CJ108*VLOOKUP('Données projet'!$B$12,Paramètres!$A$1:$I$89,3,0)*0.475*44/12</f>
        <v>1.2554117508945253E-10</v>
      </c>
      <c r="CN108" s="22">
        <f t="shared" si="66"/>
        <v>5.3730694724470718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-1.4210854715202004E-13</v>
      </c>
      <c r="CU108" s="17">
        <f>CT108*VLOOKUP('Données projet'!$B$13,Paramètres!$A$1:$I$89,3,0)*VLOOKUP('Données projet'!$B$13,Paramètres!$A$1:$I$89,5,0)</f>
        <v>-8.128608897095547E-14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134.70214882504786</v>
      </c>
      <c r="CZ108" s="59">
        <f t="shared" si="96"/>
        <v>102.18553029667771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0.24069557261296515</v>
      </c>
      <c r="DG108" s="21">
        <f>EXP(-LN(2)/25)*DG107+(1-EXP(-LN(2)/25))/(LN(2)/25)*Calculateur!DB108*Calculateur!DD108*VLOOKUP('Données projet'!$B$13,Paramètres!$A$1:$I$89,3,0)*0.475*44/12</f>
        <v>1.5687059888312798</v>
      </c>
      <c r="DH108" s="21">
        <f>EXP(-LN(2)/2)*DH107+(1-EXP(-LN(2)/2))/(LN(2)/2)*DB108*DE108*VLOOKUP('Données projet'!$B$13,Paramètres!$A$1:$I$89,3,0)*0.475*44/12</f>
        <v>3.9645904430839117E-11</v>
      </c>
      <c r="DI108" s="22">
        <f t="shared" si="69"/>
        <v>1.8094015614838908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-2.8421709430404007E-13</v>
      </c>
      <c r="DP108" s="17">
        <f>DO108*VLOOKUP('Données projet'!$B$14,Paramètres!$A$1:$I$89,3,0)*VLOOKUP('Données projet'!$B$14,Paramètres!$A$1:$I$89,5,0)</f>
        <v>-1.69961822393816E-13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179.32848817523677</v>
      </c>
      <c r="DU108" s="59">
        <f t="shared" si="98"/>
        <v>131.3292389103035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</v>
      </c>
      <c r="EB108" s="21">
        <f>EXP(-LN(2)/25)*EB107+(1-EXP(-LN(2)/25))/(LN(2)/25)*Calculateur!DW108*Calculateur!DY108*VLOOKUP('Données projet'!$B$14,Paramètres!$A$1:$I$89,3,0)*0.475*44/12</f>
        <v>1.6475098110134407</v>
      </c>
      <c r="EC108" s="21">
        <f>EXP(-LN(2)/2)*EC107+(1-EXP(-LN(2)/2))/(LN(2)/2)*DW108*DZ108*VLOOKUP('Données projet'!$B$14,Paramètres!$A$1:$I$89,3,0)*0.475*44/12</f>
        <v>2.7076825973557958E-11</v>
      </c>
      <c r="ED108" s="22">
        <f t="shared" si="72"/>
        <v>1.6475098110405175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-2.2737367544323206E-13</v>
      </c>
      <c r="EK108" s="17">
        <f>EJ108*VLOOKUP('Données projet'!$B$15,Paramètres!$A$1:$I$89,3,0)*VLOOKUP('Données projet'!$B$15,Paramètres!$A$1:$I$89,5,0)</f>
        <v>-1.0049916454590858E-13</v>
      </c>
      <c r="EL108" s="13" t="e">
        <f t="shared" si="99"/>
        <v>#NUM!</v>
      </c>
      <c r="EM108" s="20" t="e">
        <f t="shared" si="73"/>
        <v>#NUM!</v>
      </c>
      <c r="EN108" s="59" t="e">
        <f t="shared" si="74"/>
        <v>#NUM!</v>
      </c>
      <c r="EO108" s="59">
        <f ca="1">AVERAGE(OFFSET($EN$3,0,0,'Données projet'!$E$15+1,1))-AVERAGE(OFFSET($H$3,0,0,'Données projet'!$E$15+1,1))</f>
        <v>191.932060106699</v>
      </c>
      <c r="EP108" s="59">
        <f t="shared" si="100"/>
        <v>260.28593152736903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0.55323596523870755</v>
      </c>
      <c r="EW108" s="21">
        <f>EXP(-LN(2)/25)*EW107+(1-EXP(-LN(2)/25))/(LN(2)/25)*Calculateur!ER108*Calculateur!ET108*VLOOKUP('Données projet'!$B$15,Paramètres!$A$1:$I$89,3,0)*0.475*44/12</f>
        <v>1.5774674721776532</v>
      </c>
      <c r="EX108" s="21">
        <f>EXP(-LN(2)/2)*EX107+(1-EXP(-LN(2)/2))/(LN(2)/2)*ER108*EU108*VLOOKUP('Données projet'!$B$15,Paramètres!$A$1:$I$89,3,0)*0.475*44/12</f>
        <v>6.8857828577217078E-12</v>
      </c>
      <c r="EY108" s="22">
        <f t="shared" si="75"/>
        <v>2.1307034374232461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2.9</v>
      </c>
      <c r="FE108" s="12">
        <f>IF('Données projet'!$A$218&gt;35,FE107+FD108-FM107,IF(A108&lt;'Données projet'!$A$218,$FB$205^A108,IF(A108='Données projet'!$A$218,'Données projet'!$B$218,FE107+FD108-FM107)))</f>
        <v>175.50000000000006</v>
      </c>
      <c r="FF108" s="17">
        <f>FE108*VLOOKUP('Données projet'!$B$16,Paramètres!$A$1:$I$89,3,0)*VLOOKUP('Données projet'!$B$16,Paramètres!$A$1:$I$89,5,0)</f>
        <v>169.74360000000004</v>
      </c>
      <c r="FG108" s="13">
        <f t="shared" si="101"/>
        <v>43.032593471060473</v>
      </c>
      <c r="FH108" s="20">
        <f t="shared" si="76"/>
        <v>370.58520362876374</v>
      </c>
      <c r="FI108" s="59">
        <f t="shared" si="77"/>
        <v>663.91853696209705</v>
      </c>
      <c r="FJ108" s="59">
        <f ca="1">AVERAGE(OFFSET($FI$3,0,0,'Données projet'!$E$16+1,1))-AVERAGE(OFFSET($H$3,0,0,'Données projet'!$E$16+1,1))</f>
        <v>102.86738524979938</v>
      </c>
      <c r="FK108" s="59">
        <f t="shared" si="102"/>
        <v>56.347130462109817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0</v>
      </c>
      <c r="FR108" s="21">
        <f>EXP(-LN(2)/25)*FR107+(1-EXP(-LN(2)/25))/(LN(2)/25)*Calculateur!FM108*Calculateur!FO108*VLOOKUP('Données projet'!$B$16,Paramètres!$A$1:$I$89,3,0)*0.475*44/12</f>
        <v>0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0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5.3</v>
      </c>
      <c r="FZ108" s="12">
        <f>IF('Données projet'!$A$244&gt;35,FZ107+FY108-GH107,IF(A108&lt;'Données projet'!$A$244,$FW$205^A108,IF(A108='Données projet'!$A$244,'Données projet'!$B$244,FZ107+FY108-GH107)))</f>
        <v>304.5000000000004</v>
      </c>
      <c r="GA108" s="17">
        <f>FZ108*VLOOKUP('Données projet'!$B$17,Paramètres!$A$1:$I$89,3,0)*VLOOKUP('Données projet'!$B$17,Paramètres!$A$1:$I$89,5,0)</f>
        <v>204.25860000000029</v>
      </c>
      <c r="GB108" s="13">
        <f t="shared" si="103"/>
        <v>50.678928367887274</v>
      </c>
      <c r="GC108" s="20">
        <f t="shared" si="79"/>
        <v>444.01619524073749</v>
      </c>
      <c r="GD108" s="59">
        <f t="shared" si="80"/>
        <v>737.34952857407075</v>
      </c>
      <c r="GE108" s="59">
        <f ca="1">AVERAGE(OFFSET($GD$3,0,0,'Données projet'!$E$17+1,1))-AVERAGE(OFFSET($H$3,0,0,'Données projet'!$E$17+1,1))</f>
        <v>168.00454652899231</v>
      </c>
      <c r="GF108" s="59">
        <f t="shared" si="104"/>
        <v>135.31958994080446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0</v>
      </c>
      <c r="GM108" s="21">
        <f>EXP(-LN(2)/25)*GM107+(1-EXP(-LN(2)/25))/(LN(2)/25)*Calculateur!GH108*Calculateur!GJ108*VLOOKUP('Données projet'!$B$17,Paramètres!$A$1:$I$89,3,0)*0.475*44/12</f>
        <v>0</v>
      </c>
      <c r="GN108" s="21">
        <f>EXP(-LN(2)/2)*GN107+(1-EXP(-LN(2)/2))/(LN(2)/2)*GH108*GK108*VLOOKUP('Données projet'!$B$17,Paramètres!$A$1:$I$89,3,0)*0.475*44/12</f>
        <v>0</v>
      </c>
      <c r="GO108" s="21">
        <f t="shared" si="81"/>
        <v>0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6.9935897435897401</v>
      </c>
      <c r="N109" s="13">
        <f>IF('Données projet'!$A$36&gt;35,N108+M109-V108,IF(A109&lt;'Données projet'!$A$36,$K$205^A109,IF(A109='Données projet'!$A$36,'Données projet'!$B$36,N108+M109-V108)))</f>
        <v>319.18589743589763</v>
      </c>
      <c r="O109" s="13">
        <f>N109*VLOOKUP('Données projet'!$B$9,Paramètres!$A$1:$I$89,3,0)*VLOOKUP('Données projet'!$B$9,Paramètres!$A$1:$I$89,5,0)</f>
        <v>288.79940000000016</v>
      </c>
      <c r="P109" s="13">
        <f t="shared" si="87"/>
        <v>68.823213001142449</v>
      </c>
      <c r="Q109" s="20">
        <f t="shared" si="107"/>
        <v>622.85938431032332</v>
      </c>
      <c r="R109" s="59">
        <f t="shared" si="55"/>
        <v>916.19271764365658</v>
      </c>
      <c r="S109" s="59">
        <f ca="1">AVERAGE(OFFSET($R$3,0,0,'Données projet'!$E$9+1,1))-AVERAGE(OFFSET($H$3,0,0,'Données projet'!$E$9+1,1))</f>
        <v>221.7429870520005</v>
      </c>
      <c r="T109" s="59">
        <f t="shared" si="88"/>
        <v>182.2029938397186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0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5.0961538461538449</v>
      </c>
      <c r="AI109" s="13">
        <f>IF('Données projet'!$A$62&gt;35,AI108+AH109-AQ108,IF(A109&lt;'Données projet'!$A$62,$AF$205^A109,IF(A109='Données projet'!$A$62,'Données projet'!$B$62,AI108+AH109-AQ108)))</f>
        <v>210.54487179487148</v>
      </c>
      <c r="AJ109" s="13">
        <f>AI109*VLOOKUP('Données projet'!$B$10,Paramètres!$A$1:$I$89,3,0)*VLOOKUP('Données projet'!$B$10,Paramètres!$A$1:$I$89,5,0)</f>
        <v>190.50099999999969</v>
      </c>
      <c r="AK109" s="13">
        <f t="shared" si="89"/>
        <v>47.65069985627148</v>
      </c>
      <c r="AL109" s="20">
        <f t="shared" si="58"/>
        <v>414.78087724967219</v>
      </c>
      <c r="AM109" s="59">
        <f t="shared" si="59"/>
        <v>708.1142105830055</v>
      </c>
      <c r="AN109" s="59">
        <f ca="1">AVERAGE(OFFSET($AM$3,0,0,'Données projet'!$E$10+1,1))-AVERAGE(OFFSET($H$3,0,0,'Données projet'!$E$10+1,1))</f>
        <v>153.45079678708987</v>
      </c>
      <c r="AO109" s="59">
        <f t="shared" si="90"/>
        <v>115.4217868409637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0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3.4106051316484809E-13</v>
      </c>
      <c r="BE109" s="13">
        <f>BD109*VLOOKUP('Données projet'!$B$11,Paramètres!$A$1:$I$89,3,0)*VLOOKUP('Données projet'!$B$11,Paramètres!$A$1:$I$89,5,0)</f>
        <v>1.5961632016114892E-13</v>
      </c>
      <c r="BF109" s="13">
        <f t="shared" si="91"/>
        <v>2.2708641912150958E-12</v>
      </c>
      <c r="BG109" s="20">
        <f t="shared" si="61"/>
        <v>4.2330868906469593E-12</v>
      </c>
      <c r="BH109" s="59">
        <f t="shared" si="62"/>
        <v>293.33333333333752</v>
      </c>
      <c r="BI109" s="59">
        <f ca="1">AVERAGE(OFFSET($BH$3,0,0,'Données projet'!$E$11+1,1))-AVERAGE(OFFSET($H$3,0,0,'Données projet'!$E$11+1,1))</f>
        <v>158.58786357608489</v>
      </c>
      <c r="BJ109" s="59">
        <f t="shared" si="92"/>
        <v>163.20074068819849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0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>
        <f>BY109*VLOOKUP('Données projet'!$B$12,Paramètres!$A$1:$I$89,3,0)*VLOOKUP('Données projet'!$B$12,Paramètres!$A$1:$I$89,5,0)</f>
        <v>0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255.41017495879987</v>
      </c>
      <c r="CE109" s="59">
        <f t="shared" si="94"/>
        <v>297.50513563712764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1.8522872818418465</v>
      </c>
      <c r="CL109" s="21">
        <f>EXP(-LN(2)/25)*CL108+(1-EXP(-LN(2)/25))/(LN(2)/25)*Calculateur!CG109*Calculateur!CI109*VLOOKUP('Données projet'!$B$12,Paramètres!$A$1:$I$89,3,0)*0.475*44/12</f>
        <v>3.3884705889650846</v>
      </c>
      <c r="CM109" s="21">
        <f>EXP(-LN(2)/2)*CM108+(1-EXP(-LN(2)/2))/(LN(2)/2)*CG109*CJ109*VLOOKUP('Données projet'!$B$12,Paramètres!$A$1:$I$89,3,0)*0.475*44/12</f>
        <v>8.877101622387956E-11</v>
      </c>
      <c r="CN109" s="22">
        <f t="shared" si="66"/>
        <v>5.2407578708957017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-1.4210854715202004E-13</v>
      </c>
      <c r="CU109" s="17">
        <f>CT109*VLOOKUP('Données projet'!$B$13,Paramètres!$A$1:$I$89,3,0)*VLOOKUP('Données projet'!$B$13,Paramètres!$A$1:$I$89,5,0)</f>
        <v>-8.128608897095547E-14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134.70214882504786</v>
      </c>
      <c r="CZ109" s="59">
        <f t="shared" si="96"/>
        <v>102.18553029667771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0.23597567924382792</v>
      </c>
      <c r="DG109" s="21">
        <f>EXP(-LN(2)/25)*DG108+(1-EXP(-LN(2)/25))/(LN(2)/25)*Calculateur!DB109*Calculateur!DD109*VLOOKUP('Données projet'!$B$13,Paramètres!$A$1:$I$89,3,0)*0.475*44/12</f>
        <v>1.5258096410720259</v>
      </c>
      <c r="DH109" s="21">
        <f>EXP(-LN(2)/2)*DH108+(1-EXP(-LN(2)/2))/(LN(2)/2)*DB109*DE109*VLOOKUP('Données projet'!$B$13,Paramètres!$A$1:$I$89,3,0)*0.475*44/12</f>
        <v>2.8033887869320131E-11</v>
      </c>
      <c r="DI109" s="22">
        <f t="shared" si="69"/>
        <v>1.7617853203438876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-2.8421709430404007E-13</v>
      </c>
      <c r="DP109" s="17">
        <f>DO109*VLOOKUP('Données projet'!$B$14,Paramètres!$A$1:$I$89,3,0)*VLOOKUP('Données projet'!$B$14,Paramètres!$A$1:$I$89,5,0)</f>
        <v>-1.69961822393816E-13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179.32848817523677</v>
      </c>
      <c r="DU109" s="59">
        <f t="shared" si="98"/>
        <v>131.3292389103035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</v>
      </c>
      <c r="EB109" s="21">
        <f>EXP(-LN(2)/25)*EB108+(1-EXP(-LN(2)/25))/(LN(2)/25)*Calculateur!DW109*Calculateur!DY109*VLOOKUP('Données projet'!$B$14,Paramètres!$A$1:$I$89,3,0)*0.475*44/12</f>
        <v>1.6024585685925026</v>
      </c>
      <c r="EC109" s="21">
        <f>EXP(-LN(2)/2)*EC108+(1-EXP(-LN(2)/2))/(LN(2)/2)*DW109*DZ109*VLOOKUP('Données projet'!$B$14,Paramètres!$A$1:$I$89,3,0)*0.475*44/12</f>
        <v>1.9146207258910874E-11</v>
      </c>
      <c r="ED109" s="22">
        <f t="shared" si="72"/>
        <v>1.6024585686116488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-2.2737367544323206E-13</v>
      </c>
      <c r="EK109" s="17">
        <f>EJ109*VLOOKUP('Données projet'!$B$15,Paramètres!$A$1:$I$89,3,0)*VLOOKUP('Données projet'!$B$15,Paramètres!$A$1:$I$89,5,0)</f>
        <v>-1.0049916454590858E-13</v>
      </c>
      <c r="EL109" s="13" t="e">
        <f t="shared" si="99"/>
        <v>#NUM!</v>
      </c>
      <c r="EM109" s="20" t="e">
        <f t="shared" si="73"/>
        <v>#NUM!</v>
      </c>
      <c r="EN109" s="59" t="e">
        <f t="shared" si="74"/>
        <v>#NUM!</v>
      </c>
      <c r="EO109" s="59">
        <f ca="1">AVERAGE(OFFSET($EN$3,0,0,'Données projet'!$E$15+1,1))-AVERAGE(OFFSET($H$3,0,0,'Données projet'!$E$15+1,1))</f>
        <v>191.932060106699</v>
      </c>
      <c r="EP109" s="59">
        <f t="shared" si="100"/>
        <v>260.28593152736903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0.54238734540099576</v>
      </c>
      <c r="EW109" s="21">
        <f>EXP(-LN(2)/25)*EW108+(1-EXP(-LN(2)/25))/(LN(2)/25)*Calculateur!ER109*Calculateur!ET109*VLOOKUP('Données projet'!$B$15,Paramètres!$A$1:$I$89,3,0)*0.475*44/12</f>
        <v>1.5343315411955463</v>
      </c>
      <c r="EX109" s="21">
        <f>EXP(-LN(2)/2)*EX108+(1-EXP(-LN(2)/2))/(LN(2)/2)*ER109*EU109*VLOOKUP('Données projet'!$B$15,Paramètres!$A$1:$I$89,3,0)*0.475*44/12</f>
        <v>4.8689837524731035E-12</v>
      </c>
      <c r="EY109" s="22">
        <f t="shared" si="75"/>
        <v>2.076718886601411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2.9</v>
      </c>
      <c r="FE109" s="12">
        <f>IF('Données projet'!$A$218&gt;35,FE108+FD109-FM108,IF(A109&lt;'Données projet'!$A$218,$FB$205^A109,IF(A109='Données projet'!$A$218,'Données projet'!$B$218,FE108+FD109-FM108)))</f>
        <v>178.40000000000006</v>
      </c>
      <c r="FF109" s="17">
        <f>FE109*VLOOKUP('Données projet'!$B$16,Paramètres!$A$1:$I$89,3,0)*VLOOKUP('Données projet'!$B$16,Paramètres!$A$1:$I$89,5,0)</f>
        <v>172.54848000000007</v>
      </c>
      <c r="FG109" s="13">
        <f t="shared" si="101"/>
        <v>43.6603030954305</v>
      </c>
      <c r="FH109" s="20">
        <f t="shared" si="76"/>
        <v>376.56363055787489</v>
      </c>
      <c r="FI109" s="59">
        <f t="shared" si="77"/>
        <v>669.8969638912082</v>
      </c>
      <c r="FJ109" s="59">
        <f ca="1">AVERAGE(OFFSET($FI$3,0,0,'Données projet'!$E$16+1,1))-AVERAGE(OFFSET($H$3,0,0,'Données projet'!$E$16+1,1))</f>
        <v>102.86738524979938</v>
      </c>
      <c r="FK109" s="59">
        <f t="shared" si="102"/>
        <v>56.347130462109817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0</v>
      </c>
      <c r="FR109" s="21">
        <f>EXP(-LN(2)/25)*FR108+(1-EXP(-LN(2)/25))/(LN(2)/25)*Calculateur!FM109*Calculateur!FO109*VLOOKUP('Données projet'!$B$16,Paramètres!$A$1:$I$89,3,0)*0.475*44/12</f>
        <v>0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0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5.3</v>
      </c>
      <c r="FZ109" s="12">
        <f>IF('Données projet'!$A$244&gt;35,FZ108+FY109-GH108,IF(A109&lt;'Données projet'!$A$244,$FW$205^A109,IF(A109='Données projet'!$A$244,'Données projet'!$B$244,FZ108+FY109-GH108)))</f>
        <v>309.80000000000041</v>
      </c>
      <c r="GA109" s="17">
        <f>FZ109*VLOOKUP('Données projet'!$B$17,Paramètres!$A$1:$I$89,3,0)*VLOOKUP('Données projet'!$B$17,Paramètres!$A$1:$I$89,5,0)</f>
        <v>207.81384000000028</v>
      </c>
      <c r="GB109" s="13">
        <f t="shared" si="103"/>
        <v>51.457564160797666</v>
      </c>
      <c r="GC109" s="20">
        <f t="shared" si="79"/>
        <v>451.56436224672308</v>
      </c>
      <c r="GD109" s="59">
        <f t="shared" si="80"/>
        <v>744.89769558005639</v>
      </c>
      <c r="GE109" s="59">
        <f ca="1">AVERAGE(OFFSET($GD$3,0,0,'Données projet'!$E$17+1,1))-AVERAGE(OFFSET($H$3,0,0,'Données projet'!$E$17+1,1))</f>
        <v>168.00454652899231</v>
      </c>
      <c r="GF109" s="59">
        <f t="shared" si="104"/>
        <v>135.31958994080446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0</v>
      </c>
      <c r="GM109" s="21">
        <f>EXP(-LN(2)/25)*GM108+(1-EXP(-LN(2)/25))/(LN(2)/25)*Calculateur!GH109*Calculateur!GJ109*VLOOKUP('Données projet'!$B$17,Paramètres!$A$1:$I$89,3,0)*0.475*44/12</f>
        <v>0</v>
      </c>
      <c r="GN109" s="21">
        <f>EXP(-LN(2)/2)*GN108+(1-EXP(-LN(2)/2))/(LN(2)/2)*GH109*GK109*VLOOKUP('Données projet'!$B$17,Paramètres!$A$1:$I$89,3,0)*0.475*44/12</f>
        <v>0</v>
      </c>
      <c r="GO109" s="21">
        <f t="shared" si="81"/>
        <v>0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6.9935897435897401</v>
      </c>
      <c r="N110" s="13">
        <f>IF('Données projet'!$A$36&gt;35,N109+M110-V109,IF(A110&lt;'Données projet'!$A$36,$K$205^A110,IF(A110='Données projet'!$A$36,'Données projet'!$B$36,N109+M110-V109)))</f>
        <v>326.17948717948735</v>
      </c>
      <c r="O110" s="13">
        <f>N110*VLOOKUP('Données projet'!$B$9,Paramètres!$A$1:$I$89,3,0)*VLOOKUP('Données projet'!$B$9,Paramètres!$A$1:$I$89,5,0)</f>
        <v>295.12720000000013</v>
      </c>
      <c r="P110" s="13">
        <f t="shared" si="87"/>
        <v>70.153965869482519</v>
      </c>
      <c r="Q110" s="20">
        <f t="shared" si="107"/>
        <v>636.19803055601562</v>
      </c>
      <c r="R110" s="59">
        <f t="shared" si="55"/>
        <v>929.531363889349</v>
      </c>
      <c r="S110" s="59">
        <f ca="1">AVERAGE(OFFSET($R$3,0,0,'Données projet'!$E$9+1,1))-AVERAGE(OFFSET($H$3,0,0,'Données projet'!$E$9+1,1))</f>
        <v>221.7429870520005</v>
      </c>
      <c r="T110" s="59">
        <f t="shared" si="88"/>
        <v>182.2029938397186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0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5.0961538461538449</v>
      </c>
      <c r="AI110" s="13">
        <f>IF('Données projet'!$A$62&gt;35,AI109+AH110-AQ109,IF(A110&lt;'Données projet'!$A$62,$AF$205^A110,IF(A110='Données projet'!$A$62,'Données projet'!$B$62,AI109+AH110-AQ109)))</f>
        <v>215.64102564102532</v>
      </c>
      <c r="AJ110" s="13">
        <f>AI110*VLOOKUP('Données projet'!$B$10,Paramètres!$A$1:$I$89,3,0)*VLOOKUP('Données projet'!$B$10,Paramètres!$A$1:$I$89,5,0)</f>
        <v>195.11199999999971</v>
      </c>
      <c r="AK110" s="13">
        <f t="shared" si="89"/>
        <v>48.668391191190658</v>
      </c>
      <c r="AL110" s="20">
        <f t="shared" si="58"/>
        <v>424.58418132465653</v>
      </c>
      <c r="AM110" s="59">
        <f t="shared" si="59"/>
        <v>717.91751465798984</v>
      </c>
      <c r="AN110" s="59">
        <f ca="1">AVERAGE(OFFSET($AM$3,0,0,'Données projet'!$E$10+1,1))-AVERAGE(OFFSET($H$3,0,0,'Données projet'!$E$10+1,1))</f>
        <v>153.45079678708987</v>
      </c>
      <c r="AO110" s="59">
        <f t="shared" si="90"/>
        <v>115.4217868409637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0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3.4106051316484809E-13</v>
      </c>
      <c r="BE110" s="13">
        <f>BD110*VLOOKUP('Données projet'!$B$11,Paramètres!$A$1:$I$89,3,0)*VLOOKUP('Données projet'!$B$11,Paramètres!$A$1:$I$89,5,0)</f>
        <v>1.5961632016114892E-13</v>
      </c>
      <c r="BF110" s="13">
        <f t="shared" si="91"/>
        <v>2.2708641912150958E-12</v>
      </c>
      <c r="BG110" s="20">
        <f t="shared" si="61"/>
        <v>4.2330868906469593E-12</v>
      </c>
      <c r="BH110" s="59">
        <f t="shared" si="62"/>
        <v>293.33333333333752</v>
      </c>
      <c r="BI110" s="59">
        <f ca="1">AVERAGE(OFFSET($BH$3,0,0,'Données projet'!$E$11+1,1))-AVERAGE(OFFSET($H$3,0,0,'Données projet'!$E$11+1,1))</f>
        <v>158.58786357608489</v>
      </c>
      <c r="BJ110" s="59">
        <f t="shared" si="92"/>
        <v>163.20074068819849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0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>
        <f>BY110*VLOOKUP('Données projet'!$B$12,Paramètres!$A$1:$I$89,3,0)*VLOOKUP('Données projet'!$B$12,Paramètres!$A$1:$I$89,5,0)</f>
        <v>0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255.41017495879987</v>
      </c>
      <c r="CE110" s="59">
        <f t="shared" si="94"/>
        <v>297.50513563712764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1.8159650580286131</v>
      </c>
      <c r="CL110" s="21">
        <f>EXP(-LN(2)/25)*CL109+(1-EXP(-LN(2)/25))/(LN(2)/25)*Calculateur!CG110*Calculateur!CI110*VLOOKUP('Données projet'!$B$12,Paramètres!$A$1:$I$89,3,0)*0.475*44/12</f>
        <v>3.2958126825179104</v>
      </c>
      <c r="CM110" s="21">
        <f>EXP(-LN(2)/2)*CM109+(1-EXP(-LN(2)/2))/(LN(2)/2)*CG110*CJ110*VLOOKUP('Données projet'!$B$12,Paramètres!$A$1:$I$89,3,0)*0.475*44/12</f>
        <v>6.2770587544726263E-11</v>
      </c>
      <c r="CN110" s="22">
        <f t="shared" si="66"/>
        <v>5.1117777406092939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-1.4210854715202004E-13</v>
      </c>
      <c r="CU110" s="17">
        <f>CT110*VLOOKUP('Données projet'!$B$13,Paramètres!$A$1:$I$89,3,0)*VLOOKUP('Données projet'!$B$13,Paramètres!$A$1:$I$89,5,0)</f>
        <v>-8.128608897095547E-14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134.70214882504786</v>
      </c>
      <c r="CZ110" s="59">
        <f t="shared" si="96"/>
        <v>102.18553029667771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0.23134834010480879</v>
      </c>
      <c r="DG110" s="21">
        <f>EXP(-LN(2)/25)*DG109+(1-EXP(-LN(2)/25))/(LN(2)/25)*Calculateur!DB110*Calculateur!DD110*VLOOKUP('Données projet'!$B$13,Paramètres!$A$1:$I$89,3,0)*0.475*44/12</f>
        <v>1.4840862961980696</v>
      </c>
      <c r="DH110" s="21">
        <f>EXP(-LN(2)/2)*DH109+(1-EXP(-LN(2)/2))/(LN(2)/2)*DB110*DE110*VLOOKUP('Données projet'!$B$13,Paramètres!$A$1:$I$89,3,0)*0.475*44/12</f>
        <v>1.9822952215419558E-11</v>
      </c>
      <c r="DI110" s="22">
        <f t="shared" si="69"/>
        <v>1.7154346363227015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-2.8421709430404007E-13</v>
      </c>
      <c r="DP110" s="17">
        <f>DO110*VLOOKUP('Données projet'!$B$14,Paramètres!$A$1:$I$89,3,0)*VLOOKUP('Données projet'!$B$14,Paramètres!$A$1:$I$89,5,0)</f>
        <v>-1.69961822393816E-13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179.32848817523677</v>
      </c>
      <c r="DU110" s="59">
        <f t="shared" si="98"/>
        <v>131.3292389103035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</v>
      </c>
      <c r="EB110" s="21">
        <f>EXP(-LN(2)/25)*EB109+(1-EXP(-LN(2)/25))/(LN(2)/25)*Calculateur!DW110*Calculateur!DY110*VLOOKUP('Données projet'!$B$14,Paramètres!$A$1:$I$89,3,0)*0.475*44/12</f>
        <v>1.558639254764707</v>
      </c>
      <c r="EC110" s="21">
        <f>EXP(-LN(2)/2)*EC109+(1-EXP(-LN(2)/2))/(LN(2)/2)*DW110*DZ110*VLOOKUP('Données projet'!$B$14,Paramètres!$A$1:$I$89,3,0)*0.475*44/12</f>
        <v>1.3538412986778979E-11</v>
      </c>
      <c r="ED110" s="22">
        <f t="shared" si="72"/>
        <v>1.5586392547782455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-2.2737367544323206E-13</v>
      </c>
      <c r="EK110" s="17">
        <f>EJ110*VLOOKUP('Données projet'!$B$15,Paramètres!$A$1:$I$89,3,0)*VLOOKUP('Données projet'!$B$15,Paramètres!$A$1:$I$89,5,0)</f>
        <v>-1.0049916454590858E-13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191.932060106699</v>
      </c>
      <c r="EP110" s="59">
        <f t="shared" si="100"/>
        <v>260.28593152736903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0.53175146038129684</v>
      </c>
      <c r="EW110" s="21">
        <f>EXP(-LN(2)/25)*EW109+(1-EXP(-LN(2)/25))/(LN(2)/25)*Calculateur!ER110*Calculateur!ET110*VLOOKUP('Données projet'!$B$15,Paramètres!$A$1:$I$89,3,0)*0.475*44/12</f>
        <v>1.4923751645145651</v>
      </c>
      <c r="EX110" s="21">
        <f>EXP(-LN(2)/2)*EX109+(1-EXP(-LN(2)/2))/(LN(2)/2)*ER110*EU110*VLOOKUP('Données projet'!$B$15,Paramètres!$A$1:$I$89,3,0)*0.475*44/12</f>
        <v>3.4428914288608539E-12</v>
      </c>
      <c r="EY110" s="22">
        <f t="shared" si="75"/>
        <v>2.0241266248993051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2.9</v>
      </c>
      <c r="FE110" s="12">
        <f>IF('Données projet'!$A$218&gt;35,FE109+FD110-FM109,IF(A110&lt;'Données projet'!$A$218,$FB$205^A110,IF(A110='Données projet'!$A$218,'Données projet'!$B$218,FE109+FD110-FM109)))</f>
        <v>181.30000000000007</v>
      </c>
      <c r="FF110" s="17">
        <f>FE110*VLOOKUP('Données projet'!$B$16,Paramètres!$A$1:$I$89,3,0)*VLOOKUP('Données projet'!$B$16,Paramètres!$A$1:$I$89,5,0)</f>
        <v>175.35336000000009</v>
      </c>
      <c r="FG110" s="13">
        <f t="shared" si="101"/>
        <v>44.286826065200074</v>
      </c>
      <c r="FH110" s="20">
        <f t="shared" si="76"/>
        <v>382.53999073022356</v>
      </c>
      <c r="FI110" s="59">
        <f t="shared" si="77"/>
        <v>675.87332406355688</v>
      </c>
      <c r="FJ110" s="59">
        <f ca="1">AVERAGE(OFFSET($FI$3,0,0,'Données projet'!$E$16+1,1))-AVERAGE(OFFSET($H$3,0,0,'Données projet'!$E$16+1,1))</f>
        <v>102.86738524979938</v>
      </c>
      <c r="FK110" s="59">
        <f t="shared" si="102"/>
        <v>56.347130462109817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0</v>
      </c>
      <c r="FR110" s="21">
        <f>EXP(-LN(2)/25)*FR109+(1-EXP(-LN(2)/25))/(LN(2)/25)*Calculateur!FM110*Calculateur!FO110*VLOOKUP('Données projet'!$B$16,Paramètres!$A$1:$I$89,3,0)*0.475*44/12</f>
        <v>0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0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5.3</v>
      </c>
      <c r="FZ110" s="12">
        <f>IF('Données projet'!$A$244&gt;35,FZ109+FY110-GH109,IF(A110&lt;'Données projet'!$A$244,$FW$205^A110,IF(A110='Données projet'!$A$244,'Données projet'!$B$244,FZ109+FY110-GH109)))</f>
        <v>315.10000000000042</v>
      </c>
      <c r="GA110" s="17">
        <f>FZ110*VLOOKUP('Données projet'!$B$17,Paramètres!$A$1:$I$89,3,0)*VLOOKUP('Données projet'!$B$17,Paramètres!$A$1:$I$89,5,0)</f>
        <v>211.36908000000025</v>
      </c>
      <c r="GB110" s="13">
        <f t="shared" si="103"/>
        <v>52.234650880817952</v>
      </c>
      <c r="GC110" s="20">
        <f t="shared" si="79"/>
        <v>459.10983128409163</v>
      </c>
      <c r="GD110" s="59">
        <f t="shared" si="80"/>
        <v>752.44316461742494</v>
      </c>
      <c r="GE110" s="59">
        <f ca="1">AVERAGE(OFFSET($GD$3,0,0,'Données projet'!$E$17+1,1))-AVERAGE(OFFSET($H$3,0,0,'Données projet'!$E$17+1,1))</f>
        <v>168.00454652899231</v>
      </c>
      <c r="GF110" s="59">
        <f t="shared" si="104"/>
        <v>135.31958994080446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0</v>
      </c>
      <c r="GM110" s="21">
        <f>EXP(-LN(2)/25)*GM109+(1-EXP(-LN(2)/25))/(LN(2)/25)*Calculateur!GH110*Calculateur!GJ110*VLOOKUP('Données projet'!$B$17,Paramètres!$A$1:$I$89,3,0)*0.475*44/12</f>
        <v>0</v>
      </c>
      <c r="GN110" s="21">
        <f>EXP(-LN(2)/2)*GN109+(1-EXP(-LN(2)/2))/(LN(2)/2)*GH110*GK110*VLOOKUP('Données projet'!$B$17,Paramètres!$A$1:$I$89,3,0)*0.475*44/12</f>
        <v>0</v>
      </c>
      <c r="GO110" s="21">
        <f t="shared" si="81"/>
        <v>0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6.9935897435897401</v>
      </c>
      <c r="N111" s="13">
        <f>IF('Données projet'!$A$36&gt;35,N110+M111-V110,IF(A111&lt;'Données projet'!$A$36,$K$205^A111,IF(A111='Données projet'!$A$36,'Données projet'!$B$36,N110+M111-V110)))</f>
        <v>333.17307692307708</v>
      </c>
      <c r="O111" s="13">
        <f>N111*VLOOKUP('Données projet'!$B$9,Paramètres!$A$1:$I$89,3,0)*VLOOKUP('Données projet'!$B$9,Paramètres!$A$1:$I$89,5,0)</f>
        <v>301.45500000000015</v>
      </c>
      <c r="P111" s="13">
        <f t="shared" si="87"/>
        <v>71.481401418760271</v>
      </c>
      <c r="Q111" s="20">
        <f t="shared" si="107"/>
        <v>649.53089913767428</v>
      </c>
      <c r="R111" s="59">
        <f t="shared" si="55"/>
        <v>942.86423247100765</v>
      </c>
      <c r="S111" s="59">
        <f ca="1">AVERAGE(OFFSET($R$3,0,0,'Données projet'!$E$9+1,1))-AVERAGE(OFFSET($H$3,0,0,'Données projet'!$E$9+1,1))</f>
        <v>221.7429870520005</v>
      </c>
      <c r="T111" s="59">
        <f t="shared" si="88"/>
        <v>182.2029938397186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0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5.0961538461538449</v>
      </c>
      <c r="AI111" s="13">
        <f>IF('Données projet'!$A$62&gt;35,AI110+AH111-AQ110,IF(A111&lt;'Données projet'!$A$62,$AF$205^A111,IF(A111='Données projet'!$A$62,'Données projet'!$B$62,AI110+AH111-AQ110)))</f>
        <v>220.73717948717916</v>
      </c>
      <c r="AJ111" s="13">
        <f>AI111*VLOOKUP('Données projet'!$B$10,Paramètres!$A$1:$I$89,3,0)*VLOOKUP('Données projet'!$B$10,Paramètres!$A$1:$I$89,5,0)</f>
        <v>199.7229999999997</v>
      </c>
      <c r="AK111" s="13">
        <f t="shared" si="89"/>
        <v>49.683286599758986</v>
      </c>
      <c r="AL111" s="20">
        <f t="shared" si="58"/>
        <v>434.38261582791301</v>
      </c>
      <c r="AM111" s="59">
        <f t="shared" si="59"/>
        <v>727.71594916124627</v>
      </c>
      <c r="AN111" s="59">
        <f ca="1">AVERAGE(OFFSET($AM$3,0,0,'Données projet'!$E$10+1,1))-AVERAGE(OFFSET($H$3,0,0,'Données projet'!$E$10+1,1))</f>
        <v>153.45079678708987</v>
      </c>
      <c r="AO111" s="59">
        <f t="shared" si="90"/>
        <v>115.4217868409637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0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3.4106051316484809E-13</v>
      </c>
      <c r="BE111" s="13">
        <f>BD111*VLOOKUP('Données projet'!$B$11,Paramètres!$A$1:$I$89,3,0)*VLOOKUP('Données projet'!$B$11,Paramètres!$A$1:$I$89,5,0)</f>
        <v>1.5961632016114892E-13</v>
      </c>
      <c r="BF111" s="13">
        <f t="shared" si="91"/>
        <v>2.2708641912150958E-12</v>
      </c>
      <c r="BG111" s="20">
        <f t="shared" si="61"/>
        <v>4.2330868906469593E-12</v>
      </c>
      <c r="BH111" s="59">
        <f t="shared" si="62"/>
        <v>293.33333333333752</v>
      </c>
      <c r="BI111" s="59">
        <f ca="1">AVERAGE(OFFSET($BH$3,0,0,'Données projet'!$E$11+1,1))-AVERAGE(OFFSET($H$3,0,0,'Données projet'!$E$11+1,1))</f>
        <v>158.58786357608489</v>
      </c>
      <c r="BJ111" s="59">
        <f t="shared" si="92"/>
        <v>163.20074068819849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0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>
        <f>BY111*VLOOKUP('Données projet'!$B$12,Paramètres!$A$1:$I$89,3,0)*VLOOKUP('Données projet'!$B$12,Paramètres!$A$1:$I$89,5,0)</f>
        <v>0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255.41017495879987</v>
      </c>
      <c r="CE111" s="59">
        <f t="shared" si="94"/>
        <v>297.50513563712764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1.7803550908699881</v>
      </c>
      <c r="CL111" s="21">
        <f>EXP(-LN(2)/25)*CL110+(1-EXP(-LN(2)/25))/(LN(2)/25)*Calculateur!CG111*Calculateur!CI111*VLOOKUP('Données projet'!$B$12,Paramètres!$A$1:$I$89,3,0)*0.475*44/12</f>
        <v>3.2056885113952016</v>
      </c>
      <c r="CM111" s="21">
        <f>EXP(-LN(2)/2)*CM110+(1-EXP(-LN(2)/2))/(LN(2)/2)*CG111*CJ111*VLOOKUP('Données projet'!$B$12,Paramètres!$A$1:$I$89,3,0)*0.475*44/12</f>
        <v>4.438550811193978E-11</v>
      </c>
      <c r="CN111" s="22">
        <f t="shared" si="66"/>
        <v>4.9860436023095751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-1.4210854715202004E-13</v>
      </c>
      <c r="CU111" s="17">
        <f>CT111*VLOOKUP('Données projet'!$B$13,Paramètres!$A$1:$I$89,3,0)*VLOOKUP('Données projet'!$B$13,Paramètres!$A$1:$I$89,5,0)</f>
        <v>-8.128608897095547E-14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134.70214882504786</v>
      </c>
      <c r="CZ111" s="59">
        <f t="shared" si="96"/>
        <v>102.18553029667771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0.22681174026390763</v>
      </c>
      <c r="DG111" s="21">
        <f>EXP(-LN(2)/25)*DG110+(1-EXP(-LN(2)/25))/(LN(2)/25)*Calculateur!DB111*Calculateur!DD111*VLOOKUP('Données projet'!$B$13,Paramètres!$A$1:$I$89,3,0)*0.475*44/12</f>
        <v>1.443503878383827</v>
      </c>
      <c r="DH111" s="21">
        <f>EXP(-LN(2)/2)*DH110+(1-EXP(-LN(2)/2))/(LN(2)/2)*DB111*DE111*VLOOKUP('Données projet'!$B$13,Paramètres!$A$1:$I$89,3,0)*0.475*44/12</f>
        <v>1.4016943934660065E-11</v>
      </c>
      <c r="DI111" s="22">
        <f t="shared" si="69"/>
        <v>1.6703156186617516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-2.8421709430404007E-13</v>
      </c>
      <c r="DP111" s="17">
        <f>DO111*VLOOKUP('Données projet'!$B$14,Paramètres!$A$1:$I$89,3,0)*VLOOKUP('Données projet'!$B$14,Paramètres!$A$1:$I$89,5,0)</f>
        <v>-1.69961822393816E-13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179.32848817523677</v>
      </c>
      <c r="DU111" s="59">
        <f t="shared" si="98"/>
        <v>131.3292389103035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</v>
      </c>
      <c r="EB111" s="21">
        <f>EXP(-LN(2)/25)*EB110+(1-EXP(-LN(2)/25))/(LN(2)/25)*Calculateur!DW111*Calculateur!DY111*VLOOKUP('Données projet'!$B$14,Paramètres!$A$1:$I$89,3,0)*0.475*44/12</f>
        <v>1.51601818237789</v>
      </c>
      <c r="EC111" s="21">
        <f>EXP(-LN(2)/2)*EC110+(1-EXP(-LN(2)/2))/(LN(2)/2)*DW111*DZ111*VLOOKUP('Données projet'!$B$14,Paramètres!$A$1:$I$89,3,0)*0.475*44/12</f>
        <v>9.5731036294554369E-12</v>
      </c>
      <c r="ED111" s="22">
        <f t="shared" si="72"/>
        <v>1.516018182387463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-2.2737367544323206E-13</v>
      </c>
      <c r="EK111" s="17">
        <f>EJ111*VLOOKUP('Données projet'!$B$15,Paramètres!$A$1:$I$89,3,0)*VLOOKUP('Données projet'!$B$15,Paramètres!$A$1:$I$89,5,0)</f>
        <v>-1.0049916454590858E-13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191.932060106699</v>
      </c>
      <c r="EP111" s="59">
        <f t="shared" si="100"/>
        <v>260.28593152736903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0.52132413857958493</v>
      </c>
      <c r="EW111" s="21">
        <f>EXP(-LN(2)/25)*EW110+(1-EXP(-LN(2)/25))/(LN(2)/25)*Calculateur!ER111*Calculateur!ET111*VLOOKUP('Données projet'!$B$15,Paramètres!$A$1:$I$89,3,0)*0.475*44/12</f>
        <v>1.4515660871603153</v>
      </c>
      <c r="EX111" s="21">
        <f>EXP(-LN(2)/2)*EX110+(1-EXP(-LN(2)/2))/(LN(2)/2)*ER111*EU111*VLOOKUP('Données projet'!$B$15,Paramètres!$A$1:$I$89,3,0)*0.475*44/12</f>
        <v>2.4344918762365517E-12</v>
      </c>
      <c r="EY111" s="22">
        <f t="shared" si="75"/>
        <v>1.9728902257423346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2.9</v>
      </c>
      <c r="FE111" s="12">
        <f>IF('Données projet'!$A$218&gt;35,FE110+FD111-FM110,IF(A111&lt;'Données projet'!$A$218,$FB$205^A111,IF(A111='Données projet'!$A$218,'Données projet'!$B$218,FE110+FD111-FM110)))</f>
        <v>184.20000000000007</v>
      </c>
      <c r="FF111" s="17">
        <f>FE111*VLOOKUP('Données projet'!$B$16,Paramètres!$A$1:$I$89,3,0)*VLOOKUP('Données projet'!$B$16,Paramètres!$A$1:$I$89,5,0)</f>
        <v>178.15824000000009</v>
      </c>
      <c r="FG111" s="13">
        <f t="shared" si="101"/>
        <v>44.912183553126354</v>
      </c>
      <c r="FH111" s="20">
        <f t="shared" si="76"/>
        <v>388.5143210216952</v>
      </c>
      <c r="FI111" s="59">
        <f t="shared" si="77"/>
        <v>681.84765435502845</v>
      </c>
      <c r="FJ111" s="59">
        <f ca="1">AVERAGE(OFFSET($FI$3,0,0,'Données projet'!$E$16+1,1))-AVERAGE(OFFSET($H$3,0,0,'Données projet'!$E$16+1,1))</f>
        <v>102.86738524979938</v>
      </c>
      <c r="FK111" s="59">
        <f t="shared" si="102"/>
        <v>56.347130462109817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0</v>
      </c>
      <c r="FR111" s="21">
        <f>EXP(-LN(2)/25)*FR110+(1-EXP(-LN(2)/25))/(LN(2)/25)*Calculateur!FM111*Calculateur!FO111*VLOOKUP('Données projet'!$B$16,Paramètres!$A$1:$I$89,3,0)*0.475*44/12</f>
        <v>0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0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5.3</v>
      </c>
      <c r="FZ111" s="12">
        <f>IF('Données projet'!$A$244&gt;35,FZ110+FY111-GH110,IF(A111&lt;'Données projet'!$A$244,$FW$205^A111,IF(A111='Données projet'!$A$244,'Données projet'!$B$244,FZ110+FY111-GH110)))</f>
        <v>320.40000000000043</v>
      </c>
      <c r="GA111" s="17">
        <f>FZ111*VLOOKUP('Données projet'!$B$17,Paramètres!$A$1:$I$89,3,0)*VLOOKUP('Données projet'!$B$17,Paramètres!$A$1:$I$89,5,0)</f>
        <v>214.92432000000031</v>
      </c>
      <c r="GB111" s="13">
        <f t="shared" si="103"/>
        <v>53.010217590607006</v>
      </c>
      <c r="GC111" s="20">
        <f t="shared" si="79"/>
        <v>466.65265297030766</v>
      </c>
      <c r="GD111" s="59">
        <f t="shared" si="80"/>
        <v>759.98598630364097</v>
      </c>
      <c r="GE111" s="59">
        <f ca="1">AVERAGE(OFFSET($GD$3,0,0,'Données projet'!$E$17+1,1))-AVERAGE(OFFSET($H$3,0,0,'Données projet'!$E$17+1,1))</f>
        <v>168.00454652899231</v>
      </c>
      <c r="GF111" s="59">
        <f t="shared" si="104"/>
        <v>135.31958994080446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0</v>
      </c>
      <c r="GM111" s="21">
        <f>EXP(-LN(2)/25)*GM110+(1-EXP(-LN(2)/25))/(LN(2)/25)*Calculateur!GH111*Calculateur!GJ111*VLOOKUP('Données projet'!$B$17,Paramètres!$A$1:$I$89,3,0)*0.475*44/12</f>
        <v>0</v>
      </c>
      <c r="GN111" s="21">
        <f>EXP(-LN(2)/2)*GN110+(1-EXP(-LN(2)/2))/(LN(2)/2)*GH111*GK111*VLOOKUP('Données projet'!$B$17,Paramètres!$A$1:$I$89,3,0)*0.475*44/12</f>
        <v>0</v>
      </c>
      <c r="GO111" s="21">
        <f t="shared" si="81"/>
        <v>0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>
        <f>VLOOKUP(A112,'Données projet'!$A$35:$I$55,2,0)</f>
        <v>340.16666666666663</v>
      </c>
      <c r="L112" s="12">
        <f>VLOOKUP(A112,'Données projet'!$A$35:$I$55,9,0)</f>
        <v>6.9935897435897401</v>
      </c>
      <c r="M112" s="12">
        <f t="array" ref="M112">INDEX(L:L,MIN(IF(ISNUMBER(L112:L308),ROW(L112:L308),"")))</f>
        <v>6.9935897435897401</v>
      </c>
      <c r="N112" s="13">
        <f>IF('Données projet'!$A$36&gt;35,N111+M112-V111,IF(A112&lt;'Données projet'!$A$36,$K$205^A112,IF(A112='Données projet'!$A$36,'Données projet'!$B$36,N111+M112-V111)))</f>
        <v>340.1666666666668</v>
      </c>
      <c r="O112" s="13">
        <f>N112*VLOOKUP('Données projet'!$B$9,Paramètres!$A$1:$I$89,3,0)*VLOOKUP('Données projet'!$B$9,Paramètres!$A$1:$I$89,5,0)</f>
        <v>307.78280000000012</v>
      </c>
      <c r="P112" s="13">
        <f t="shared" si="87"/>
        <v>72.805597304306232</v>
      </c>
      <c r="Q112" s="20">
        <f t="shared" si="107"/>
        <v>662.85812530500016</v>
      </c>
      <c r="R112" s="59">
        <f t="shared" si="55"/>
        <v>956.19145863833342</v>
      </c>
      <c r="S112" s="59">
        <f ca="1">AVERAGE(OFFSET($R$3,0,0,'Données projet'!$E$9+1,1))-AVERAGE(OFFSET($H$3,0,0,'Données projet'!$E$9+1,1))</f>
        <v>221.7429870520005</v>
      </c>
      <c r="T112" s="59">
        <f t="shared" si="88"/>
        <v>182.2029938397186</v>
      </c>
      <c r="U112" s="15">
        <f>IF(ISNA(VLOOKUP(A112,'Données projet'!$A$35:$I$55,3,0)),0,VLOOKUP(A112,'Données projet'!$A$35:$I$55,3,0))</f>
        <v>10</v>
      </c>
      <c r="V112" s="15">
        <f>IF(ISNA(VLOOKUP(A112,'Données projet'!$A$35:$I$55,4,0)),0,VLOOKUP(A112,'Données projet'!$A$35:$I$55,4,0))</f>
        <v>51.28846153846154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0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5.0961538461538449</v>
      </c>
      <c r="AI112" s="13">
        <f>IF('Données projet'!$A$62&gt;35,AI111+AH112-AQ111,IF(A112&lt;'Données projet'!$A$62,$AF$205^A112,IF(A112='Données projet'!$A$62,'Données projet'!$B$62,AI111+AH112-AQ111)))</f>
        <v>225.833333333333</v>
      </c>
      <c r="AJ112" s="13">
        <f>AI112*VLOOKUP('Données projet'!$B$10,Paramètres!$A$1:$I$89,3,0)*VLOOKUP('Données projet'!$B$10,Paramètres!$A$1:$I$89,5,0)</f>
        <v>204.33399999999966</v>
      </c>
      <c r="AK112" s="13">
        <f t="shared" si="89"/>
        <v>50.695458061201691</v>
      </c>
      <c r="AL112" s="20">
        <f t="shared" si="58"/>
        <v>444.17630612325894</v>
      </c>
      <c r="AM112" s="59">
        <f t="shared" si="59"/>
        <v>737.50963945659225</v>
      </c>
      <c r="AN112" s="59">
        <f ca="1">AVERAGE(OFFSET($AM$3,0,0,'Données projet'!$E$10+1,1))-AVERAGE(OFFSET($H$3,0,0,'Données projet'!$E$10+1,1))</f>
        <v>153.45079678708987</v>
      </c>
      <c r="AO112" s="59">
        <f t="shared" si="90"/>
        <v>115.4217868409637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0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3.4106051316484809E-13</v>
      </c>
      <c r="BE112" s="13">
        <f>BD112*VLOOKUP('Données projet'!$B$11,Paramètres!$A$1:$I$89,3,0)*VLOOKUP('Données projet'!$B$11,Paramètres!$A$1:$I$89,5,0)</f>
        <v>1.5961632016114892E-13</v>
      </c>
      <c r="BF112" s="13">
        <f t="shared" si="91"/>
        <v>2.2708641912150958E-12</v>
      </c>
      <c r="BG112" s="20">
        <f t="shared" si="61"/>
        <v>4.2330868906469593E-12</v>
      </c>
      <c r="BH112" s="59">
        <f t="shared" si="62"/>
        <v>293.33333333333752</v>
      </c>
      <c r="BI112" s="59">
        <f ca="1">AVERAGE(OFFSET($BH$3,0,0,'Données projet'!$E$11+1,1))-AVERAGE(OFFSET($H$3,0,0,'Données projet'!$E$11+1,1))</f>
        <v>158.58786357608489</v>
      </c>
      <c r="BJ112" s="59">
        <f t="shared" si="92"/>
        <v>163.20074068819849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0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>
        <f>BY112*VLOOKUP('Données projet'!$B$12,Paramètres!$A$1:$I$89,3,0)*VLOOKUP('Données projet'!$B$12,Paramètres!$A$1:$I$89,5,0)</f>
        <v>0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255.41017495879987</v>
      </c>
      <c r="CE112" s="59">
        <f t="shared" si="94"/>
        <v>297.50513563712764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1.7454434134474084</v>
      </c>
      <c r="CL112" s="21">
        <f>EXP(-LN(2)/25)*CL111+(1-EXP(-LN(2)/25))/(LN(2)/25)*Calculateur!CG112*Calculateur!CI112*VLOOKUP('Données projet'!$B$12,Paramètres!$A$1:$I$89,3,0)*0.475*44/12</f>
        <v>3.1180287904712678</v>
      </c>
      <c r="CM112" s="21">
        <f>EXP(-LN(2)/2)*CM111+(1-EXP(-LN(2)/2))/(LN(2)/2)*CG112*CJ112*VLOOKUP('Données projet'!$B$12,Paramètres!$A$1:$I$89,3,0)*0.475*44/12</f>
        <v>3.1385293772363132E-11</v>
      </c>
      <c r="CN112" s="22">
        <f t="shared" si="66"/>
        <v>4.863472203950062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-1.4210854715202004E-13</v>
      </c>
      <c r="CU112" s="17">
        <f>CT112*VLOOKUP('Données projet'!$B$13,Paramètres!$A$1:$I$89,3,0)*VLOOKUP('Données projet'!$B$13,Paramètres!$A$1:$I$89,5,0)</f>
        <v>-8.128608897095547E-14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134.70214882504786</v>
      </c>
      <c r="CZ112" s="59">
        <f t="shared" si="96"/>
        <v>102.18553029667771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0.22236410037883386</v>
      </c>
      <c r="DG112" s="21">
        <f>EXP(-LN(2)/25)*DG111+(1-EXP(-LN(2)/25))/(LN(2)/25)*Calculateur!DB112*Calculateur!DD112*VLOOKUP('Données projet'!$B$13,Paramètres!$A$1:$I$89,3,0)*0.475*44/12</f>
        <v>1.4040311889188515</v>
      </c>
      <c r="DH112" s="21">
        <f>EXP(-LN(2)/2)*DH111+(1-EXP(-LN(2)/2))/(LN(2)/2)*DB112*DE112*VLOOKUP('Données projet'!$B$13,Paramètres!$A$1:$I$89,3,0)*0.475*44/12</f>
        <v>9.9114761077097792E-12</v>
      </c>
      <c r="DI112" s="22">
        <f t="shared" si="69"/>
        <v>1.6263952893075968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-2.8421709430404007E-13</v>
      </c>
      <c r="DP112" s="17">
        <f>DO112*VLOOKUP('Données projet'!$B$14,Paramètres!$A$1:$I$89,3,0)*VLOOKUP('Données projet'!$B$14,Paramètres!$A$1:$I$89,5,0)</f>
        <v>-1.69961822393816E-13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179.32848817523677</v>
      </c>
      <c r="DU112" s="59">
        <f t="shared" si="98"/>
        <v>131.3292389103035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</v>
      </c>
      <c r="EB112" s="21">
        <f>EXP(-LN(2)/25)*EB111+(1-EXP(-LN(2)/25))/(LN(2)/25)*Calculateur!DW112*Calculateur!DY112*VLOOKUP('Données projet'!$B$14,Paramètres!$A$1:$I$89,3,0)*0.475*44/12</f>
        <v>1.4745625854568354</v>
      </c>
      <c r="EC112" s="21">
        <f>EXP(-LN(2)/2)*EC111+(1-EXP(-LN(2)/2))/(LN(2)/2)*DW112*DZ112*VLOOKUP('Données projet'!$B$14,Paramètres!$A$1:$I$89,3,0)*0.475*44/12</f>
        <v>6.7692064933894896E-12</v>
      </c>
      <c r="ED112" s="22">
        <f t="shared" si="72"/>
        <v>1.4745625854636046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-2.2737367544323206E-13</v>
      </c>
      <c r="EK112" s="17">
        <f>EJ112*VLOOKUP('Données projet'!$B$15,Paramètres!$A$1:$I$89,3,0)*VLOOKUP('Données projet'!$B$15,Paramètres!$A$1:$I$89,5,0)</f>
        <v>-1.0049916454590858E-13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191.932060106699</v>
      </c>
      <c r="EP112" s="59">
        <f t="shared" si="100"/>
        <v>260.28593152736903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0.51110129019836625</v>
      </c>
      <c r="EW112" s="21">
        <f>EXP(-LN(2)/25)*EW111+(1-EXP(-LN(2)/25))/(LN(2)/25)*Calculateur!ER112*Calculateur!ET112*VLOOKUP('Données projet'!$B$15,Paramètres!$A$1:$I$89,3,0)*0.475*44/12</f>
        <v>1.4118729361723736</v>
      </c>
      <c r="EX112" s="21">
        <f>EXP(-LN(2)/2)*EX111+(1-EXP(-LN(2)/2))/(LN(2)/2)*ER112*EU112*VLOOKUP('Données projet'!$B$15,Paramètres!$A$1:$I$89,3,0)*0.475*44/12</f>
        <v>1.7214457144304269E-12</v>
      </c>
      <c r="EY112" s="22">
        <f t="shared" si="75"/>
        <v>1.9229742263724614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2.9</v>
      </c>
      <c r="FE112" s="12">
        <f>IF('Données projet'!$A$218&gt;35,FE111+FD112-FM111,IF(A112&lt;'Données projet'!$A$218,$FB$205^A112,IF(A112='Données projet'!$A$218,'Données projet'!$B$218,FE111+FD112-FM111)))</f>
        <v>187.10000000000008</v>
      </c>
      <c r="FF112" s="17">
        <f>FE112*VLOOKUP('Données projet'!$B$16,Paramètres!$A$1:$I$89,3,0)*VLOOKUP('Données projet'!$B$16,Paramètres!$A$1:$I$89,5,0)</f>
        <v>180.96312000000009</v>
      </c>
      <c r="FG112" s="13">
        <f t="shared" si="101"/>
        <v>45.536396027047481</v>
      </c>
      <c r="FH112" s="20">
        <f t="shared" si="76"/>
        <v>394.48665708044115</v>
      </c>
      <c r="FI112" s="59">
        <f t="shared" si="77"/>
        <v>687.81999041377446</v>
      </c>
      <c r="FJ112" s="59">
        <f ca="1">AVERAGE(OFFSET($FI$3,0,0,'Données projet'!$E$16+1,1))-AVERAGE(OFFSET($H$3,0,0,'Données projet'!$E$16+1,1))</f>
        <v>102.86738524979938</v>
      </c>
      <c r="FK112" s="59">
        <f t="shared" si="102"/>
        <v>56.347130462109817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0</v>
      </c>
      <c r="FR112" s="21">
        <f>EXP(-LN(2)/25)*FR111+(1-EXP(-LN(2)/25))/(LN(2)/25)*Calculateur!FM112*Calculateur!FO112*VLOOKUP('Données projet'!$B$16,Paramètres!$A$1:$I$89,3,0)*0.475*44/12</f>
        <v>0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0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5.3</v>
      </c>
      <c r="FZ112" s="12">
        <f>IF('Données projet'!$A$244&gt;35,FZ111+FY112-GH111,IF(A112&lt;'Données projet'!$A$244,$FW$205^A112,IF(A112='Données projet'!$A$244,'Données projet'!$B$244,FZ111+FY112-GH111)))</f>
        <v>325.70000000000044</v>
      </c>
      <c r="GA112" s="17">
        <f>FZ112*VLOOKUP('Données projet'!$B$17,Paramètres!$A$1:$I$89,3,0)*VLOOKUP('Données projet'!$B$17,Paramètres!$A$1:$I$89,5,0)</f>
        <v>218.4795600000003</v>
      </c>
      <c r="GB112" s="13">
        <f t="shared" si="103"/>
        <v>53.784292336206114</v>
      </c>
      <c r="GC112" s="20">
        <f t="shared" si="79"/>
        <v>474.19287615222612</v>
      </c>
      <c r="GD112" s="59">
        <f t="shared" si="80"/>
        <v>767.52620948555943</v>
      </c>
      <c r="GE112" s="59">
        <f ca="1">AVERAGE(OFFSET($GD$3,0,0,'Données projet'!$E$17+1,1))-AVERAGE(OFFSET($H$3,0,0,'Données projet'!$E$17+1,1))</f>
        <v>168.00454652899231</v>
      </c>
      <c r="GF112" s="59">
        <f t="shared" si="104"/>
        <v>135.31958994080446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0</v>
      </c>
      <c r="GM112" s="21">
        <f>EXP(-LN(2)/25)*GM111+(1-EXP(-LN(2)/25))/(LN(2)/25)*Calculateur!GH112*Calculateur!GJ112*VLOOKUP('Données projet'!$B$17,Paramètres!$A$1:$I$89,3,0)*0.475*44/12</f>
        <v>0</v>
      </c>
      <c r="GN112" s="21">
        <f>EXP(-LN(2)/2)*GN111+(1-EXP(-LN(2)/2))/(LN(2)/2)*GH112*GK112*VLOOKUP('Données projet'!$B$17,Paramètres!$A$1:$I$89,3,0)*0.475*44/12</f>
        <v>0</v>
      </c>
      <c r="GO112" s="21">
        <f t="shared" si="81"/>
        <v>0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6.8461538461538511</v>
      </c>
      <c r="N113" s="13">
        <f>IF('Données projet'!$A$36&gt;35,N112+M113-V112,IF(A113&lt;'Données projet'!$A$36,$K$205^A113,IF(A113='Données projet'!$A$36,'Données projet'!$B$36,N112+M113-V112)))</f>
        <v>295.72435897435912</v>
      </c>
      <c r="O113" s="13">
        <f>N113*VLOOKUP('Données projet'!$B$9,Paramètres!$A$1:$I$89,3,0)*VLOOKUP('Données projet'!$B$9,Paramètres!$A$1:$I$89,5,0)</f>
        <v>267.57140000000015</v>
      </c>
      <c r="P113" s="13">
        <f t="shared" si="87"/>
        <v>64.333588350286448</v>
      </c>
      <c r="Q113" s="20">
        <f t="shared" si="107"/>
        <v>578.06785471008243</v>
      </c>
      <c r="R113" s="59">
        <f t="shared" si="55"/>
        <v>871.40118804341569</v>
      </c>
      <c r="S113" s="59">
        <f ca="1">AVERAGE(OFFSET($R$3,0,0,'Données projet'!$E$9+1,1))-AVERAGE(OFFSET($H$3,0,0,'Données projet'!$E$9+1,1))</f>
        <v>221.7429870520005</v>
      </c>
      <c r="T113" s="59">
        <f t="shared" si="88"/>
        <v>182.2029938397186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0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5.0961538461538449</v>
      </c>
      <c r="AI113" s="13">
        <f>IF('Données projet'!$A$62&gt;35,AI112+AH113-AQ112,IF(A113&lt;'Données projet'!$A$62,$AF$205^A113,IF(A113='Données projet'!$A$62,'Données projet'!$B$62,AI112+AH113-AQ112)))</f>
        <v>230.92948717948684</v>
      </c>
      <c r="AJ113" s="13">
        <f>AI113*VLOOKUP('Données projet'!$B$10,Paramètres!$A$1:$I$89,3,0)*VLOOKUP('Données projet'!$B$10,Paramètres!$A$1:$I$89,5,0)</f>
        <v>208.94499999999971</v>
      </c>
      <c r="AK113" s="13">
        <f t="shared" si="89"/>
        <v>51.704974120746144</v>
      </c>
      <c r="AL113" s="20">
        <f t="shared" si="58"/>
        <v>453.96537159363237</v>
      </c>
      <c r="AM113" s="59">
        <f t="shared" si="59"/>
        <v>747.29870492696568</v>
      </c>
      <c r="AN113" s="59">
        <f ca="1">AVERAGE(OFFSET($AM$3,0,0,'Données projet'!$E$10+1,1))-AVERAGE(OFFSET($H$3,0,0,'Données projet'!$E$10+1,1))</f>
        <v>153.45079678708987</v>
      </c>
      <c r="AO113" s="59">
        <f t="shared" si="90"/>
        <v>115.4217868409637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0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3.4106051316484809E-13</v>
      </c>
      <c r="BE113" s="13">
        <f>BD113*VLOOKUP('Données projet'!$B$11,Paramètres!$A$1:$I$89,3,0)*VLOOKUP('Données projet'!$B$11,Paramètres!$A$1:$I$89,5,0)</f>
        <v>1.5961632016114892E-13</v>
      </c>
      <c r="BF113" s="13">
        <f t="shared" si="91"/>
        <v>2.2708641912150958E-12</v>
      </c>
      <c r="BG113" s="20">
        <f t="shared" si="61"/>
        <v>4.2330868906469593E-12</v>
      </c>
      <c r="BH113" s="59">
        <f t="shared" si="62"/>
        <v>293.33333333333752</v>
      </c>
      <c r="BI113" s="59">
        <f ca="1">AVERAGE(OFFSET($BH$3,0,0,'Données projet'!$E$11+1,1))-AVERAGE(OFFSET($H$3,0,0,'Données projet'!$E$11+1,1))</f>
        <v>158.58786357608489</v>
      </c>
      <c r="BJ113" s="59">
        <f t="shared" si="92"/>
        <v>163.20074068819849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0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>
        <f>BY113*VLOOKUP('Données projet'!$B$12,Paramètres!$A$1:$I$89,3,0)*VLOOKUP('Données projet'!$B$12,Paramètres!$A$1:$I$89,5,0)</f>
        <v>0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255.41017495879987</v>
      </c>
      <c r="CE113" s="59">
        <f t="shared" si="94"/>
        <v>297.50513563712764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1.7112163327250649</v>
      </c>
      <c r="CL113" s="21">
        <f>EXP(-LN(2)/25)*CL112+(1-EXP(-LN(2)/25))/(LN(2)/25)*Calculateur!CG113*Calculateur!CI113*VLOOKUP('Données projet'!$B$12,Paramètres!$A$1:$I$89,3,0)*0.475*44/12</f>
        <v>3.0327661292258234</v>
      </c>
      <c r="CM113" s="21">
        <f>EXP(-LN(2)/2)*CM112+(1-EXP(-LN(2)/2))/(LN(2)/2)*CG113*CJ113*VLOOKUP('Données projet'!$B$12,Paramètres!$A$1:$I$89,3,0)*0.475*44/12</f>
        <v>2.219275405596989E-11</v>
      </c>
      <c r="CN113" s="22">
        <f t="shared" si="66"/>
        <v>4.743982461973081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-1.4210854715202004E-13</v>
      </c>
      <c r="CU113" s="17">
        <f>CT113*VLOOKUP('Données projet'!$B$13,Paramètres!$A$1:$I$89,3,0)*VLOOKUP('Données projet'!$B$13,Paramètres!$A$1:$I$89,5,0)</f>
        <v>-8.128608897095547E-14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134.70214882504786</v>
      </c>
      <c r="CZ113" s="59">
        <f t="shared" si="96"/>
        <v>102.18553029667771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0.21800367599911394</v>
      </c>
      <c r="DG113" s="21">
        <f>EXP(-LN(2)/25)*DG112+(1-EXP(-LN(2)/25))/(LN(2)/25)*Calculateur!DB113*Calculateur!DD113*VLOOKUP('Données projet'!$B$13,Paramètres!$A$1:$I$89,3,0)*0.475*44/12</f>
        <v>1.3656378822230741</v>
      </c>
      <c r="DH113" s="21">
        <f>EXP(-LN(2)/2)*DH112+(1-EXP(-LN(2)/2))/(LN(2)/2)*DB113*DE113*VLOOKUP('Données projet'!$B$13,Paramètres!$A$1:$I$89,3,0)*0.475*44/12</f>
        <v>7.0084719673300326E-12</v>
      </c>
      <c r="DI113" s="22">
        <f t="shared" si="69"/>
        <v>1.5836415582291965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-2.8421709430404007E-13</v>
      </c>
      <c r="DP113" s="17">
        <f>DO113*VLOOKUP('Données projet'!$B$14,Paramètres!$A$1:$I$89,3,0)*VLOOKUP('Données projet'!$B$14,Paramètres!$A$1:$I$89,5,0)</f>
        <v>-1.69961822393816E-13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179.32848817523677</v>
      </c>
      <c r="DU113" s="59">
        <f t="shared" si="98"/>
        <v>131.3292389103035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</v>
      </c>
      <c r="EB113" s="21">
        <f>EXP(-LN(2)/25)*EB112+(1-EXP(-LN(2)/25))/(LN(2)/25)*Calculateur!DW113*Calculateur!DY113*VLOOKUP('Données projet'!$B$14,Paramètres!$A$1:$I$89,3,0)*0.475*44/12</f>
        <v>1.434240594013642</v>
      </c>
      <c r="EC113" s="21">
        <f>EXP(-LN(2)/2)*EC112+(1-EXP(-LN(2)/2))/(LN(2)/2)*DW113*DZ113*VLOOKUP('Données projet'!$B$14,Paramètres!$A$1:$I$89,3,0)*0.475*44/12</f>
        <v>4.7865518147277184E-12</v>
      </c>
      <c r="ED113" s="22">
        <f t="shared" si="72"/>
        <v>1.4342405940184286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-2.2737367544323206E-13</v>
      </c>
      <c r="EK113" s="17">
        <f>EJ113*VLOOKUP('Données projet'!$B$15,Paramètres!$A$1:$I$89,3,0)*VLOOKUP('Données projet'!$B$15,Paramètres!$A$1:$I$89,5,0)</f>
        <v>-1.0049916454590858E-13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191.932060106699</v>
      </c>
      <c r="EP113" s="59">
        <f t="shared" si="100"/>
        <v>260.28593152736903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0.50107890563858148</v>
      </c>
      <c r="EW113" s="21">
        <f>EXP(-LN(2)/25)*EW112+(1-EXP(-LN(2)/25))/(LN(2)/25)*Calculateur!ER113*Calculateur!ET113*VLOOKUP('Données projet'!$B$15,Paramètres!$A$1:$I$89,3,0)*0.475*44/12</f>
        <v>1.3732651964855693</v>
      </c>
      <c r="EX113" s="21">
        <f>EXP(-LN(2)/2)*EX112+(1-EXP(-LN(2)/2))/(LN(2)/2)*ER113*EU113*VLOOKUP('Données projet'!$B$15,Paramètres!$A$1:$I$89,3,0)*0.475*44/12</f>
        <v>1.2172459381182759E-12</v>
      </c>
      <c r="EY113" s="22">
        <f t="shared" si="75"/>
        <v>1.874344102125368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>
        <f>VLOOKUP(A113,'Données projet'!$A$217:$I$237,2,0)</f>
        <v>190</v>
      </c>
      <c r="FC113" s="12">
        <f>VLOOKUP(A113,'Données projet'!$A$217:$I$237,9,0)</f>
        <v>2.9</v>
      </c>
      <c r="FD113" s="12">
        <f t="array" ref="FD113">INDEX(FC:FC,MIN(IF(ISNUMBER(FC113:FC309),ROW(FC113:FC309),"")))</f>
        <v>2.9</v>
      </c>
      <c r="FE113" s="12">
        <f>IF('Données projet'!$A$218&gt;35,FE112+FD113-FM112,IF(A113&lt;'Données projet'!$A$218,$FB$205^A113,IF(A113='Données projet'!$A$218,'Données projet'!$B$218,FE112+FD113-FM112)))</f>
        <v>190.00000000000009</v>
      </c>
      <c r="FF113" s="17">
        <f>FE113*VLOOKUP('Données projet'!$B$16,Paramètres!$A$1:$I$89,3,0)*VLOOKUP('Données projet'!$B$16,Paramètres!$A$1:$I$89,5,0)</f>
        <v>183.76800000000009</v>
      </c>
      <c r="FG113" s="13">
        <f t="shared" si="101"/>
        <v>46.159483283907285</v>
      </c>
      <c r="FH113" s="20">
        <f t="shared" si="76"/>
        <v>400.45703338613868</v>
      </c>
      <c r="FI113" s="59">
        <f t="shared" si="77"/>
        <v>693.79036671947199</v>
      </c>
      <c r="FJ113" s="59">
        <f ca="1">AVERAGE(OFFSET($FI$3,0,0,'Données projet'!$E$16+1,1))-AVERAGE(OFFSET($H$3,0,0,'Données projet'!$E$16+1,1))</f>
        <v>102.86738524979938</v>
      </c>
      <c r="FK113" s="59">
        <f t="shared" si="102"/>
        <v>56.347130462109817</v>
      </c>
      <c r="FL113" s="15">
        <f>IF(ISNA(VLOOKUP(A113,'Données projet'!$A$217:$I$237,3,0)),0,VLOOKUP(A113,'Données projet'!$A$217:$I$237,3,0))</f>
        <v>9</v>
      </c>
      <c r="FM113" s="15">
        <f>IF(ISNA(VLOOKUP(A113,'Données projet'!$A$217:$I$237,4,0)),0,VLOOKUP(A113,'Données projet'!$A$217:$I$237,4,0))</f>
        <v>19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0</v>
      </c>
      <c r="FR113" s="21">
        <f>EXP(-LN(2)/25)*FR112+(1-EXP(-LN(2)/25))/(LN(2)/25)*Calculateur!FM113*Calculateur!FO113*VLOOKUP('Données projet'!$B$16,Paramètres!$A$1:$I$89,3,0)*0.475*44/12</f>
        <v>0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0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>
        <f>VLOOKUP(A113,'Données projet'!$A$243:$I$263,2,0)</f>
        <v>331</v>
      </c>
      <c r="FX113" s="12">
        <f>VLOOKUP(A113,'Données projet'!$A$243:$I$263,9,0)</f>
        <v>5.3</v>
      </c>
      <c r="FY113" s="12">
        <f t="array" ref="FY113">INDEX(FX:FX,MIN(IF(ISNUMBER(FX113:FX309),ROW(FX113:FX309),"")))</f>
        <v>5.3</v>
      </c>
      <c r="FZ113" s="12">
        <f>IF('Données projet'!$A$244&gt;35,FZ112+FY113-GH112,IF(A113&lt;'Données projet'!$A$244,$FW$205^A113,IF(A113='Données projet'!$A$244,'Données projet'!$B$244,FZ112+FY113-GH112)))</f>
        <v>331.00000000000045</v>
      </c>
      <c r="GA113" s="17">
        <f>FZ113*VLOOKUP('Données projet'!$B$17,Paramètres!$A$1:$I$89,3,0)*VLOOKUP('Données projet'!$B$17,Paramètres!$A$1:$I$89,5,0)</f>
        <v>222.0348000000003</v>
      </c>
      <c r="GB113" s="13">
        <f t="shared" si="103"/>
        <v>54.55690219855402</v>
      </c>
      <c r="GC113" s="20">
        <f t="shared" si="79"/>
        <v>481.73054799581541</v>
      </c>
      <c r="GD113" s="59">
        <f t="shared" si="80"/>
        <v>775.06388132914867</v>
      </c>
      <c r="GE113" s="59">
        <f ca="1">AVERAGE(OFFSET($GD$3,0,0,'Données projet'!$E$17+1,1))-AVERAGE(OFFSET($H$3,0,0,'Données projet'!$E$17+1,1))</f>
        <v>168.00454652899231</v>
      </c>
      <c r="GF113" s="59">
        <f t="shared" si="104"/>
        <v>135.31958994080446</v>
      </c>
      <c r="GG113" s="15">
        <f>IF(ISNA(VLOOKUP(A113,'Données projet'!$A$243:$I$263,3,0)),0,VLOOKUP(A113,'Données projet'!$A$243:$I$263,3,0))</f>
        <v>10</v>
      </c>
      <c r="GH113" s="15">
        <f>IF(ISNA(VLOOKUP(A113,'Données projet'!$A$243:$I$263,4,0)),0,VLOOKUP(A113,'Données projet'!$A$243:$I$263,4,0))</f>
        <v>40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0</v>
      </c>
      <c r="GM113" s="21">
        <f>EXP(-LN(2)/25)*GM112+(1-EXP(-LN(2)/25))/(LN(2)/25)*Calculateur!GH113*Calculateur!GJ113*VLOOKUP('Données projet'!$B$17,Paramètres!$A$1:$I$89,3,0)*0.475*44/12</f>
        <v>0</v>
      </c>
      <c r="GN113" s="21">
        <f>EXP(-LN(2)/2)*GN112+(1-EXP(-LN(2)/2))/(LN(2)/2)*GH113*GK113*VLOOKUP('Données projet'!$B$17,Paramètres!$A$1:$I$89,3,0)*0.475*44/12</f>
        <v>0</v>
      </c>
      <c r="GO113" s="21">
        <f t="shared" si="81"/>
        <v>0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6.8461538461538511</v>
      </c>
      <c r="N114" s="13">
        <f>IF('Données projet'!$A$36&gt;35,N113+M114-V113,IF(A114&lt;'Données projet'!$A$36,$K$205^A114,IF(A114='Données projet'!$A$36,'Données projet'!$B$36,N113+M114-V113)))</f>
        <v>302.57051282051299</v>
      </c>
      <c r="O114" s="13">
        <f>N114*VLOOKUP('Données projet'!$B$9,Paramètres!$A$1:$I$89,3,0)*VLOOKUP('Données projet'!$B$9,Paramètres!$A$1:$I$89,5,0)</f>
        <v>273.76580000000013</v>
      </c>
      <c r="P114" s="13">
        <f t="shared" si="87"/>
        <v>65.647821692657857</v>
      </c>
      <c r="Q114" s="20">
        <f t="shared" si="107"/>
        <v>591.14539111471265</v>
      </c>
      <c r="R114" s="59">
        <f t="shared" si="55"/>
        <v>884.47872444804602</v>
      </c>
      <c r="S114" s="59">
        <f ca="1">AVERAGE(OFFSET($R$3,0,0,'Données projet'!$E$9+1,1))-AVERAGE(OFFSET($H$3,0,0,'Données projet'!$E$9+1,1))</f>
        <v>221.7429870520005</v>
      </c>
      <c r="T114" s="59">
        <f t="shared" si="88"/>
        <v>182.2029938397186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0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5.0961538461538449</v>
      </c>
      <c r="AI114" s="13">
        <f>IF('Données projet'!$A$62&gt;35,AI113+AH114-AQ113,IF(A114&lt;'Données projet'!$A$62,$AF$205^A114,IF(A114='Données projet'!$A$62,'Données projet'!$B$62,AI113+AH114-AQ113)))</f>
        <v>236.02564102564068</v>
      </c>
      <c r="AJ114" s="13">
        <f>AI114*VLOOKUP('Données projet'!$B$10,Paramètres!$A$1:$I$89,3,0)*VLOOKUP('Données projet'!$B$10,Paramètres!$A$1:$I$89,5,0)</f>
        <v>213.5559999999997</v>
      </c>
      <c r="AK114" s="13">
        <f t="shared" si="89"/>
        <v>52.71190012556103</v>
      </c>
      <c r="AL114" s="20">
        <f t="shared" si="58"/>
        <v>463.74992605201828</v>
      </c>
      <c r="AM114" s="59">
        <f t="shared" si="59"/>
        <v>757.08325938535154</v>
      </c>
      <c r="AN114" s="59">
        <f ca="1">AVERAGE(OFFSET($AM$3,0,0,'Données projet'!$E$10+1,1))-AVERAGE(OFFSET($H$3,0,0,'Données projet'!$E$10+1,1))</f>
        <v>153.45079678708987</v>
      </c>
      <c r="AO114" s="59">
        <f t="shared" si="90"/>
        <v>115.4217868409637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0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3.4106051316484809E-13</v>
      </c>
      <c r="BE114" s="13">
        <f>BD114*VLOOKUP('Données projet'!$B$11,Paramètres!$A$1:$I$89,3,0)*VLOOKUP('Données projet'!$B$11,Paramètres!$A$1:$I$89,5,0)</f>
        <v>1.5961632016114892E-13</v>
      </c>
      <c r="BF114" s="13">
        <f t="shared" si="91"/>
        <v>2.2708641912150958E-12</v>
      </c>
      <c r="BG114" s="20">
        <f t="shared" si="61"/>
        <v>4.2330868906469593E-12</v>
      </c>
      <c r="BH114" s="59">
        <f t="shared" si="62"/>
        <v>293.33333333333752</v>
      </c>
      <c r="BI114" s="59">
        <f ca="1">AVERAGE(OFFSET($BH$3,0,0,'Données projet'!$E$11+1,1))-AVERAGE(OFFSET($H$3,0,0,'Données projet'!$E$11+1,1))</f>
        <v>158.58786357608489</v>
      </c>
      <c r="BJ114" s="59">
        <f t="shared" si="92"/>
        <v>163.20074068819849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0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>
        <f>BY114*VLOOKUP('Données projet'!$B$12,Paramètres!$A$1:$I$89,3,0)*VLOOKUP('Données projet'!$B$12,Paramètres!$A$1:$I$89,5,0)</f>
        <v>0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255.41017495879987</v>
      </c>
      <c r="CE114" s="59">
        <f t="shared" si="94"/>
        <v>297.50513563712764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1.6776604241792288</v>
      </c>
      <c r="CL114" s="21">
        <f>EXP(-LN(2)/25)*CL113+(1-EXP(-LN(2)/25))/(LN(2)/25)*Calculateur!CG114*Calculateur!CI114*VLOOKUP('Données projet'!$B$12,Paramètres!$A$1:$I$89,3,0)*0.475*44/12</f>
        <v>2.949834979935904</v>
      </c>
      <c r="CM114" s="21">
        <f>EXP(-LN(2)/2)*CM113+(1-EXP(-LN(2)/2))/(LN(2)/2)*CG114*CJ114*VLOOKUP('Données projet'!$B$12,Paramètres!$A$1:$I$89,3,0)*0.475*44/12</f>
        <v>1.5692646886181566E-11</v>
      </c>
      <c r="CN114" s="22">
        <f t="shared" si="66"/>
        <v>4.6274954041308254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-1.4210854715202004E-13</v>
      </c>
      <c r="CU114" s="17">
        <f>CT114*VLOOKUP('Données projet'!$B$13,Paramètres!$A$1:$I$89,3,0)*VLOOKUP('Données projet'!$B$13,Paramètres!$A$1:$I$89,5,0)</f>
        <v>-8.128608897095547E-14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134.70214882504786</v>
      </c>
      <c r="CZ114" s="59">
        <f t="shared" si="96"/>
        <v>102.18553029667771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0.21372875688188406</v>
      </c>
      <c r="DG114" s="21">
        <f>EXP(-LN(2)/25)*DG113+(1-EXP(-LN(2)/25))/(LN(2)/25)*Calculateur!DB114*Calculateur!DD114*VLOOKUP('Données projet'!$B$13,Paramètres!$A$1:$I$89,3,0)*0.475*44/12</f>
        <v>1.3282944425179091</v>
      </c>
      <c r="DH114" s="21">
        <f>EXP(-LN(2)/2)*DH113+(1-EXP(-LN(2)/2))/(LN(2)/2)*DB114*DE114*VLOOKUP('Données projet'!$B$13,Paramètres!$A$1:$I$89,3,0)*0.475*44/12</f>
        <v>4.9557380538548896E-12</v>
      </c>
      <c r="DI114" s="22">
        <f t="shared" si="69"/>
        <v>1.5420231994047489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-2.8421709430404007E-13</v>
      </c>
      <c r="DP114" s="17">
        <f>DO114*VLOOKUP('Données projet'!$B$14,Paramètres!$A$1:$I$89,3,0)*VLOOKUP('Données projet'!$B$14,Paramètres!$A$1:$I$89,5,0)</f>
        <v>-1.69961822393816E-13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179.32848817523677</v>
      </c>
      <c r="DU114" s="59">
        <f t="shared" si="98"/>
        <v>131.3292389103035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</v>
      </c>
      <c r="EB114" s="21">
        <f>EXP(-LN(2)/25)*EB113+(1-EXP(-LN(2)/25))/(LN(2)/25)*Calculateur!DW114*Calculateur!DY114*VLOOKUP('Données projet'!$B$14,Paramètres!$A$1:$I$89,3,0)*0.475*44/12</f>
        <v>1.3950212095469041</v>
      </c>
      <c r="EC114" s="21">
        <f>EXP(-LN(2)/2)*EC113+(1-EXP(-LN(2)/2))/(LN(2)/2)*DW114*DZ114*VLOOKUP('Données projet'!$B$14,Paramètres!$A$1:$I$89,3,0)*0.475*44/12</f>
        <v>3.3846032466947448E-12</v>
      </c>
      <c r="ED114" s="22">
        <f t="shared" si="72"/>
        <v>1.3950212095502887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-2.2737367544323206E-13</v>
      </c>
      <c r="EK114" s="17">
        <f>EJ114*VLOOKUP('Données projet'!$B$15,Paramètres!$A$1:$I$89,3,0)*VLOOKUP('Données projet'!$B$15,Paramètres!$A$1:$I$89,5,0)</f>
        <v>-1.0049916454590858E-13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191.932060106699</v>
      </c>
      <c r="EP114" s="59">
        <f t="shared" si="100"/>
        <v>260.28593152736903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0.49125305392696311</v>
      </c>
      <c r="EW114" s="21">
        <f>EXP(-LN(2)/25)*EW113+(1-EXP(-LN(2)/25))/(LN(2)/25)*Calculateur!ER114*Calculateur!ET114*VLOOKUP('Données projet'!$B$15,Paramètres!$A$1:$I$89,3,0)*0.475*44/12</f>
        <v>1.3357131874707935</v>
      </c>
      <c r="EX114" s="21">
        <f>EXP(-LN(2)/2)*EX113+(1-EXP(-LN(2)/2))/(LN(2)/2)*ER114*EU114*VLOOKUP('Données projet'!$B$15,Paramètres!$A$1:$I$89,3,0)*0.475*44/12</f>
        <v>8.6072285721521347E-13</v>
      </c>
      <c r="EY114" s="22">
        <f t="shared" si="75"/>
        <v>1.8269662413986172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3</v>
      </c>
      <c r="FE114" s="12">
        <f>IF('Données projet'!$A$218&gt;35,FE113+FD114-FM113,IF(A114&lt;'Données projet'!$A$218,$FB$205^A114,IF(A114='Données projet'!$A$218,'Données projet'!$B$218,FE113+FD114-FM113)))</f>
        <v>174.00000000000009</v>
      </c>
      <c r="FF114" s="17">
        <f>FE114*VLOOKUP('Données projet'!$B$16,Paramètres!$A$1:$I$89,3,0)*VLOOKUP('Données projet'!$B$16,Paramètres!$A$1:$I$89,5,0)</f>
        <v>168.29280000000008</v>
      </c>
      <c r="FG114" s="13">
        <f t="shared" si="101"/>
        <v>42.707443263135104</v>
      </c>
      <c r="FH114" s="20">
        <f t="shared" si="76"/>
        <v>367.49209034996039</v>
      </c>
      <c r="FI114" s="59">
        <f t="shared" si="77"/>
        <v>660.82542368329371</v>
      </c>
      <c r="FJ114" s="59">
        <f ca="1">AVERAGE(OFFSET($FI$3,0,0,'Données projet'!$E$16+1,1))-AVERAGE(OFFSET($H$3,0,0,'Données projet'!$E$16+1,1))</f>
        <v>102.86738524979938</v>
      </c>
      <c r="FK114" s="59">
        <f t="shared" si="102"/>
        <v>56.347130462109817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0</v>
      </c>
      <c r="FR114" s="21">
        <f>EXP(-LN(2)/25)*FR113+(1-EXP(-LN(2)/25))/(LN(2)/25)*Calculateur!FM114*Calculateur!FO114*VLOOKUP('Données projet'!$B$16,Paramètres!$A$1:$I$89,3,0)*0.475*44/12</f>
        <v>0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0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4.5999999999999996</v>
      </c>
      <c r="FZ114" s="12">
        <f>IF('Données projet'!$A$244&gt;35,FZ113+FY114-GH113,IF(A114&lt;'Données projet'!$A$244,$FW$205^A114,IF(A114='Données projet'!$A$244,'Données projet'!$B$244,FZ113+FY114-GH113)))</f>
        <v>295.60000000000048</v>
      </c>
      <c r="GA114" s="17">
        <f>FZ114*VLOOKUP('Données projet'!$B$17,Paramètres!$A$1:$I$89,3,0)*VLOOKUP('Données projet'!$B$17,Paramètres!$A$1:$I$89,5,0)</f>
        <v>198.28848000000033</v>
      </c>
      <c r="GB114" s="13">
        <f t="shared" si="103"/>
        <v>49.367839495089974</v>
      </c>
      <c r="GC114" s="20">
        <f t="shared" si="79"/>
        <v>431.33475645394896</v>
      </c>
      <c r="GD114" s="59">
        <f t="shared" si="80"/>
        <v>724.66808978728227</v>
      </c>
      <c r="GE114" s="59">
        <f ca="1">AVERAGE(OFFSET($GD$3,0,0,'Données projet'!$E$17+1,1))-AVERAGE(OFFSET($H$3,0,0,'Données projet'!$E$17+1,1))</f>
        <v>168.00454652899231</v>
      </c>
      <c r="GF114" s="59">
        <f t="shared" si="104"/>
        <v>135.31958994080446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0</v>
      </c>
      <c r="GM114" s="21">
        <f>EXP(-LN(2)/25)*GM113+(1-EXP(-LN(2)/25))/(LN(2)/25)*Calculateur!GH114*Calculateur!GJ114*VLOOKUP('Données projet'!$B$17,Paramètres!$A$1:$I$89,3,0)*0.475*44/12</f>
        <v>0</v>
      </c>
      <c r="GN114" s="21">
        <f>EXP(-LN(2)/2)*GN113+(1-EXP(-LN(2)/2))/(LN(2)/2)*GH114*GK114*VLOOKUP('Données projet'!$B$17,Paramètres!$A$1:$I$89,3,0)*0.475*44/12</f>
        <v>0</v>
      </c>
      <c r="GO114" s="21">
        <f t="shared" si="81"/>
        <v>0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6.8461538461538511</v>
      </c>
      <c r="N115" s="13">
        <f>IF('Données projet'!$A$36&gt;35,N114+M115-V114,IF(A115&lt;'Données projet'!$A$36,$K$205^A115,IF(A115='Données projet'!$A$36,'Données projet'!$B$36,N114+M115-V114)))</f>
        <v>309.41666666666686</v>
      </c>
      <c r="O115" s="13">
        <f>N115*VLOOKUP('Données projet'!$B$9,Paramètres!$A$1:$I$89,3,0)*VLOOKUP('Données projet'!$B$9,Paramètres!$A$1:$I$89,5,0)</f>
        <v>279.96020000000016</v>
      </c>
      <c r="P115" s="13">
        <f t="shared" si="87"/>
        <v>66.958597927408931</v>
      </c>
      <c r="Q115" s="20">
        <f t="shared" si="107"/>
        <v>604.21690639023745</v>
      </c>
      <c r="R115" s="59">
        <f t="shared" si="55"/>
        <v>897.55023972357071</v>
      </c>
      <c r="S115" s="59">
        <f ca="1">AVERAGE(OFFSET($R$3,0,0,'Données projet'!$E$9+1,1))-AVERAGE(OFFSET($H$3,0,0,'Données projet'!$E$9+1,1))</f>
        <v>221.7429870520005</v>
      </c>
      <c r="T115" s="59">
        <f t="shared" si="88"/>
        <v>182.2029938397186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0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5.0961538461538449</v>
      </c>
      <c r="AI115" s="13">
        <f>IF('Données projet'!$A$62&gt;35,AI114+AH115-AQ114,IF(A115&lt;'Données projet'!$A$62,$AF$205^A115,IF(A115='Données projet'!$A$62,'Données projet'!$B$62,AI114+AH115-AQ114)))</f>
        <v>241.12179487179452</v>
      </c>
      <c r="AJ115" s="13">
        <f>AI115*VLOOKUP('Données projet'!$B$10,Paramètres!$A$1:$I$89,3,0)*VLOOKUP('Données projet'!$B$10,Paramètres!$A$1:$I$89,5,0)</f>
        <v>218.16699999999966</v>
      </c>
      <c r="AK115" s="13">
        <f t="shared" si="89"/>
        <v>53.716298439743952</v>
      </c>
      <c r="AL115" s="20">
        <f t="shared" si="58"/>
        <v>473.53007811588674</v>
      </c>
      <c r="AM115" s="59">
        <f t="shared" si="59"/>
        <v>766.86341144922005</v>
      </c>
      <c r="AN115" s="59">
        <f ca="1">AVERAGE(OFFSET($AM$3,0,0,'Données projet'!$E$10+1,1))-AVERAGE(OFFSET($H$3,0,0,'Données projet'!$E$10+1,1))</f>
        <v>153.45079678708987</v>
      </c>
      <c r="AO115" s="59">
        <f t="shared" si="90"/>
        <v>115.4217868409637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0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3.4106051316484809E-13</v>
      </c>
      <c r="BE115" s="13">
        <f>BD115*VLOOKUP('Données projet'!$B$11,Paramètres!$A$1:$I$89,3,0)*VLOOKUP('Données projet'!$B$11,Paramètres!$A$1:$I$89,5,0)</f>
        <v>1.5961632016114892E-13</v>
      </c>
      <c r="BF115" s="13">
        <f t="shared" si="91"/>
        <v>2.2708641912150958E-12</v>
      </c>
      <c r="BG115" s="20">
        <f t="shared" si="61"/>
        <v>4.2330868906469593E-12</v>
      </c>
      <c r="BH115" s="59">
        <f t="shared" si="62"/>
        <v>293.33333333333752</v>
      </c>
      <c r="BI115" s="59">
        <f ca="1">AVERAGE(OFFSET($BH$3,0,0,'Données projet'!$E$11+1,1))-AVERAGE(OFFSET($H$3,0,0,'Données projet'!$E$11+1,1))</f>
        <v>158.58786357608489</v>
      </c>
      <c r="BJ115" s="59">
        <f t="shared" si="92"/>
        <v>163.20074068819849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0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>
        <f>BY115*VLOOKUP('Données projet'!$B$12,Paramètres!$A$1:$I$89,3,0)*VLOOKUP('Données projet'!$B$12,Paramètres!$A$1:$I$89,5,0)</f>
        <v>0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255.41017495879987</v>
      </c>
      <c r="CE115" s="59">
        <f t="shared" si="94"/>
        <v>297.50513563712764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1.6447625265328931</v>
      </c>
      <c r="CL115" s="21">
        <f>EXP(-LN(2)/25)*CL114+(1-EXP(-LN(2)/25))/(LN(2)/25)*Calculateur!CG115*Calculateur!CI115*VLOOKUP('Données projet'!$B$12,Paramètres!$A$1:$I$89,3,0)*0.475*44/12</f>
        <v>2.8691715872844772</v>
      </c>
      <c r="CM115" s="21">
        <f>EXP(-LN(2)/2)*CM114+(1-EXP(-LN(2)/2))/(LN(2)/2)*CG115*CJ115*VLOOKUP('Données projet'!$B$12,Paramètres!$A$1:$I$89,3,0)*0.475*44/12</f>
        <v>1.1096377027984945E-11</v>
      </c>
      <c r="CN115" s="22">
        <f t="shared" si="66"/>
        <v>4.5139341138284665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-1.4210854715202004E-13</v>
      </c>
      <c r="CU115" s="17">
        <f>CT115*VLOOKUP('Données projet'!$B$13,Paramètres!$A$1:$I$89,3,0)*VLOOKUP('Données projet'!$B$13,Paramètres!$A$1:$I$89,5,0)</f>
        <v>-8.128608897095547E-14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134.70214882504786</v>
      </c>
      <c r="CZ115" s="59">
        <f t="shared" si="96"/>
        <v>102.18553029667771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0.20953766632109985</v>
      </c>
      <c r="DG115" s="21">
        <f>EXP(-LN(2)/25)*DG114+(1-EXP(-LN(2)/25))/(LN(2)/25)*Calculateur!DB115*Calculateur!DD115*VLOOKUP('Données projet'!$B$13,Paramètres!$A$1:$I$89,3,0)*0.475*44/12</f>
        <v>1.2919721611352879</v>
      </c>
      <c r="DH115" s="21">
        <f>EXP(-LN(2)/2)*DH114+(1-EXP(-LN(2)/2))/(LN(2)/2)*DB115*DE115*VLOOKUP('Données projet'!$B$13,Paramètres!$A$1:$I$89,3,0)*0.475*44/12</f>
        <v>3.5042359836650163E-12</v>
      </c>
      <c r="DI115" s="22">
        <f t="shared" si="69"/>
        <v>1.5015098274598921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-2.8421709430404007E-13</v>
      </c>
      <c r="DP115" s="17">
        <f>DO115*VLOOKUP('Données projet'!$B$14,Paramètres!$A$1:$I$89,3,0)*VLOOKUP('Données projet'!$B$14,Paramètres!$A$1:$I$89,5,0)</f>
        <v>-1.69961822393816E-13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179.32848817523677</v>
      </c>
      <c r="DU115" s="59">
        <f t="shared" si="98"/>
        <v>131.3292389103035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</v>
      </c>
      <c r="EB115" s="21">
        <f>EXP(-LN(2)/25)*EB114+(1-EXP(-LN(2)/25))/(LN(2)/25)*Calculateur!DW115*Calculateur!DY115*VLOOKUP('Données projet'!$B$14,Paramètres!$A$1:$I$89,3,0)*0.475*44/12</f>
        <v>1.356874281210867</v>
      </c>
      <c r="EC115" s="21">
        <f>EXP(-LN(2)/2)*EC114+(1-EXP(-LN(2)/2))/(LN(2)/2)*DW115*DZ115*VLOOKUP('Données projet'!$B$14,Paramètres!$A$1:$I$89,3,0)*0.475*44/12</f>
        <v>2.3932759073638592E-12</v>
      </c>
      <c r="ED115" s="22">
        <f t="shared" si="72"/>
        <v>1.3568742812132601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-2.2737367544323206E-13</v>
      </c>
      <c r="EK115" s="17">
        <f>EJ115*VLOOKUP('Données projet'!$B$15,Paramètres!$A$1:$I$89,3,0)*VLOOKUP('Données projet'!$B$15,Paramètres!$A$1:$I$89,5,0)</f>
        <v>-1.0049916454590858E-13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191.932060106699</v>
      </c>
      <c r="EP115" s="59">
        <f t="shared" si="100"/>
        <v>260.28593152736903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0.48161988117423177</v>
      </c>
      <c r="EW115" s="21">
        <f>EXP(-LN(2)/25)*EW114+(1-EXP(-LN(2)/25))/(LN(2)/25)*Calculateur!ER115*Calculateur!ET115*VLOOKUP('Données projet'!$B$15,Paramètres!$A$1:$I$89,3,0)*0.475*44/12</f>
        <v>1.2991880401173008</v>
      </c>
      <c r="EX115" s="21">
        <f>EXP(-LN(2)/2)*EX114+(1-EXP(-LN(2)/2))/(LN(2)/2)*ER115*EU115*VLOOKUP('Données projet'!$B$15,Paramètres!$A$1:$I$89,3,0)*0.475*44/12</f>
        <v>6.0862296905913794E-13</v>
      </c>
      <c r="EY115" s="22">
        <f t="shared" si="75"/>
        <v>1.7808079212921413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3</v>
      </c>
      <c r="FE115" s="12">
        <f>IF('Données projet'!$A$218&gt;35,FE114+FD115-FM114,IF(A115&lt;'Données projet'!$A$218,$FB$205^A115,IF(A115='Données projet'!$A$218,'Données projet'!$B$218,FE114+FD115-FM114)))</f>
        <v>177.00000000000009</v>
      </c>
      <c r="FF115" s="17">
        <f>FE115*VLOOKUP('Données projet'!$B$16,Paramètres!$A$1:$I$89,3,0)*VLOOKUP('Données projet'!$B$16,Paramètres!$A$1:$I$89,5,0)</f>
        <v>171.19440000000009</v>
      </c>
      <c r="FG115" s="13">
        <f t="shared" si="101"/>
        <v>43.35742035290977</v>
      </c>
      <c r="FH115" s="20">
        <f t="shared" si="76"/>
        <v>373.67775378131802</v>
      </c>
      <c r="FI115" s="59">
        <f t="shared" si="77"/>
        <v>667.01108711465133</v>
      </c>
      <c r="FJ115" s="59">
        <f ca="1">AVERAGE(OFFSET($FI$3,0,0,'Données projet'!$E$16+1,1))-AVERAGE(OFFSET($H$3,0,0,'Données projet'!$E$16+1,1))</f>
        <v>102.86738524979938</v>
      </c>
      <c r="FK115" s="59">
        <f t="shared" si="102"/>
        <v>56.347130462109817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0</v>
      </c>
      <c r="FR115" s="21">
        <f>EXP(-LN(2)/25)*FR114+(1-EXP(-LN(2)/25))/(LN(2)/25)*Calculateur!FM115*Calculateur!FO115*VLOOKUP('Données projet'!$B$16,Paramètres!$A$1:$I$89,3,0)*0.475*44/12</f>
        <v>0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0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4.5999999999999996</v>
      </c>
      <c r="FZ115" s="12">
        <f>IF('Données projet'!$A$244&gt;35,FZ114+FY115-GH114,IF(A115&lt;'Données projet'!$A$244,$FW$205^A115,IF(A115='Données projet'!$A$244,'Données projet'!$B$244,FZ114+FY115-GH114)))</f>
        <v>300.2000000000005</v>
      </c>
      <c r="GA115" s="17">
        <f>FZ115*VLOOKUP('Données projet'!$B$17,Paramètres!$A$1:$I$89,3,0)*VLOOKUP('Données projet'!$B$17,Paramètres!$A$1:$I$89,5,0)</f>
        <v>201.37416000000033</v>
      </c>
      <c r="GB115" s="13">
        <f t="shared" si="103"/>
        <v>50.046046045914252</v>
      </c>
      <c r="GC115" s="20">
        <f t="shared" si="79"/>
        <v>437.89019219663459</v>
      </c>
      <c r="GD115" s="59">
        <f t="shared" si="80"/>
        <v>731.2235255299679</v>
      </c>
      <c r="GE115" s="59">
        <f ca="1">AVERAGE(OFFSET($GD$3,0,0,'Données projet'!$E$17+1,1))-AVERAGE(OFFSET($H$3,0,0,'Données projet'!$E$17+1,1))</f>
        <v>168.00454652899231</v>
      </c>
      <c r="GF115" s="59">
        <f t="shared" si="104"/>
        <v>135.31958994080446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0</v>
      </c>
      <c r="GM115" s="21">
        <f>EXP(-LN(2)/25)*GM114+(1-EXP(-LN(2)/25))/(LN(2)/25)*Calculateur!GH115*Calculateur!GJ115*VLOOKUP('Données projet'!$B$17,Paramètres!$A$1:$I$89,3,0)*0.475*44/12</f>
        <v>0</v>
      </c>
      <c r="GN115" s="21">
        <f>EXP(-LN(2)/2)*GN114+(1-EXP(-LN(2)/2))/(LN(2)/2)*GH115*GK115*VLOOKUP('Données projet'!$B$17,Paramètres!$A$1:$I$89,3,0)*0.475*44/12</f>
        <v>0</v>
      </c>
      <c r="GO115" s="21">
        <f t="shared" si="81"/>
        <v>0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6.8461538461538511</v>
      </c>
      <c r="N116" s="13">
        <f>IF('Données projet'!$A$36&gt;35,N115+M116-V115,IF(A116&lt;'Données projet'!$A$36,$K$205^A116,IF(A116='Données projet'!$A$36,'Données projet'!$B$36,N115+M116-V115)))</f>
        <v>316.26282051282072</v>
      </c>
      <c r="O116" s="13">
        <f>N116*VLOOKUP('Données projet'!$B$9,Paramètres!$A$1:$I$89,3,0)*VLOOKUP('Données projet'!$B$9,Paramètres!$A$1:$I$89,5,0)</f>
        <v>286.15460000000019</v>
      </c>
      <c r="P116" s="13">
        <f t="shared" si="87"/>
        <v>68.266002354364261</v>
      </c>
      <c r="Q116" s="20">
        <f t="shared" si="107"/>
        <v>617.28254910051817</v>
      </c>
      <c r="R116" s="59">
        <f t="shared" si="55"/>
        <v>910.61588243385154</v>
      </c>
      <c r="S116" s="59">
        <f ca="1">AVERAGE(OFFSET($R$3,0,0,'Données projet'!$E$9+1,1))-AVERAGE(OFFSET($H$3,0,0,'Données projet'!$E$9+1,1))</f>
        <v>221.7429870520005</v>
      </c>
      <c r="T116" s="59">
        <f t="shared" si="88"/>
        <v>182.2029938397186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0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>
        <f>VLOOKUP(A116,'Données projet'!$A$61:$I$81,2,0)</f>
        <v>246.21794871794873</v>
      </c>
      <c r="AG116" s="12">
        <f>VLOOKUP(A116,'Données projet'!$A$61:$I$81,9,0)</f>
        <v>5.0961538461538449</v>
      </c>
      <c r="AH116" s="12">
        <f t="array" ref="AH116">INDEX(AG:AG,MIN(IF(ISNUMBER(AG116:AG312),ROW(AG116:AG312),"")))</f>
        <v>5.0961538461538449</v>
      </c>
      <c r="AI116" s="13">
        <f>IF('Données projet'!$A$62&gt;35,AI115+AH116-AQ115,IF(A116&lt;'Données projet'!$A$62,$AF$205^A116,IF(A116='Données projet'!$A$62,'Données projet'!$B$62,AI115+AH116-AQ115)))</f>
        <v>246.21794871794836</v>
      </c>
      <c r="AJ116" s="13">
        <f>AI116*VLOOKUP('Données projet'!$B$10,Paramètres!$A$1:$I$89,3,0)*VLOOKUP('Données projet'!$B$10,Paramètres!$A$1:$I$89,5,0)</f>
        <v>222.77799999999965</v>
      </c>
      <c r="AK116" s="13">
        <f t="shared" si="89"/>
        <v>54.718228640620396</v>
      </c>
      <c r="AL116" s="20">
        <f t="shared" si="58"/>
        <v>483.30593154907984</v>
      </c>
      <c r="AM116" s="59">
        <f t="shared" si="59"/>
        <v>776.63926488241316</v>
      </c>
      <c r="AN116" s="59">
        <f ca="1">AVERAGE(OFFSET($AM$3,0,0,'Données projet'!$E$10+1,1))-AVERAGE(OFFSET($H$3,0,0,'Données projet'!$E$10+1,1))</f>
        <v>153.45079678708987</v>
      </c>
      <c r="AO116" s="59">
        <f t="shared" si="90"/>
        <v>115.4217868409637</v>
      </c>
      <c r="AP116" s="15">
        <f>IF(ISNA(VLOOKUP(A116,'Données projet'!$A$61:$I$81,3,0)),0,VLOOKUP(A116,'Données projet'!$A$61:$I$81,3,0))</f>
        <v>9</v>
      </c>
      <c r="AQ116" s="15">
        <f>IF(ISNA(VLOOKUP(A116,'Données projet'!$A$61:$I$81,4,0)),0,VLOOKUP(A116,'Données projet'!$A$61:$I$81,4,0))</f>
        <v>31.602564102564099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0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3.4106051316484809E-13</v>
      </c>
      <c r="BE116" s="13">
        <f>BD116*VLOOKUP('Données projet'!$B$11,Paramètres!$A$1:$I$89,3,0)*VLOOKUP('Données projet'!$B$11,Paramètres!$A$1:$I$89,5,0)</f>
        <v>1.5961632016114892E-13</v>
      </c>
      <c r="BF116" s="13">
        <f t="shared" si="91"/>
        <v>2.2708641912150958E-12</v>
      </c>
      <c r="BG116" s="20">
        <f t="shared" si="61"/>
        <v>4.2330868906469593E-12</v>
      </c>
      <c r="BH116" s="59">
        <f t="shared" si="62"/>
        <v>293.33333333333752</v>
      </c>
      <c r="BI116" s="59">
        <f ca="1">AVERAGE(OFFSET($BH$3,0,0,'Données projet'!$E$11+1,1))-AVERAGE(OFFSET($H$3,0,0,'Données projet'!$E$11+1,1))</f>
        <v>158.58786357608489</v>
      </c>
      <c r="BJ116" s="59">
        <f t="shared" si="92"/>
        <v>163.20074068819849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0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>
        <f>BY116*VLOOKUP('Données projet'!$B$12,Paramètres!$A$1:$I$89,3,0)*VLOOKUP('Données projet'!$B$12,Paramètres!$A$1:$I$89,5,0)</f>
        <v>0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255.41017495879987</v>
      </c>
      <c r="CE116" s="59">
        <f t="shared" si="94"/>
        <v>297.50513563712764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1.6125097365936658</v>
      </c>
      <c r="CL116" s="21">
        <f>EXP(-LN(2)/25)*CL115+(1-EXP(-LN(2)/25))/(LN(2)/25)*Calculateur!CG116*Calculateur!CI116*VLOOKUP('Données projet'!$B$12,Paramètres!$A$1:$I$89,3,0)*0.475*44/12</f>
        <v>2.7907139393470071</v>
      </c>
      <c r="CM116" s="21">
        <f>EXP(-LN(2)/2)*CM115+(1-EXP(-LN(2)/2))/(LN(2)/2)*CG116*CJ116*VLOOKUP('Données projet'!$B$12,Paramètres!$A$1:$I$89,3,0)*0.475*44/12</f>
        <v>7.8463234430907829E-12</v>
      </c>
      <c r="CN116" s="22">
        <f t="shared" si="66"/>
        <v>4.403223675948519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-1.4210854715202004E-13</v>
      </c>
      <c r="CU116" s="17">
        <f>CT116*VLOOKUP('Données projet'!$B$13,Paramètres!$A$1:$I$89,3,0)*VLOOKUP('Données projet'!$B$13,Paramètres!$A$1:$I$89,5,0)</f>
        <v>-8.128608897095547E-14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134.70214882504786</v>
      </c>
      <c r="CZ116" s="59">
        <f t="shared" si="96"/>
        <v>102.18553029667771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0.2054287604898998</v>
      </c>
      <c r="DG116" s="21">
        <f>EXP(-LN(2)/25)*DG115+(1-EXP(-LN(2)/25))/(LN(2)/25)*Calculateur!DB116*Calculateur!DD116*VLOOKUP('Données projet'!$B$13,Paramètres!$A$1:$I$89,3,0)*0.475*44/12</f>
        <v>1.2566431144471804</v>
      </c>
      <c r="DH116" s="21">
        <f>EXP(-LN(2)/2)*DH115+(1-EXP(-LN(2)/2))/(LN(2)/2)*DB116*DE116*VLOOKUP('Données projet'!$B$13,Paramètres!$A$1:$I$89,3,0)*0.475*44/12</f>
        <v>2.4778690269274448E-12</v>
      </c>
      <c r="DI116" s="22">
        <f t="shared" si="69"/>
        <v>1.462071874939558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-2.8421709430404007E-13</v>
      </c>
      <c r="DP116" s="17">
        <f>DO116*VLOOKUP('Données projet'!$B$14,Paramètres!$A$1:$I$89,3,0)*VLOOKUP('Données projet'!$B$14,Paramètres!$A$1:$I$89,5,0)</f>
        <v>-1.69961822393816E-13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179.32848817523677</v>
      </c>
      <c r="DU116" s="59">
        <f t="shared" si="98"/>
        <v>131.3292389103035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</v>
      </c>
      <c r="EB116" s="21">
        <f>EXP(-LN(2)/25)*EB115+(1-EXP(-LN(2)/25))/(LN(2)/25)*Calculateur!DW116*Calculateur!DY116*VLOOKUP('Données projet'!$B$14,Paramètres!$A$1:$I$89,3,0)*0.475*44/12</f>
        <v>1.3197704826362384</v>
      </c>
      <c r="EC116" s="21">
        <f>EXP(-LN(2)/2)*EC115+(1-EXP(-LN(2)/2))/(LN(2)/2)*DW116*DZ116*VLOOKUP('Données projet'!$B$14,Paramètres!$A$1:$I$89,3,0)*0.475*44/12</f>
        <v>1.6923016233473724E-12</v>
      </c>
      <c r="ED116" s="22">
        <f t="shared" si="72"/>
        <v>1.3197704826379306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-2.2737367544323206E-13</v>
      </c>
      <c r="EK116" s="17">
        <f>EJ116*VLOOKUP('Données projet'!$B$15,Paramètres!$A$1:$I$89,3,0)*VLOOKUP('Données projet'!$B$15,Paramètres!$A$1:$I$89,5,0)</f>
        <v>-1.0049916454590858E-13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191.932060106699</v>
      </c>
      <c r="EP116" s="59">
        <f t="shared" si="100"/>
        <v>260.28593152736903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0.47217560906352629</v>
      </c>
      <c r="EW116" s="21">
        <f>EXP(-LN(2)/25)*EW115+(1-EXP(-LN(2)/25))/(LN(2)/25)*Calculateur!ER116*Calculateur!ET116*VLOOKUP('Données projet'!$B$15,Paramètres!$A$1:$I$89,3,0)*0.475*44/12</f>
        <v>1.2636616748389635</v>
      </c>
      <c r="EX116" s="21">
        <f>EXP(-LN(2)/2)*EX115+(1-EXP(-LN(2)/2))/(LN(2)/2)*ER116*EU116*VLOOKUP('Données projet'!$B$15,Paramètres!$A$1:$I$89,3,0)*0.475*44/12</f>
        <v>4.3036142860760674E-13</v>
      </c>
      <c r="EY116" s="22">
        <f t="shared" si="75"/>
        <v>1.7358372839029201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3</v>
      </c>
      <c r="FE116" s="12">
        <f>IF('Données projet'!$A$218&gt;35,FE115+FD116-FM115,IF(A116&lt;'Données projet'!$A$218,$FB$205^A116,IF(A116='Données projet'!$A$218,'Données projet'!$B$218,FE115+FD116-FM115)))</f>
        <v>180.00000000000009</v>
      </c>
      <c r="FF116" s="17">
        <f>FE116*VLOOKUP('Données projet'!$B$16,Paramètres!$A$1:$I$89,3,0)*VLOOKUP('Données projet'!$B$16,Paramètres!$A$1:$I$89,5,0)</f>
        <v>174.09600000000009</v>
      </c>
      <c r="FG116" s="13">
        <f t="shared" si="101"/>
        <v>44.00611631426144</v>
      </c>
      <c r="FH116" s="20">
        <f t="shared" si="76"/>
        <v>379.86118591400549</v>
      </c>
      <c r="FI116" s="59">
        <f t="shared" si="77"/>
        <v>673.1945192473388</v>
      </c>
      <c r="FJ116" s="59">
        <f ca="1">AVERAGE(OFFSET($FI$3,0,0,'Données projet'!$E$16+1,1))-AVERAGE(OFFSET($H$3,0,0,'Données projet'!$E$16+1,1))</f>
        <v>102.86738524979938</v>
      </c>
      <c r="FK116" s="59">
        <f t="shared" si="102"/>
        <v>56.347130462109817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0</v>
      </c>
      <c r="FR116" s="21">
        <f>EXP(-LN(2)/25)*FR115+(1-EXP(-LN(2)/25))/(LN(2)/25)*Calculateur!FM116*Calculateur!FO116*VLOOKUP('Données projet'!$B$16,Paramètres!$A$1:$I$89,3,0)*0.475*44/12</f>
        <v>0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0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4.5999999999999996</v>
      </c>
      <c r="FZ116" s="12">
        <f>IF('Données projet'!$A$244&gt;35,FZ115+FY116-GH115,IF(A116&lt;'Données projet'!$A$244,$FW$205^A116,IF(A116='Données projet'!$A$244,'Données projet'!$B$244,FZ115+FY116-GH115)))</f>
        <v>304.80000000000052</v>
      </c>
      <c r="GA116" s="17">
        <f>FZ116*VLOOKUP('Données projet'!$B$17,Paramètres!$A$1:$I$89,3,0)*VLOOKUP('Données projet'!$B$17,Paramètres!$A$1:$I$89,5,0)</f>
        <v>204.45984000000036</v>
      </c>
      <c r="GB116" s="13">
        <f t="shared" si="103"/>
        <v>50.723043968253464</v>
      </c>
      <c r="GC116" s="20">
        <f t="shared" si="79"/>
        <v>444.44352291137534</v>
      </c>
      <c r="GD116" s="59">
        <f t="shared" si="80"/>
        <v>737.7768562447086</v>
      </c>
      <c r="GE116" s="59">
        <f ca="1">AVERAGE(OFFSET($GD$3,0,0,'Données projet'!$E$17+1,1))-AVERAGE(OFFSET($H$3,0,0,'Données projet'!$E$17+1,1))</f>
        <v>168.00454652899231</v>
      </c>
      <c r="GF116" s="59">
        <f t="shared" si="104"/>
        <v>135.31958994080446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0</v>
      </c>
      <c r="GM116" s="21">
        <f>EXP(-LN(2)/25)*GM115+(1-EXP(-LN(2)/25))/(LN(2)/25)*Calculateur!GH116*Calculateur!GJ116*VLOOKUP('Données projet'!$B$17,Paramètres!$A$1:$I$89,3,0)*0.475*44/12</f>
        <v>0</v>
      </c>
      <c r="GN116" s="21">
        <f>EXP(-LN(2)/2)*GN115+(1-EXP(-LN(2)/2))/(LN(2)/2)*GH116*GK116*VLOOKUP('Données projet'!$B$17,Paramètres!$A$1:$I$89,3,0)*0.475*44/12</f>
        <v>0</v>
      </c>
      <c r="GO116" s="21">
        <f t="shared" si="81"/>
        <v>0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6.8461538461538511</v>
      </c>
      <c r="N117" s="13">
        <f>IF('Données projet'!$A$36&gt;35,N116+M117-V116,IF(A117&lt;'Données projet'!$A$36,$K$205^A117,IF(A117='Données projet'!$A$36,'Données projet'!$B$36,N116+M117-V116)))</f>
        <v>323.10897435897459</v>
      </c>
      <c r="O117" s="13">
        <f>N117*VLOOKUP('Données projet'!$B$9,Paramètres!$A$1:$I$89,3,0)*VLOOKUP('Données projet'!$B$9,Paramètres!$A$1:$I$89,5,0)</f>
        <v>292.34900000000022</v>
      </c>
      <c r="P117" s="13">
        <f t="shared" si="87"/>
        <v>69.570116369442928</v>
      </c>
      <c r="Q117" s="20">
        <f t="shared" si="107"/>
        <v>630.34246101011342</v>
      </c>
      <c r="R117" s="59">
        <f t="shared" si="55"/>
        <v>923.6757943434468</v>
      </c>
      <c r="S117" s="59">
        <f ca="1">AVERAGE(OFFSET($R$3,0,0,'Données projet'!$E$9+1,1))-AVERAGE(OFFSET($H$3,0,0,'Données projet'!$E$9+1,1))</f>
        <v>221.7429870520005</v>
      </c>
      <c r="T117" s="59">
        <f t="shared" si="88"/>
        <v>182.2029938397186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0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5.3066239316239274</v>
      </c>
      <c r="AI117" s="13">
        <f>IF('Données projet'!$A$62&gt;35,AI116+AH117-AQ116,IF(A117&lt;'Données projet'!$A$62,$AF$205^A117,IF(A117='Données projet'!$A$62,'Données projet'!$B$62,AI116+AH117-AQ116)))</f>
        <v>219.9220085470082</v>
      </c>
      <c r="AJ117" s="13">
        <f>AI117*VLOOKUP('Données projet'!$B$10,Paramètres!$A$1:$I$89,3,0)*VLOOKUP('Données projet'!$B$10,Paramètres!$A$1:$I$89,5,0)</f>
        <v>198.98543333333302</v>
      </c>
      <c r="AK117" s="13">
        <f t="shared" si="89"/>
        <v>49.521130725595967</v>
      </c>
      <c r="AL117" s="20">
        <f t="shared" si="58"/>
        <v>432.8155990693013</v>
      </c>
      <c r="AM117" s="59">
        <f t="shared" si="59"/>
        <v>726.14893240263461</v>
      </c>
      <c r="AN117" s="59">
        <f ca="1">AVERAGE(OFFSET($AM$3,0,0,'Données projet'!$E$10+1,1))-AVERAGE(OFFSET($H$3,0,0,'Données projet'!$E$10+1,1))</f>
        <v>153.45079678708987</v>
      </c>
      <c r="AO117" s="59">
        <f t="shared" si="90"/>
        <v>115.4217868409637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0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3.4106051316484809E-13</v>
      </c>
      <c r="BE117" s="13">
        <f>BD117*VLOOKUP('Données projet'!$B$11,Paramètres!$A$1:$I$89,3,0)*VLOOKUP('Données projet'!$B$11,Paramètres!$A$1:$I$89,5,0)</f>
        <v>1.5961632016114892E-13</v>
      </c>
      <c r="BF117" s="13">
        <f t="shared" si="91"/>
        <v>2.2708641912150958E-12</v>
      </c>
      <c r="BG117" s="20">
        <f t="shared" si="61"/>
        <v>4.2330868906469593E-12</v>
      </c>
      <c r="BH117" s="59">
        <f t="shared" si="62"/>
        <v>293.33333333333752</v>
      </c>
      <c r="BI117" s="59">
        <f ca="1">AVERAGE(OFFSET($BH$3,0,0,'Données projet'!$E$11+1,1))-AVERAGE(OFFSET($H$3,0,0,'Données projet'!$E$11+1,1))</f>
        <v>158.58786357608489</v>
      </c>
      <c r="BJ117" s="59">
        <f t="shared" si="92"/>
        <v>163.20074068819849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0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>
        <f>BY117*VLOOKUP('Données projet'!$B$12,Paramètres!$A$1:$I$89,3,0)*VLOOKUP('Données projet'!$B$12,Paramètres!$A$1:$I$89,5,0)</f>
        <v>0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255.41017495879987</v>
      </c>
      <c r="CE117" s="59">
        <f t="shared" si="94"/>
        <v>297.50513563712764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1.5808894041928874</v>
      </c>
      <c r="CL117" s="21">
        <f>EXP(-LN(2)/25)*CL116+(1-EXP(-LN(2)/25))/(LN(2)/25)*Calculateur!CG117*Calculateur!CI117*VLOOKUP('Données projet'!$B$12,Paramètres!$A$1:$I$89,3,0)*0.475*44/12</f>
        <v>2.7144017199182953</v>
      </c>
      <c r="CM117" s="21">
        <f>EXP(-LN(2)/2)*CM116+(1-EXP(-LN(2)/2))/(LN(2)/2)*CG117*CJ117*VLOOKUP('Données projet'!$B$12,Paramètres!$A$1:$I$89,3,0)*0.475*44/12</f>
        <v>5.5481885139924725E-12</v>
      </c>
      <c r="CN117" s="22">
        <f t="shared" si="66"/>
        <v>4.2952911241167309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-1.4210854715202004E-13</v>
      </c>
      <c r="CU117" s="17">
        <f>CT117*VLOOKUP('Données projet'!$B$13,Paramètres!$A$1:$I$89,3,0)*VLOOKUP('Données projet'!$B$13,Paramètres!$A$1:$I$89,5,0)</f>
        <v>-8.128608897095547E-14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134.70214882504786</v>
      </c>
      <c r="CZ117" s="59">
        <f t="shared" si="96"/>
        <v>102.18553029667771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0.20140042779586451</v>
      </c>
      <c r="DG117" s="21">
        <f>EXP(-LN(2)/25)*DG116+(1-EXP(-LN(2)/25))/(LN(2)/25)*Calculateur!DB117*Calculateur!DD117*VLOOKUP('Données projet'!$B$13,Paramètres!$A$1:$I$89,3,0)*0.475*44/12</f>
        <v>1.2222801423986329</v>
      </c>
      <c r="DH117" s="21">
        <f>EXP(-LN(2)/2)*DH116+(1-EXP(-LN(2)/2))/(LN(2)/2)*DB117*DE117*VLOOKUP('Données projet'!$B$13,Paramètres!$A$1:$I$89,3,0)*0.475*44/12</f>
        <v>1.7521179918325082E-12</v>
      </c>
      <c r="DI117" s="22">
        <f t="shared" si="69"/>
        <v>1.4236805701962496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-2.8421709430404007E-13</v>
      </c>
      <c r="DP117" s="17">
        <f>DO117*VLOOKUP('Données projet'!$B$14,Paramètres!$A$1:$I$89,3,0)*VLOOKUP('Données projet'!$B$14,Paramètres!$A$1:$I$89,5,0)</f>
        <v>-1.69961822393816E-13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179.32848817523677</v>
      </c>
      <c r="DU117" s="59">
        <f t="shared" si="98"/>
        <v>131.3292389103035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</v>
      </c>
      <c r="EB117" s="21">
        <f>EXP(-LN(2)/25)*EB116+(1-EXP(-LN(2)/25))/(LN(2)/25)*Calculateur!DW117*Calculateur!DY117*VLOOKUP('Données projet'!$B$14,Paramètres!$A$1:$I$89,3,0)*0.475*44/12</f>
        <v>1.2836812893848373</v>
      </c>
      <c r="EC117" s="21">
        <f>EXP(-LN(2)/2)*EC116+(1-EXP(-LN(2)/2))/(LN(2)/2)*DW117*DZ117*VLOOKUP('Données projet'!$B$14,Paramètres!$A$1:$I$89,3,0)*0.475*44/12</f>
        <v>1.1966379536819296E-12</v>
      </c>
      <c r="ED117" s="22">
        <f t="shared" si="72"/>
        <v>1.2836812893860339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-2.2737367544323206E-13</v>
      </c>
      <c r="EK117" s="17">
        <f>EJ117*VLOOKUP('Données projet'!$B$15,Paramètres!$A$1:$I$89,3,0)*VLOOKUP('Données projet'!$B$15,Paramètres!$A$1:$I$89,5,0)</f>
        <v>-1.0049916454590858E-13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191.932060106699</v>
      </c>
      <c r="EP117" s="59">
        <f t="shared" si="100"/>
        <v>260.28593152736903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0.46291653336847455</v>
      </c>
      <c r="EW117" s="21">
        <f>EXP(-LN(2)/25)*EW116+(1-EXP(-LN(2)/25))/(LN(2)/25)*Calculateur!ER117*Calculateur!ET117*VLOOKUP('Données projet'!$B$15,Paramètres!$A$1:$I$89,3,0)*0.475*44/12</f>
        <v>1.2291067798874127</v>
      </c>
      <c r="EX117" s="21">
        <f>EXP(-LN(2)/2)*EX116+(1-EXP(-LN(2)/2))/(LN(2)/2)*ER117*EU117*VLOOKUP('Données projet'!$B$15,Paramètres!$A$1:$I$89,3,0)*0.475*44/12</f>
        <v>3.0431148452956897E-13</v>
      </c>
      <c r="EY117" s="22">
        <f t="shared" si="75"/>
        <v>1.6920233132561915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3</v>
      </c>
      <c r="FE117" s="12">
        <f>IF('Données projet'!$A$218&gt;35,FE116+FD117-FM116,IF(A117&lt;'Données projet'!$A$218,$FB$205^A117,IF(A117='Données projet'!$A$218,'Données projet'!$B$218,FE116+FD117-FM116)))</f>
        <v>183.00000000000009</v>
      </c>
      <c r="FF117" s="17">
        <f>FE117*VLOOKUP('Données projet'!$B$16,Paramètres!$A$1:$I$89,3,0)*VLOOKUP('Données projet'!$B$16,Paramètres!$A$1:$I$89,5,0)</f>
        <v>176.99760000000009</v>
      </c>
      <c r="FG117" s="13">
        <f t="shared" si="101"/>
        <v>44.65355496383409</v>
      </c>
      <c r="FH117" s="20">
        <f t="shared" si="76"/>
        <v>386.04242822867786</v>
      </c>
      <c r="FI117" s="59">
        <f t="shared" si="77"/>
        <v>679.37576156201112</v>
      </c>
      <c r="FJ117" s="59">
        <f ca="1">AVERAGE(OFFSET($FI$3,0,0,'Données projet'!$E$16+1,1))-AVERAGE(OFFSET($H$3,0,0,'Données projet'!$E$16+1,1))</f>
        <v>102.86738524979938</v>
      </c>
      <c r="FK117" s="59">
        <f t="shared" si="102"/>
        <v>56.347130462109817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0</v>
      </c>
      <c r="FR117" s="21">
        <f>EXP(-LN(2)/25)*FR116+(1-EXP(-LN(2)/25))/(LN(2)/25)*Calculateur!FM117*Calculateur!FO117*VLOOKUP('Données projet'!$B$16,Paramètres!$A$1:$I$89,3,0)*0.475*44/12</f>
        <v>0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0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4.5999999999999996</v>
      </c>
      <c r="FZ117" s="12">
        <f>IF('Données projet'!$A$244&gt;35,FZ116+FY117-GH116,IF(A117&lt;'Données projet'!$A$244,$FW$205^A117,IF(A117='Données projet'!$A$244,'Données projet'!$B$244,FZ116+FY117-GH116)))</f>
        <v>309.40000000000055</v>
      </c>
      <c r="GA117" s="17">
        <f>FZ117*VLOOKUP('Données projet'!$B$17,Paramètres!$A$1:$I$89,3,0)*VLOOKUP('Données projet'!$B$17,Paramètres!$A$1:$I$89,5,0)</f>
        <v>207.54552000000035</v>
      </c>
      <c r="GB117" s="13">
        <f t="shared" si="103"/>
        <v>51.398853609432315</v>
      </c>
      <c r="GC117" s="20">
        <f t="shared" si="79"/>
        <v>450.99478403642848</v>
      </c>
      <c r="GD117" s="59">
        <f t="shared" si="80"/>
        <v>744.3281173697618</v>
      </c>
      <c r="GE117" s="59">
        <f ca="1">AVERAGE(OFFSET($GD$3,0,0,'Données projet'!$E$17+1,1))-AVERAGE(OFFSET($H$3,0,0,'Données projet'!$E$17+1,1))</f>
        <v>168.00454652899231</v>
      </c>
      <c r="GF117" s="59">
        <f t="shared" si="104"/>
        <v>135.31958994080446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0</v>
      </c>
      <c r="GM117" s="21">
        <f>EXP(-LN(2)/25)*GM116+(1-EXP(-LN(2)/25))/(LN(2)/25)*Calculateur!GH117*Calculateur!GJ117*VLOOKUP('Données projet'!$B$17,Paramètres!$A$1:$I$89,3,0)*0.475*44/12</f>
        <v>0</v>
      </c>
      <c r="GN117" s="21">
        <f>EXP(-LN(2)/2)*GN116+(1-EXP(-LN(2)/2))/(LN(2)/2)*GH117*GK117*VLOOKUP('Données projet'!$B$17,Paramètres!$A$1:$I$89,3,0)*0.475*44/12</f>
        <v>0</v>
      </c>
      <c r="GO117" s="21">
        <f t="shared" si="81"/>
        <v>0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6.8461538461538511</v>
      </c>
      <c r="N118" s="13">
        <f>IF('Données projet'!$A$36&gt;35,N117+M118-V117,IF(A118&lt;'Données projet'!$A$36,$K$205^A118,IF(A118='Données projet'!$A$36,'Données projet'!$B$36,N117+M118-V117)))</f>
        <v>329.95512820512846</v>
      </c>
      <c r="O118" s="13">
        <f>N118*VLOOKUP('Données projet'!$B$9,Paramètres!$A$1:$I$89,3,0)*VLOOKUP('Données projet'!$B$9,Paramètres!$A$1:$I$89,5,0)</f>
        <v>298.54340000000025</v>
      </c>
      <c r="P118" s="13">
        <f t="shared" si="87"/>
        <v>70.871017722198957</v>
      </c>
      <c r="Q118" s="20">
        <f t="shared" si="107"/>
        <v>643.39677753283024</v>
      </c>
      <c r="R118" s="59">
        <f t="shared" si="55"/>
        <v>936.73011086616361</v>
      </c>
      <c r="S118" s="59">
        <f ca="1">AVERAGE(OFFSET($R$3,0,0,'Données projet'!$E$9+1,1))-AVERAGE(OFFSET($H$3,0,0,'Données projet'!$E$9+1,1))</f>
        <v>221.7429870520005</v>
      </c>
      <c r="T118" s="59">
        <f t="shared" si="88"/>
        <v>182.2029938397186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0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5.3066239316239274</v>
      </c>
      <c r="AI118" s="13">
        <f>IF('Données projet'!$A$62&gt;35,AI117+AH118-AQ117,IF(A118&lt;'Données projet'!$A$62,$AF$205^A118,IF(A118='Données projet'!$A$62,'Données projet'!$B$62,AI117+AH118-AQ117)))</f>
        <v>225.22863247863214</v>
      </c>
      <c r="AJ118" s="13">
        <f>AI118*VLOOKUP('Données projet'!$B$10,Paramètres!$A$1:$I$89,3,0)*VLOOKUP('Données projet'!$B$10,Paramètres!$A$1:$I$89,5,0)</f>
        <v>203.78686666666636</v>
      </c>
      <c r="AK118" s="13">
        <f t="shared" si="89"/>
        <v>50.57549569083951</v>
      </c>
      <c r="AL118" s="20">
        <f t="shared" si="58"/>
        <v>443.01444777265607</v>
      </c>
      <c r="AM118" s="59">
        <f t="shared" si="59"/>
        <v>736.34778110598938</v>
      </c>
      <c r="AN118" s="59">
        <f ca="1">AVERAGE(OFFSET($AM$3,0,0,'Données projet'!$E$10+1,1))-AVERAGE(OFFSET($H$3,0,0,'Données projet'!$E$10+1,1))</f>
        <v>153.45079678708987</v>
      </c>
      <c r="AO118" s="59">
        <f t="shared" si="90"/>
        <v>115.4217868409637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0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3.4106051316484809E-13</v>
      </c>
      <c r="BE118" s="13">
        <f>BD118*VLOOKUP('Données projet'!$B$11,Paramètres!$A$1:$I$89,3,0)*VLOOKUP('Données projet'!$B$11,Paramètres!$A$1:$I$89,5,0)</f>
        <v>1.5961632016114892E-13</v>
      </c>
      <c r="BF118" s="13">
        <f t="shared" si="91"/>
        <v>2.2708641912150958E-12</v>
      </c>
      <c r="BG118" s="20">
        <f t="shared" si="61"/>
        <v>4.2330868906469593E-12</v>
      </c>
      <c r="BH118" s="59">
        <f t="shared" si="62"/>
        <v>293.33333333333752</v>
      </c>
      <c r="BI118" s="59">
        <f ca="1">AVERAGE(OFFSET($BH$3,0,0,'Données projet'!$E$11+1,1))-AVERAGE(OFFSET($H$3,0,0,'Données projet'!$E$11+1,1))</f>
        <v>158.58786357608489</v>
      </c>
      <c r="BJ118" s="59">
        <f t="shared" si="92"/>
        <v>163.20074068819849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0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>
        <f>BY118*VLOOKUP('Données projet'!$B$12,Paramètres!$A$1:$I$89,3,0)*VLOOKUP('Données projet'!$B$12,Paramètres!$A$1:$I$89,5,0)</f>
        <v>0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255.41017495879987</v>
      </c>
      <c r="CE118" s="59">
        <f t="shared" si="94"/>
        <v>297.50513563712764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1.5498891272239899</v>
      </c>
      <c r="CL118" s="21">
        <f>EXP(-LN(2)/25)*CL117+(1-EXP(-LN(2)/25))/(LN(2)/25)*Calculateur!CG118*Calculateur!CI118*VLOOKUP('Données projet'!$B$12,Paramètres!$A$1:$I$89,3,0)*0.475*44/12</f>
        <v>2.6401762621429468</v>
      </c>
      <c r="CM118" s="21">
        <f>EXP(-LN(2)/2)*CM117+(1-EXP(-LN(2)/2))/(LN(2)/2)*CG118*CJ118*VLOOKUP('Données projet'!$B$12,Paramètres!$A$1:$I$89,3,0)*0.475*44/12</f>
        <v>3.9231617215453914E-12</v>
      </c>
      <c r="CN118" s="22">
        <f t="shared" si="66"/>
        <v>4.1900653893708597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-1.4210854715202004E-13</v>
      </c>
      <c r="CU118" s="17">
        <f>CT118*VLOOKUP('Données projet'!$B$13,Paramètres!$A$1:$I$89,3,0)*VLOOKUP('Données projet'!$B$13,Paramètres!$A$1:$I$89,5,0)</f>
        <v>-8.128608897095547E-14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134.70214882504786</v>
      </c>
      <c r="CZ118" s="59">
        <f t="shared" si="96"/>
        <v>102.18553029667771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0.19745108824891891</v>
      </c>
      <c r="DG118" s="21">
        <f>EXP(-LN(2)/25)*DG117+(1-EXP(-LN(2)/25))/(LN(2)/25)*Calculateur!DB118*Calculateur!DD118*VLOOKUP('Données projet'!$B$13,Paramètres!$A$1:$I$89,3,0)*0.475*44/12</f>
        <v>1.1888568276278231</v>
      </c>
      <c r="DH118" s="21">
        <f>EXP(-LN(2)/2)*DH117+(1-EXP(-LN(2)/2))/(LN(2)/2)*DB118*DE118*VLOOKUP('Données projet'!$B$13,Paramètres!$A$1:$I$89,3,0)*0.475*44/12</f>
        <v>1.2389345134637224E-12</v>
      </c>
      <c r="DI118" s="22">
        <f t="shared" si="69"/>
        <v>1.386307915877981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-2.8421709430404007E-13</v>
      </c>
      <c r="DP118" s="17">
        <f>DO118*VLOOKUP('Données projet'!$B$14,Paramètres!$A$1:$I$89,3,0)*VLOOKUP('Données projet'!$B$14,Paramètres!$A$1:$I$89,5,0)</f>
        <v>-1.69961822393816E-13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179.32848817523677</v>
      </c>
      <c r="DU118" s="59">
        <f t="shared" si="98"/>
        <v>131.3292389103035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</v>
      </c>
      <c r="EB118" s="21">
        <f>EXP(-LN(2)/25)*EB117+(1-EXP(-LN(2)/25))/(LN(2)/25)*Calculateur!DW118*Calculateur!DY118*VLOOKUP('Données projet'!$B$14,Paramètres!$A$1:$I$89,3,0)*0.475*44/12</f>
        <v>1.2485789570207437</v>
      </c>
      <c r="EC118" s="21">
        <f>EXP(-LN(2)/2)*EC117+(1-EXP(-LN(2)/2))/(LN(2)/2)*DW118*DZ118*VLOOKUP('Données projet'!$B$14,Paramètres!$A$1:$I$89,3,0)*0.475*44/12</f>
        <v>8.461508116736862E-13</v>
      </c>
      <c r="ED118" s="22">
        <f t="shared" si="72"/>
        <v>1.2485789570215899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-2.2737367544323206E-13</v>
      </c>
      <c r="EK118" s="17">
        <f>EJ118*VLOOKUP('Données projet'!$B$15,Paramètres!$A$1:$I$89,3,0)*VLOOKUP('Données projet'!$B$15,Paramètres!$A$1:$I$89,5,0)</f>
        <v>-1.0049916454590858E-13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191.932060106699</v>
      </c>
      <c r="EP118" s="59">
        <f t="shared" si="100"/>
        <v>260.28593152736903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0.45383902250032426</v>
      </c>
      <c r="EW118" s="21">
        <f>EXP(-LN(2)/25)*EW117+(1-EXP(-LN(2)/25))/(LN(2)/25)*Calculateur!ER118*Calculateur!ET118*VLOOKUP('Données projet'!$B$15,Paramètres!$A$1:$I$89,3,0)*0.475*44/12</f>
        <v>1.195496790355475</v>
      </c>
      <c r="EX118" s="21">
        <f>EXP(-LN(2)/2)*EX117+(1-EXP(-LN(2)/2))/(LN(2)/2)*ER118*EU118*VLOOKUP('Données projet'!$B$15,Paramètres!$A$1:$I$89,3,0)*0.475*44/12</f>
        <v>2.1518071430380337E-13</v>
      </c>
      <c r="EY118" s="22">
        <f t="shared" si="75"/>
        <v>1.6493358128560145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3</v>
      </c>
      <c r="FE118" s="12">
        <f>IF('Données projet'!$A$218&gt;35,FE117+FD118-FM117,IF(A118&lt;'Données projet'!$A$218,$FB$205^A118,IF(A118='Données projet'!$A$218,'Données projet'!$B$218,FE117+FD118-FM117)))</f>
        <v>186.00000000000009</v>
      </c>
      <c r="FF118" s="17">
        <f>FE118*VLOOKUP('Données projet'!$B$16,Paramètres!$A$1:$I$89,3,0)*VLOOKUP('Données projet'!$B$16,Paramètres!$A$1:$I$89,5,0)</f>
        <v>179.89920000000009</v>
      </c>
      <c r="FG118" s="13">
        <f t="shared" si="101"/>
        <v>45.299759292628629</v>
      </c>
      <c r="FH118" s="20">
        <f t="shared" si="76"/>
        <v>392.22152076799506</v>
      </c>
      <c r="FI118" s="59">
        <f t="shared" si="77"/>
        <v>685.55485410132837</v>
      </c>
      <c r="FJ118" s="59">
        <f ca="1">AVERAGE(OFFSET($FI$3,0,0,'Données projet'!$E$16+1,1))-AVERAGE(OFFSET($H$3,0,0,'Données projet'!$E$16+1,1))</f>
        <v>102.86738524979938</v>
      </c>
      <c r="FK118" s="59">
        <f t="shared" si="102"/>
        <v>56.347130462109817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0</v>
      </c>
      <c r="FR118" s="21">
        <f>EXP(-LN(2)/25)*FR117+(1-EXP(-LN(2)/25))/(LN(2)/25)*Calculateur!FM118*Calculateur!FO118*VLOOKUP('Données projet'!$B$16,Paramètres!$A$1:$I$89,3,0)*0.475*44/12</f>
        <v>0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0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4.5999999999999996</v>
      </c>
      <c r="FZ118" s="12">
        <f>IF('Données projet'!$A$244&gt;35,FZ117+FY118-GH117,IF(A118&lt;'Données projet'!$A$244,$FW$205^A118,IF(A118='Données projet'!$A$244,'Données projet'!$B$244,FZ117+FY118-GH117)))</f>
        <v>314.00000000000057</v>
      </c>
      <c r="GA118" s="17">
        <f>FZ118*VLOOKUP('Données projet'!$B$17,Paramètres!$A$1:$I$89,3,0)*VLOOKUP('Données projet'!$B$17,Paramètres!$A$1:$I$89,5,0)</f>
        <v>210.63120000000038</v>
      </c>
      <c r="GB118" s="13">
        <f t="shared" si="103"/>
        <v>52.073494677019227</v>
      </c>
      <c r="GC118" s="20">
        <f t="shared" si="79"/>
        <v>457.5440098958091</v>
      </c>
      <c r="GD118" s="59">
        <f t="shared" si="80"/>
        <v>750.87734322914241</v>
      </c>
      <c r="GE118" s="59">
        <f ca="1">AVERAGE(OFFSET($GD$3,0,0,'Données projet'!$E$17+1,1))-AVERAGE(OFFSET($H$3,0,0,'Données projet'!$E$17+1,1))</f>
        <v>168.00454652899231</v>
      </c>
      <c r="GF118" s="59">
        <f t="shared" si="104"/>
        <v>135.31958994080446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0</v>
      </c>
      <c r="GM118" s="21">
        <f>EXP(-LN(2)/25)*GM117+(1-EXP(-LN(2)/25))/(LN(2)/25)*Calculateur!GH118*Calculateur!GJ118*VLOOKUP('Données projet'!$B$17,Paramètres!$A$1:$I$89,3,0)*0.475*44/12</f>
        <v>0</v>
      </c>
      <c r="GN118" s="21">
        <f>EXP(-LN(2)/2)*GN117+(1-EXP(-LN(2)/2))/(LN(2)/2)*GH118*GK118*VLOOKUP('Données projet'!$B$17,Paramètres!$A$1:$I$89,3,0)*0.475*44/12</f>
        <v>0</v>
      </c>
      <c r="GO118" s="21">
        <f t="shared" si="81"/>
        <v>0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6.8461538461538511</v>
      </c>
      <c r="N119" s="13">
        <f>IF('Données projet'!$A$36&gt;35,N118+M119-V118,IF(A119&lt;'Données projet'!$A$36,$K$205^A119,IF(A119='Données projet'!$A$36,'Données projet'!$B$36,N118+M119-V118)))</f>
        <v>336.80128205128233</v>
      </c>
      <c r="O119" s="13">
        <f>N119*VLOOKUP('Données projet'!$B$9,Paramètres!$A$1:$I$89,3,0)*VLOOKUP('Données projet'!$B$9,Paramètres!$A$1:$I$89,5,0)</f>
        <v>304.73780000000022</v>
      </c>
      <c r="P119" s="13">
        <f t="shared" si="87"/>
        <v>72.168780751383082</v>
      </c>
      <c r="Q119" s="20">
        <f t="shared" si="107"/>
        <v>656.44562814199264</v>
      </c>
      <c r="R119" s="59">
        <f t="shared" si="55"/>
        <v>949.77896147532601</v>
      </c>
      <c r="S119" s="59">
        <f ca="1">AVERAGE(OFFSET($R$3,0,0,'Données projet'!$E$9+1,1))-AVERAGE(OFFSET($H$3,0,0,'Données projet'!$E$9+1,1))</f>
        <v>221.7429870520005</v>
      </c>
      <c r="T119" s="59">
        <f t="shared" si="88"/>
        <v>182.2029938397186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0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5.3066239316239274</v>
      </c>
      <c r="AI119" s="13">
        <f>IF('Données projet'!$A$62&gt;35,AI118+AH119-AQ118,IF(A119&lt;'Données projet'!$A$62,$AF$205^A119,IF(A119='Données projet'!$A$62,'Données projet'!$B$62,AI118+AH119-AQ118)))</f>
        <v>230.53525641025607</v>
      </c>
      <c r="AJ119" s="13">
        <f>AI119*VLOOKUP('Données projet'!$B$10,Paramètres!$A$1:$I$89,3,0)*VLOOKUP('Données projet'!$B$10,Paramètres!$A$1:$I$89,5,0)</f>
        <v>208.58829999999969</v>
      </c>
      <c r="AK119" s="13">
        <f t="shared" si="89"/>
        <v>51.626972732243416</v>
      </c>
      <c r="AL119" s="20">
        <f t="shared" si="58"/>
        <v>453.20826667532333</v>
      </c>
      <c r="AM119" s="59">
        <f t="shared" si="59"/>
        <v>746.54160000865659</v>
      </c>
      <c r="AN119" s="59">
        <f ca="1">AVERAGE(OFFSET($AM$3,0,0,'Données projet'!$E$10+1,1))-AVERAGE(OFFSET($H$3,0,0,'Données projet'!$E$10+1,1))</f>
        <v>153.45079678708987</v>
      </c>
      <c r="AO119" s="59">
        <f t="shared" si="90"/>
        <v>115.4217868409637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0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3.4106051316484809E-13</v>
      </c>
      <c r="BE119" s="13">
        <f>BD119*VLOOKUP('Données projet'!$B$11,Paramètres!$A$1:$I$89,3,0)*VLOOKUP('Données projet'!$B$11,Paramètres!$A$1:$I$89,5,0)</f>
        <v>1.5961632016114892E-13</v>
      </c>
      <c r="BF119" s="13">
        <f t="shared" si="91"/>
        <v>2.2708641912150958E-12</v>
      </c>
      <c r="BG119" s="20">
        <f t="shared" si="61"/>
        <v>4.2330868906469593E-12</v>
      </c>
      <c r="BH119" s="59">
        <f t="shared" si="62"/>
        <v>293.33333333333752</v>
      </c>
      <c r="BI119" s="59">
        <f ca="1">AVERAGE(OFFSET($BH$3,0,0,'Données projet'!$E$11+1,1))-AVERAGE(OFFSET($H$3,0,0,'Données projet'!$E$11+1,1))</f>
        <v>158.58786357608489</v>
      </c>
      <c r="BJ119" s="59">
        <f t="shared" si="92"/>
        <v>163.20074068819849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0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>
        <f>BY119*VLOOKUP('Données projet'!$B$12,Paramètres!$A$1:$I$89,3,0)*VLOOKUP('Données projet'!$B$12,Paramètres!$A$1:$I$89,5,0)</f>
        <v>0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255.41017495879987</v>
      </c>
      <c r="CE119" s="59">
        <f t="shared" si="94"/>
        <v>297.50513563712764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1.5194967467781506</v>
      </c>
      <c r="CL119" s="21">
        <f>EXP(-LN(2)/25)*CL118+(1-EXP(-LN(2)/25))/(LN(2)/25)*Calculateur!CG119*Calculateur!CI119*VLOOKUP('Données projet'!$B$12,Paramètres!$A$1:$I$89,3,0)*0.475*44/12</f>
        <v>2.5679805034138123</v>
      </c>
      <c r="CM119" s="21">
        <f>EXP(-LN(2)/2)*CM118+(1-EXP(-LN(2)/2))/(LN(2)/2)*CG119*CJ119*VLOOKUP('Données projet'!$B$12,Paramètres!$A$1:$I$89,3,0)*0.475*44/12</f>
        <v>2.7740942569962362E-12</v>
      </c>
      <c r="CN119" s="22">
        <f t="shared" si="66"/>
        <v>4.0874772501947367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-1.4210854715202004E-13</v>
      </c>
      <c r="CU119" s="17">
        <f>CT119*VLOOKUP('Données projet'!$B$13,Paramètres!$A$1:$I$89,3,0)*VLOOKUP('Données projet'!$B$13,Paramètres!$A$1:$I$89,5,0)</f>
        <v>-8.128608897095547E-14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134.70214882504786</v>
      </c>
      <c r="CZ119" s="59">
        <f t="shared" si="96"/>
        <v>102.18553029667771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0.19357919284162964</v>
      </c>
      <c r="DG119" s="21">
        <f>EXP(-LN(2)/25)*DG118+(1-EXP(-LN(2)/25))/(LN(2)/25)*Calculateur!DB119*Calculateur!DD119*VLOOKUP('Données projet'!$B$13,Paramètres!$A$1:$I$89,3,0)*0.475*44/12</f>
        <v>1.1563474751570768</v>
      </c>
      <c r="DH119" s="21">
        <f>EXP(-LN(2)/2)*DH118+(1-EXP(-LN(2)/2))/(LN(2)/2)*DB119*DE119*VLOOKUP('Données projet'!$B$13,Paramètres!$A$1:$I$89,3,0)*0.475*44/12</f>
        <v>8.7605899591625408E-13</v>
      </c>
      <c r="DI119" s="22">
        <f t="shared" si="69"/>
        <v>1.3499266679995825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-2.8421709430404007E-13</v>
      </c>
      <c r="DP119" s="17">
        <f>DO119*VLOOKUP('Données projet'!$B$14,Paramètres!$A$1:$I$89,3,0)*VLOOKUP('Données projet'!$B$14,Paramètres!$A$1:$I$89,5,0)</f>
        <v>-1.69961822393816E-13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179.32848817523677</v>
      </c>
      <c r="DU119" s="59">
        <f t="shared" si="98"/>
        <v>131.3292389103035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</v>
      </c>
      <c r="EB119" s="21">
        <f>EXP(-LN(2)/25)*EB118+(1-EXP(-LN(2)/25))/(LN(2)/25)*Calculateur!DW119*Calculateur!DY119*VLOOKUP('Données projet'!$B$14,Paramètres!$A$1:$I$89,3,0)*0.475*44/12</f>
        <v>1.2144364997810979</v>
      </c>
      <c r="EC119" s="21">
        <f>EXP(-LN(2)/2)*EC118+(1-EXP(-LN(2)/2))/(LN(2)/2)*DW119*DZ119*VLOOKUP('Données projet'!$B$14,Paramètres!$A$1:$I$89,3,0)*0.475*44/12</f>
        <v>5.983189768409648E-13</v>
      </c>
      <c r="ED119" s="22">
        <f t="shared" si="72"/>
        <v>1.2144364997816963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-2.2737367544323206E-13</v>
      </c>
      <c r="EK119" s="17">
        <f>EJ119*VLOOKUP('Données projet'!$B$15,Paramètres!$A$1:$I$89,3,0)*VLOOKUP('Données projet'!$B$15,Paramètres!$A$1:$I$89,5,0)</f>
        <v>-1.0049916454590858E-13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191.932060106699</v>
      </c>
      <c r="EP119" s="59">
        <f t="shared" si="100"/>
        <v>260.28593152736903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0.44493951608356347</v>
      </c>
      <c r="EW119" s="21">
        <f>EXP(-LN(2)/25)*EW118+(1-EXP(-LN(2)/25))/(LN(2)/25)*Calculateur!ER119*Calculateur!ET119*VLOOKUP('Données projet'!$B$15,Paramètres!$A$1:$I$89,3,0)*0.475*44/12</f>
        <v>1.1628058677547606</v>
      </c>
      <c r="EX119" s="21">
        <f>EXP(-LN(2)/2)*EX118+(1-EXP(-LN(2)/2))/(LN(2)/2)*ER119*EU119*VLOOKUP('Données projet'!$B$15,Paramètres!$A$1:$I$89,3,0)*0.475*44/12</f>
        <v>1.5215574226478448E-13</v>
      </c>
      <c r="EY119" s="22">
        <f t="shared" si="75"/>
        <v>1.6077453838384761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3</v>
      </c>
      <c r="FE119" s="12">
        <f>IF('Données projet'!$A$218&gt;35,FE118+FD119-FM118,IF(A119&lt;'Données projet'!$A$218,$FB$205^A119,IF(A119='Données projet'!$A$218,'Données projet'!$B$218,FE118+FD119-FM118)))</f>
        <v>189.00000000000009</v>
      </c>
      <c r="FF119" s="17">
        <f>FE119*VLOOKUP('Données projet'!$B$16,Paramètres!$A$1:$I$89,3,0)*VLOOKUP('Données projet'!$B$16,Paramètres!$A$1:$I$89,5,0)</f>
        <v>182.80080000000009</v>
      </c>
      <c r="FG119" s="13">
        <f t="shared" si="101"/>
        <v>45.9447515074717</v>
      </c>
      <c r="FH119" s="20">
        <f t="shared" si="76"/>
        <v>398.39850220884665</v>
      </c>
      <c r="FI119" s="59">
        <f t="shared" si="77"/>
        <v>691.73183554217997</v>
      </c>
      <c r="FJ119" s="59">
        <f ca="1">AVERAGE(OFFSET($FI$3,0,0,'Données projet'!$E$16+1,1))-AVERAGE(OFFSET($H$3,0,0,'Données projet'!$E$16+1,1))</f>
        <v>102.86738524979938</v>
      </c>
      <c r="FK119" s="59">
        <f t="shared" si="102"/>
        <v>56.347130462109817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0</v>
      </c>
      <c r="FR119" s="21">
        <f>EXP(-LN(2)/25)*FR118+(1-EXP(-LN(2)/25))/(LN(2)/25)*Calculateur!FM119*Calculateur!FO119*VLOOKUP('Données projet'!$B$16,Paramètres!$A$1:$I$89,3,0)*0.475*44/12</f>
        <v>0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0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4.5999999999999996</v>
      </c>
      <c r="FZ119" s="12">
        <f>IF('Données projet'!$A$244&gt;35,FZ118+FY119-GH118,IF(A119&lt;'Données projet'!$A$244,$FW$205^A119,IF(A119='Données projet'!$A$244,'Données projet'!$B$244,FZ118+FY119-GH118)))</f>
        <v>318.60000000000059</v>
      </c>
      <c r="GA119" s="17">
        <f>FZ119*VLOOKUP('Données projet'!$B$17,Paramètres!$A$1:$I$89,3,0)*VLOOKUP('Données projet'!$B$17,Paramètres!$A$1:$I$89,5,0)</f>
        <v>213.7168800000004</v>
      </c>
      <c r="GB119" s="13">
        <f t="shared" si="103"/>
        <v>52.746986268012968</v>
      </c>
      <c r="GC119" s="20">
        <f t="shared" si="79"/>
        <v>464.09123375012331</v>
      </c>
      <c r="GD119" s="59">
        <f t="shared" si="80"/>
        <v>757.42456708345662</v>
      </c>
      <c r="GE119" s="59">
        <f ca="1">AVERAGE(OFFSET($GD$3,0,0,'Données projet'!$E$17+1,1))-AVERAGE(OFFSET($H$3,0,0,'Données projet'!$E$17+1,1))</f>
        <v>168.00454652899231</v>
      </c>
      <c r="GF119" s="59">
        <f t="shared" si="104"/>
        <v>135.31958994080446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0</v>
      </c>
      <c r="GM119" s="21">
        <f>EXP(-LN(2)/25)*GM118+(1-EXP(-LN(2)/25))/(LN(2)/25)*Calculateur!GH119*Calculateur!GJ119*VLOOKUP('Données projet'!$B$17,Paramètres!$A$1:$I$89,3,0)*0.475*44/12</f>
        <v>0</v>
      </c>
      <c r="GN119" s="21">
        <f>EXP(-LN(2)/2)*GN118+(1-EXP(-LN(2)/2))/(LN(2)/2)*GH119*GK119*VLOOKUP('Données projet'!$B$17,Paramètres!$A$1:$I$89,3,0)*0.475*44/12</f>
        <v>0</v>
      </c>
      <c r="GO119" s="21">
        <f t="shared" si="81"/>
        <v>0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6.8461538461538511</v>
      </c>
      <c r="N120" s="13">
        <f>IF('Données projet'!$A$36&gt;35,N119+M120-V119,IF(A120&lt;'Données projet'!$A$36,$K$205^A120,IF(A120='Données projet'!$A$36,'Données projet'!$B$36,N119+M120-V119)))</f>
        <v>343.6474358974362</v>
      </c>
      <c r="O120" s="13">
        <f>N120*VLOOKUP('Données projet'!$B$9,Paramètres!$A$1:$I$89,3,0)*VLOOKUP('Données projet'!$B$9,Paramètres!$A$1:$I$89,5,0)</f>
        <v>310.93220000000031</v>
      </c>
      <c r="P120" s="13">
        <f t="shared" si="87"/>
        <v>73.463476600811546</v>
      </c>
      <c r="Q120" s="20">
        <f t="shared" si="107"/>
        <v>669.48913674641392</v>
      </c>
      <c r="R120" s="59">
        <f t="shared" si="55"/>
        <v>962.82247007974729</v>
      </c>
      <c r="S120" s="59">
        <f ca="1">AVERAGE(OFFSET($R$3,0,0,'Données projet'!$E$9+1,1))-AVERAGE(OFFSET($H$3,0,0,'Données projet'!$E$9+1,1))</f>
        <v>221.7429870520005</v>
      </c>
      <c r="T120" s="59">
        <f t="shared" si="88"/>
        <v>182.2029938397186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0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5.3066239316239274</v>
      </c>
      <c r="AI120" s="13">
        <f>IF('Données projet'!$A$62&gt;35,AI119+AH120-AQ119,IF(A120&lt;'Données projet'!$A$62,$AF$205^A120,IF(A120='Données projet'!$A$62,'Données projet'!$B$62,AI119+AH120-AQ119)))</f>
        <v>235.84188034188</v>
      </c>
      <c r="AJ120" s="13">
        <f>AI120*VLOOKUP('Données projet'!$B$10,Paramètres!$A$1:$I$89,3,0)*VLOOKUP('Données projet'!$B$10,Paramètres!$A$1:$I$89,5,0)</f>
        <v>213.389733333333</v>
      </c>
      <c r="AK120" s="13">
        <f t="shared" si="89"/>
        <v>52.675635977819994</v>
      </c>
      <c r="AL120" s="20">
        <f t="shared" si="58"/>
        <v>463.39718488359148</v>
      </c>
      <c r="AM120" s="59">
        <f t="shared" si="59"/>
        <v>756.73051821692479</v>
      </c>
      <c r="AN120" s="59">
        <f ca="1">AVERAGE(OFFSET($AM$3,0,0,'Données projet'!$E$10+1,1))-AVERAGE(OFFSET($H$3,0,0,'Données projet'!$E$10+1,1))</f>
        <v>153.45079678708987</v>
      </c>
      <c r="AO120" s="59">
        <f t="shared" si="90"/>
        <v>115.4217868409637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0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3.4106051316484809E-13</v>
      </c>
      <c r="BE120" s="13">
        <f>BD120*VLOOKUP('Données projet'!$B$11,Paramètres!$A$1:$I$89,3,0)*VLOOKUP('Données projet'!$B$11,Paramètres!$A$1:$I$89,5,0)</f>
        <v>1.5961632016114892E-13</v>
      </c>
      <c r="BF120" s="13">
        <f t="shared" si="91"/>
        <v>2.2708641912150958E-12</v>
      </c>
      <c r="BG120" s="20">
        <f t="shared" si="61"/>
        <v>4.2330868906469593E-12</v>
      </c>
      <c r="BH120" s="59">
        <f t="shared" si="62"/>
        <v>293.33333333333752</v>
      </c>
      <c r="BI120" s="59">
        <f ca="1">AVERAGE(OFFSET($BH$3,0,0,'Données projet'!$E$11+1,1))-AVERAGE(OFFSET($H$3,0,0,'Données projet'!$E$11+1,1))</f>
        <v>158.58786357608489</v>
      </c>
      <c r="BJ120" s="59">
        <f t="shared" si="92"/>
        <v>163.20074068819849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0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>
        <f>BY120*VLOOKUP('Données projet'!$B$12,Paramètres!$A$1:$I$89,3,0)*VLOOKUP('Données projet'!$B$12,Paramètres!$A$1:$I$89,5,0)</f>
        <v>0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255.41017495879987</v>
      </c>
      <c r="CE120" s="59">
        <f t="shared" si="94"/>
        <v>297.50513563712764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1.4897003423753326</v>
      </c>
      <c r="CL120" s="21">
        <f>EXP(-LN(2)/25)*CL119+(1-EXP(-LN(2)/25))/(LN(2)/25)*Calculateur!CG120*Calculateur!CI120*VLOOKUP('Données projet'!$B$12,Paramètres!$A$1:$I$89,3,0)*0.475*44/12</f>
        <v>2.497758941503736</v>
      </c>
      <c r="CM120" s="21">
        <f>EXP(-LN(2)/2)*CM119+(1-EXP(-LN(2)/2))/(LN(2)/2)*CG120*CJ120*VLOOKUP('Données projet'!$B$12,Paramètres!$A$1:$I$89,3,0)*0.475*44/12</f>
        <v>1.9615808607726957E-12</v>
      </c>
      <c r="CN120" s="22">
        <f t="shared" si="66"/>
        <v>3.9874592838810301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-1.4210854715202004E-13</v>
      </c>
      <c r="CU120" s="17">
        <f>CT120*VLOOKUP('Données projet'!$B$13,Paramètres!$A$1:$I$89,3,0)*VLOOKUP('Données projet'!$B$13,Paramètres!$A$1:$I$89,5,0)</f>
        <v>-8.128608897095547E-14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134.70214882504786</v>
      </c>
      <c r="CZ120" s="59">
        <f t="shared" si="96"/>
        <v>102.18553029667771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0.18978322294165431</v>
      </c>
      <c r="DG120" s="21">
        <f>EXP(-LN(2)/25)*DG119+(1-EXP(-LN(2)/25))/(LN(2)/25)*Calculateur!DB120*Calculateur!DD120*VLOOKUP('Données projet'!$B$13,Paramètres!$A$1:$I$89,3,0)*0.475*44/12</f>
        <v>1.1247270926392356</v>
      </c>
      <c r="DH120" s="21">
        <f>EXP(-LN(2)/2)*DH119+(1-EXP(-LN(2)/2))/(LN(2)/2)*DB120*DE120*VLOOKUP('Données projet'!$B$13,Paramètres!$A$1:$I$89,3,0)*0.475*44/12</f>
        <v>6.194672567318612E-13</v>
      </c>
      <c r="DI120" s="22">
        <f t="shared" si="69"/>
        <v>1.3145103155815094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-2.8421709430404007E-13</v>
      </c>
      <c r="DP120" s="17">
        <f>DO120*VLOOKUP('Données projet'!$B$14,Paramètres!$A$1:$I$89,3,0)*VLOOKUP('Données projet'!$B$14,Paramètres!$A$1:$I$89,5,0)</f>
        <v>-1.69961822393816E-13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179.32848817523677</v>
      </c>
      <c r="DU120" s="59">
        <f t="shared" si="98"/>
        <v>131.3292389103035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</v>
      </c>
      <c r="EB120" s="21">
        <f>EXP(-LN(2)/25)*EB119+(1-EXP(-LN(2)/25))/(LN(2)/25)*Calculateur!DW120*Calculateur!DY120*VLOOKUP('Données projet'!$B$14,Paramètres!$A$1:$I$89,3,0)*0.475*44/12</f>
        <v>1.1812276698301438</v>
      </c>
      <c r="EC120" s="21">
        <f>EXP(-LN(2)/2)*EC119+(1-EXP(-LN(2)/2))/(LN(2)/2)*DW120*DZ120*VLOOKUP('Données projet'!$B$14,Paramètres!$A$1:$I$89,3,0)*0.475*44/12</f>
        <v>4.230754058368431E-13</v>
      </c>
      <c r="ED120" s="22">
        <f t="shared" si="72"/>
        <v>1.1812276698305668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-2.2737367544323206E-13</v>
      </c>
      <c r="EK120" s="17">
        <f>EJ120*VLOOKUP('Données projet'!$B$15,Paramètres!$A$1:$I$89,3,0)*VLOOKUP('Données projet'!$B$15,Paramètres!$A$1:$I$89,5,0)</f>
        <v>-1.0049916454590858E-13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191.932060106699</v>
      </c>
      <c r="EP120" s="59">
        <f t="shared" si="100"/>
        <v>260.28593152736903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0.43621452355947243</v>
      </c>
      <c r="EW120" s="21">
        <f>EXP(-LN(2)/25)*EW119+(1-EXP(-LN(2)/25))/(LN(2)/25)*Calculateur!ER120*Calculateur!ET120*VLOOKUP('Données projet'!$B$15,Paramètres!$A$1:$I$89,3,0)*0.475*44/12</f>
        <v>1.1310088801517038</v>
      </c>
      <c r="EX120" s="21">
        <f>EXP(-LN(2)/2)*EX119+(1-EXP(-LN(2)/2))/(LN(2)/2)*ER120*EU120*VLOOKUP('Données projet'!$B$15,Paramètres!$A$1:$I$89,3,0)*0.475*44/12</f>
        <v>1.0759035715190168E-13</v>
      </c>
      <c r="EY120" s="22">
        <f t="shared" si="75"/>
        <v>1.567223403711284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3</v>
      </c>
      <c r="FE120" s="12">
        <f>IF('Données projet'!$A$218&gt;35,FE119+FD120-FM119,IF(A120&lt;'Données projet'!$A$218,$FB$205^A120,IF(A120='Données projet'!$A$218,'Données projet'!$B$218,FE119+FD120-FM119)))</f>
        <v>192.00000000000009</v>
      </c>
      <c r="FF120" s="17">
        <f>FE120*VLOOKUP('Données projet'!$B$16,Paramètres!$A$1:$I$89,3,0)*VLOOKUP('Données projet'!$B$16,Paramètres!$A$1:$I$89,5,0)</f>
        <v>185.7024000000001</v>
      </c>
      <c r="FG120" s="13">
        <f t="shared" si="101"/>
        <v>46.588553069776829</v>
      </c>
      <c r="FH120" s="20">
        <f t="shared" si="76"/>
        <v>404.57340992986138</v>
      </c>
      <c r="FI120" s="59">
        <f t="shared" si="77"/>
        <v>697.9067432631947</v>
      </c>
      <c r="FJ120" s="59">
        <f ca="1">AVERAGE(OFFSET($FI$3,0,0,'Données projet'!$E$16+1,1))-AVERAGE(OFFSET($H$3,0,0,'Données projet'!$E$16+1,1))</f>
        <v>102.86738524979938</v>
      </c>
      <c r="FK120" s="59">
        <f t="shared" si="102"/>
        <v>56.347130462109817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0</v>
      </c>
      <c r="FR120" s="21">
        <f>EXP(-LN(2)/25)*FR119+(1-EXP(-LN(2)/25))/(LN(2)/25)*Calculateur!FM120*Calculateur!FO120*VLOOKUP('Données projet'!$B$16,Paramètres!$A$1:$I$89,3,0)*0.475*44/12</f>
        <v>0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0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4.5999999999999996</v>
      </c>
      <c r="FZ120" s="12">
        <f>IF('Données projet'!$A$244&gt;35,FZ119+FY120-GH119,IF(A120&lt;'Données projet'!$A$244,$FW$205^A120,IF(A120='Données projet'!$A$244,'Données projet'!$B$244,FZ119+FY120-GH119)))</f>
        <v>323.20000000000061</v>
      </c>
      <c r="GA120" s="17">
        <f>FZ120*VLOOKUP('Données projet'!$B$17,Paramètres!$A$1:$I$89,3,0)*VLOOKUP('Données projet'!$B$17,Paramètres!$A$1:$I$89,5,0)</f>
        <v>216.8025600000004</v>
      </c>
      <c r="GB120" s="13">
        <f t="shared" si="103"/>
        <v>53.419346896296396</v>
      </c>
      <c r="GC120" s="20">
        <f t="shared" si="79"/>
        <v>470.63648784438351</v>
      </c>
      <c r="GD120" s="59">
        <f t="shared" si="80"/>
        <v>763.96982117771677</v>
      </c>
      <c r="GE120" s="59">
        <f ca="1">AVERAGE(OFFSET($GD$3,0,0,'Données projet'!$E$17+1,1))-AVERAGE(OFFSET($H$3,0,0,'Données projet'!$E$17+1,1))</f>
        <v>168.00454652899231</v>
      </c>
      <c r="GF120" s="59">
        <f t="shared" si="104"/>
        <v>135.31958994080446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0</v>
      </c>
      <c r="GM120" s="21">
        <f>EXP(-LN(2)/25)*GM119+(1-EXP(-LN(2)/25))/(LN(2)/25)*Calculateur!GH120*Calculateur!GJ120*VLOOKUP('Données projet'!$B$17,Paramètres!$A$1:$I$89,3,0)*0.475*44/12</f>
        <v>0</v>
      </c>
      <c r="GN120" s="21">
        <f>EXP(-LN(2)/2)*GN119+(1-EXP(-LN(2)/2))/(LN(2)/2)*GH120*GK120*VLOOKUP('Données projet'!$B$17,Paramètres!$A$1:$I$89,3,0)*0.475*44/12</f>
        <v>0</v>
      </c>
      <c r="GO120" s="21">
        <f t="shared" si="81"/>
        <v>0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6.8461538461538511</v>
      </c>
      <c r="N121" s="13">
        <f>IF('Données projet'!$A$36&gt;35,N120+M121-V120,IF(A121&lt;'Données projet'!$A$36,$K$205^A121,IF(A121='Données projet'!$A$36,'Données projet'!$B$36,N120+M121-V120)))</f>
        <v>350.49358974359006</v>
      </c>
      <c r="O121" s="13">
        <f>N121*VLOOKUP('Données projet'!$B$9,Paramètres!$A$1:$I$89,3,0)*VLOOKUP('Données projet'!$B$9,Paramètres!$A$1:$I$89,5,0)</f>
        <v>317.12660000000028</v>
      </c>
      <c r="P121" s="13">
        <f t="shared" si="87"/>
        <v>74.755173417545677</v>
      </c>
      <c r="Q121" s="20">
        <f t="shared" si="107"/>
        <v>682.5274220355592</v>
      </c>
      <c r="R121" s="59">
        <f t="shared" si="55"/>
        <v>975.86075536889257</v>
      </c>
      <c r="S121" s="59">
        <f ca="1">AVERAGE(OFFSET($R$3,0,0,'Données projet'!$E$9+1,1))-AVERAGE(OFFSET($H$3,0,0,'Données projet'!$E$9+1,1))</f>
        <v>221.7429870520005</v>
      </c>
      <c r="T121" s="59">
        <f t="shared" si="88"/>
        <v>182.2029938397186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0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5.3066239316239274</v>
      </c>
      <c r="AI121" s="13">
        <f>IF('Données projet'!$A$62&gt;35,AI120+AH121-AQ120,IF(A121&lt;'Données projet'!$A$62,$AF$205^A121,IF(A121='Données projet'!$A$62,'Données projet'!$B$62,AI120+AH121-AQ120)))</f>
        <v>241.14850427350393</v>
      </c>
      <c r="AJ121" s="13">
        <f>AI121*VLOOKUP('Données projet'!$B$10,Paramètres!$A$1:$I$89,3,0)*VLOOKUP('Données projet'!$B$10,Paramètres!$A$1:$I$89,5,0)</f>
        <v>218.19116666666633</v>
      </c>
      <c r="AK121" s="13">
        <f t="shared" si="89"/>
        <v>53.721556029282723</v>
      </c>
      <c r="AL121" s="20">
        <f t="shared" si="58"/>
        <v>473.58132536211127</v>
      </c>
      <c r="AM121" s="59">
        <f t="shared" si="59"/>
        <v>766.91465869544459</v>
      </c>
      <c r="AN121" s="59">
        <f ca="1">AVERAGE(OFFSET($AM$3,0,0,'Données projet'!$E$10+1,1))-AVERAGE(OFFSET($H$3,0,0,'Données projet'!$E$10+1,1))</f>
        <v>153.45079678708987</v>
      </c>
      <c r="AO121" s="59">
        <f t="shared" si="90"/>
        <v>115.4217868409637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0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3.4106051316484809E-13</v>
      </c>
      <c r="BE121" s="13">
        <f>BD121*VLOOKUP('Données projet'!$B$11,Paramètres!$A$1:$I$89,3,0)*VLOOKUP('Données projet'!$B$11,Paramètres!$A$1:$I$89,5,0)</f>
        <v>1.5961632016114892E-13</v>
      </c>
      <c r="BF121" s="13">
        <f t="shared" si="91"/>
        <v>2.2708641912150958E-12</v>
      </c>
      <c r="BG121" s="20">
        <f t="shared" si="61"/>
        <v>4.2330868906469593E-12</v>
      </c>
      <c r="BH121" s="59">
        <f t="shared" si="62"/>
        <v>293.33333333333752</v>
      </c>
      <c r="BI121" s="59">
        <f ca="1">AVERAGE(OFFSET($BH$3,0,0,'Données projet'!$E$11+1,1))-AVERAGE(OFFSET($H$3,0,0,'Données projet'!$E$11+1,1))</f>
        <v>158.58786357608489</v>
      </c>
      <c r="BJ121" s="59">
        <f t="shared" si="92"/>
        <v>163.20074068819849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0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>
        <f>BY121*VLOOKUP('Données projet'!$B$12,Paramètres!$A$1:$I$89,3,0)*VLOOKUP('Données projet'!$B$12,Paramètres!$A$1:$I$89,5,0)</f>
        <v>0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255.41017495879987</v>
      </c>
      <c r="CE121" s="59">
        <f t="shared" si="94"/>
        <v>297.50513563712764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1.4604882272888415</v>
      </c>
      <c r="CL121" s="21">
        <f>EXP(-LN(2)/25)*CL120+(1-EXP(-LN(2)/25))/(LN(2)/25)*Calculateur!CG121*Calculateur!CI121*VLOOKUP('Données projet'!$B$12,Paramètres!$A$1:$I$89,3,0)*0.475*44/12</f>
        <v>2.4294575918968824</v>
      </c>
      <c r="CM121" s="21">
        <f>EXP(-LN(2)/2)*CM120+(1-EXP(-LN(2)/2))/(LN(2)/2)*CG121*CJ121*VLOOKUP('Données projet'!$B$12,Paramètres!$A$1:$I$89,3,0)*0.475*44/12</f>
        <v>1.3870471284981181E-12</v>
      </c>
      <c r="CN121" s="22">
        <f t="shared" si="66"/>
        <v>3.8899458191871106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-1.4210854715202004E-13</v>
      </c>
      <c r="CU121" s="17">
        <f>CT121*VLOOKUP('Données projet'!$B$13,Paramètres!$A$1:$I$89,3,0)*VLOOKUP('Données projet'!$B$13,Paramètres!$A$1:$I$89,5,0)</f>
        <v>-8.128608897095547E-14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134.70214882504786</v>
      </c>
      <c r="CZ121" s="59">
        <f t="shared" si="96"/>
        <v>102.18553029667771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0.18606168969610448</v>
      </c>
      <c r="DG121" s="21">
        <f>EXP(-LN(2)/25)*DG120+(1-EXP(-LN(2)/25))/(LN(2)/25)*Calculateur!DB121*Calculateur!DD121*VLOOKUP('Données projet'!$B$13,Paramètres!$A$1:$I$89,3,0)*0.475*44/12</f>
        <v>1.0939713711441885</v>
      </c>
      <c r="DH121" s="21">
        <f>EXP(-LN(2)/2)*DH120+(1-EXP(-LN(2)/2))/(LN(2)/2)*DB121*DE121*VLOOKUP('Données projet'!$B$13,Paramètres!$A$1:$I$89,3,0)*0.475*44/12</f>
        <v>4.3802949795812704E-13</v>
      </c>
      <c r="DI121" s="22">
        <f t="shared" si="69"/>
        <v>1.2800330608407311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-2.8421709430404007E-13</v>
      </c>
      <c r="DP121" s="17">
        <f>DO121*VLOOKUP('Données projet'!$B$14,Paramètres!$A$1:$I$89,3,0)*VLOOKUP('Données projet'!$B$14,Paramètres!$A$1:$I$89,5,0)</f>
        <v>-1.69961822393816E-13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179.32848817523677</v>
      </c>
      <c r="DU121" s="59">
        <f t="shared" si="98"/>
        <v>131.3292389103035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</v>
      </c>
      <c r="EB121" s="21">
        <f>EXP(-LN(2)/25)*EB120+(1-EXP(-LN(2)/25))/(LN(2)/25)*Calculateur!DW121*Calculateur!DY121*VLOOKUP('Données projet'!$B$14,Paramètres!$A$1:$I$89,3,0)*0.475*44/12</f>
        <v>1.148926937080575</v>
      </c>
      <c r="EC121" s="21">
        <f>EXP(-LN(2)/2)*EC120+(1-EXP(-LN(2)/2))/(LN(2)/2)*DW121*DZ121*VLOOKUP('Données projet'!$B$14,Paramètres!$A$1:$I$89,3,0)*0.475*44/12</f>
        <v>2.991594884204824E-13</v>
      </c>
      <c r="ED121" s="22">
        <f t="shared" si="72"/>
        <v>1.1489269370808741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-2.2737367544323206E-13</v>
      </c>
      <c r="EK121" s="17">
        <f>EJ121*VLOOKUP('Données projet'!$B$15,Paramètres!$A$1:$I$89,3,0)*VLOOKUP('Données projet'!$B$15,Paramètres!$A$1:$I$89,5,0)</f>
        <v>-1.0049916454590858E-13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191.932060106699</v>
      </c>
      <c r="EP121" s="59">
        <f t="shared" si="100"/>
        <v>260.28593152736903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0.42766062281705886</v>
      </c>
      <c r="EW121" s="21">
        <f>EXP(-LN(2)/25)*EW120+(1-EXP(-LN(2)/25))/(LN(2)/25)*Calculateur!ER121*Calculateur!ET121*VLOOKUP('Données projet'!$B$15,Paramètres!$A$1:$I$89,3,0)*0.475*44/12</f>
        <v>1.1000813828467835</v>
      </c>
      <c r="EX121" s="21">
        <f>EXP(-LN(2)/2)*EX120+(1-EXP(-LN(2)/2))/(LN(2)/2)*ER121*EU121*VLOOKUP('Données projet'!$B$15,Paramètres!$A$1:$I$89,3,0)*0.475*44/12</f>
        <v>7.6077871132392242E-14</v>
      </c>
      <c r="EY121" s="22">
        <f t="shared" si="75"/>
        <v>1.5277420056639184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3</v>
      </c>
      <c r="FE121" s="12">
        <f>IF('Données projet'!$A$218&gt;35,FE120+FD121-FM120,IF(A121&lt;'Données projet'!$A$218,$FB$205^A121,IF(A121='Données projet'!$A$218,'Données projet'!$B$218,FE120+FD121-FM120)))</f>
        <v>195.00000000000009</v>
      </c>
      <c r="FF121" s="17">
        <f>FE121*VLOOKUP('Données projet'!$B$16,Paramètres!$A$1:$I$89,3,0)*VLOOKUP('Données projet'!$B$16,Paramètres!$A$1:$I$89,5,0)</f>
        <v>188.60400000000007</v>
      </c>
      <c r="FG121" s="13">
        <f t="shared" si="101"/>
        <v>47.231184731814224</v>
      </c>
      <c r="FH121" s="20">
        <f t="shared" si="76"/>
        <v>410.74628007457659</v>
      </c>
      <c r="FI121" s="59">
        <f t="shared" si="77"/>
        <v>704.07961340790985</v>
      </c>
      <c r="FJ121" s="59">
        <f ca="1">AVERAGE(OFFSET($FI$3,0,0,'Données projet'!$E$16+1,1))-AVERAGE(OFFSET($H$3,0,0,'Données projet'!$E$16+1,1))</f>
        <v>102.86738524979938</v>
      </c>
      <c r="FK121" s="59">
        <f t="shared" si="102"/>
        <v>56.347130462109817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0</v>
      </c>
      <c r="FR121" s="21">
        <f>EXP(-LN(2)/25)*FR120+(1-EXP(-LN(2)/25))/(LN(2)/25)*Calculateur!FM121*Calculateur!FO121*VLOOKUP('Données projet'!$B$16,Paramètres!$A$1:$I$89,3,0)*0.475*44/12</f>
        <v>0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0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4.5999999999999996</v>
      </c>
      <c r="FZ121" s="12">
        <f>IF('Données projet'!$A$244&gt;35,FZ120+FY121-GH120,IF(A121&lt;'Données projet'!$A$244,$FW$205^A121,IF(A121='Données projet'!$A$244,'Données projet'!$B$244,FZ120+FY121-GH120)))</f>
        <v>327.80000000000064</v>
      </c>
      <c r="GA121" s="17">
        <f>FZ121*VLOOKUP('Données projet'!$B$17,Paramètres!$A$1:$I$89,3,0)*VLOOKUP('Données projet'!$B$17,Paramètres!$A$1:$I$89,5,0)</f>
        <v>219.88824000000042</v>
      </c>
      <c r="GB121" s="13">
        <f t="shared" si="103"/>
        <v>54.090594518482042</v>
      </c>
      <c r="GC121" s="20">
        <f t="shared" si="79"/>
        <v>477.17980345302357</v>
      </c>
      <c r="GD121" s="59">
        <f t="shared" si="80"/>
        <v>770.51313678635688</v>
      </c>
      <c r="GE121" s="59">
        <f ca="1">AVERAGE(OFFSET($GD$3,0,0,'Données projet'!$E$17+1,1))-AVERAGE(OFFSET($H$3,0,0,'Données projet'!$E$17+1,1))</f>
        <v>168.00454652899231</v>
      </c>
      <c r="GF121" s="59">
        <f t="shared" si="104"/>
        <v>135.31958994080446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0</v>
      </c>
      <c r="GM121" s="21">
        <f>EXP(-LN(2)/25)*GM120+(1-EXP(-LN(2)/25))/(LN(2)/25)*Calculateur!GH121*Calculateur!GJ121*VLOOKUP('Données projet'!$B$17,Paramètres!$A$1:$I$89,3,0)*0.475*44/12</f>
        <v>0</v>
      </c>
      <c r="GN121" s="21">
        <f>EXP(-LN(2)/2)*GN120+(1-EXP(-LN(2)/2))/(LN(2)/2)*GH121*GK121*VLOOKUP('Données projet'!$B$17,Paramètres!$A$1:$I$89,3,0)*0.475*44/12</f>
        <v>0</v>
      </c>
      <c r="GO121" s="21">
        <f t="shared" si="81"/>
        <v>0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>
        <f>VLOOKUP(A122,'Données projet'!$A$35:$I$55,2,0)</f>
        <v>357.33974358974359</v>
      </c>
      <c r="L122" s="12">
        <f>VLOOKUP(A122,'Données projet'!$A$35:$I$55,9,0)</f>
        <v>6.8461538461538511</v>
      </c>
      <c r="M122" s="12">
        <f t="array" ref="M122">INDEX(L:L,MIN(IF(ISNUMBER(L122:L318),ROW(L122:L318),"")))</f>
        <v>6.8461538461538511</v>
      </c>
      <c r="N122" s="13">
        <f>IF('Données projet'!$A$36&gt;35,N121+M122-V121,IF(A122&lt;'Données projet'!$A$36,$K$205^A122,IF(A122='Données projet'!$A$36,'Données projet'!$B$36,N121+M122-V121)))</f>
        <v>357.33974358974393</v>
      </c>
      <c r="O122" s="13">
        <f>N122*VLOOKUP('Données projet'!$B$9,Paramètres!$A$1:$I$89,3,0)*VLOOKUP('Données projet'!$B$9,Paramètres!$A$1:$I$89,5,0)</f>
        <v>323.32100000000031</v>
      </c>
      <c r="P122" s="13">
        <f t="shared" si="87"/>
        <v>76.043936534151129</v>
      </c>
      <c r="Q122" s="20">
        <f t="shared" si="107"/>
        <v>695.56059779698035</v>
      </c>
      <c r="R122" s="59">
        <f t="shared" si="55"/>
        <v>988.8939311303136</v>
      </c>
      <c r="S122" s="59">
        <f ca="1">AVERAGE(OFFSET($R$3,0,0,'Données projet'!$E$9+1,1))-AVERAGE(OFFSET($H$3,0,0,'Données projet'!$E$9+1,1))</f>
        <v>221.7429870520005</v>
      </c>
      <c r="T122" s="59">
        <f t="shared" si="88"/>
        <v>182.2029938397186</v>
      </c>
      <c r="U122" s="15">
        <f>IF(ISNA(VLOOKUP(A122,'Données projet'!$A$35:$I$55,3,0)),0,VLOOKUP(A122,'Données projet'!$A$35:$I$55,3,0))</f>
        <v>11</v>
      </c>
      <c r="V122" s="15">
        <f>IF(ISNA(VLOOKUP(A122,'Données projet'!$A$35:$I$55,4,0)),0,VLOOKUP(A122,'Données projet'!$A$35:$I$55,4,0))</f>
        <v>150.02564102564102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0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5.3066239316239274</v>
      </c>
      <c r="AI122" s="13">
        <f>IF('Données projet'!$A$62&gt;35,AI121+AH122-AQ121,IF(A122&lt;'Données projet'!$A$62,$AF$205^A122,IF(A122='Données projet'!$A$62,'Données projet'!$B$62,AI121+AH122-AQ121)))</f>
        <v>246.45512820512786</v>
      </c>
      <c r="AJ122" s="13">
        <f>AI122*VLOOKUP('Données projet'!$B$10,Paramètres!$A$1:$I$89,3,0)*VLOOKUP('Données projet'!$B$10,Paramètres!$A$1:$I$89,5,0)</f>
        <v>222.99259999999967</v>
      </c>
      <c r="AK122" s="13">
        <f t="shared" si="89"/>
        <v>54.764800203643112</v>
      </c>
      <c r="AL122" s="20">
        <f t="shared" si="58"/>
        <v>483.76080535467781</v>
      </c>
      <c r="AM122" s="59">
        <f t="shared" si="59"/>
        <v>777.09413868801107</v>
      </c>
      <c r="AN122" s="59">
        <f ca="1">AVERAGE(OFFSET($AM$3,0,0,'Données projet'!$E$10+1,1))-AVERAGE(OFFSET($H$3,0,0,'Données projet'!$E$10+1,1))</f>
        <v>153.45079678708987</v>
      </c>
      <c r="AO122" s="59">
        <f t="shared" si="90"/>
        <v>115.4217868409637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0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3.4106051316484809E-13</v>
      </c>
      <c r="BE122" s="13">
        <f>BD122*VLOOKUP('Données projet'!$B$11,Paramètres!$A$1:$I$89,3,0)*VLOOKUP('Données projet'!$B$11,Paramètres!$A$1:$I$89,5,0)</f>
        <v>1.5961632016114892E-13</v>
      </c>
      <c r="BF122" s="13">
        <f t="shared" si="91"/>
        <v>2.2708641912150958E-12</v>
      </c>
      <c r="BG122" s="20">
        <f t="shared" si="61"/>
        <v>4.2330868906469593E-12</v>
      </c>
      <c r="BH122" s="59">
        <f t="shared" si="62"/>
        <v>293.33333333333752</v>
      </c>
      <c r="BI122" s="59">
        <f ca="1">AVERAGE(OFFSET($BH$3,0,0,'Données projet'!$E$11+1,1))-AVERAGE(OFFSET($H$3,0,0,'Données projet'!$E$11+1,1))</f>
        <v>158.58786357608489</v>
      </c>
      <c r="BJ122" s="59">
        <f t="shared" si="92"/>
        <v>163.20074068819849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0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>
        <f>BY122*VLOOKUP('Données projet'!$B$12,Paramètres!$A$1:$I$89,3,0)*VLOOKUP('Données projet'!$B$12,Paramètres!$A$1:$I$89,5,0)</f>
        <v>0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255.41017495879987</v>
      </c>
      <c r="CE122" s="59">
        <f t="shared" si="94"/>
        <v>297.50513563712764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1.4318489439615658</v>
      </c>
      <c r="CL122" s="21">
        <f>EXP(-LN(2)/25)*CL121+(1-EXP(-LN(2)/25))/(LN(2)/25)*Calculateur!CG122*Calculateur!CI122*VLOOKUP('Données projet'!$B$12,Paramètres!$A$1:$I$89,3,0)*0.475*44/12</f>
        <v>2.3630239462868401</v>
      </c>
      <c r="CM122" s="21">
        <f>EXP(-LN(2)/2)*CM121+(1-EXP(-LN(2)/2))/(LN(2)/2)*CG122*CJ122*VLOOKUP('Données projet'!$B$12,Paramètres!$A$1:$I$89,3,0)*0.475*44/12</f>
        <v>9.8079043038634786E-13</v>
      </c>
      <c r="CN122" s="22">
        <f t="shared" si="66"/>
        <v>3.7948728902493869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-1.4210854715202004E-13</v>
      </c>
      <c r="CU122" s="17">
        <f>CT122*VLOOKUP('Données projet'!$B$13,Paramètres!$A$1:$I$89,3,0)*VLOOKUP('Données projet'!$B$13,Paramètres!$A$1:$I$89,5,0)</f>
        <v>-8.128608897095547E-14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134.70214882504786</v>
      </c>
      <c r="CZ122" s="59">
        <f t="shared" si="96"/>
        <v>102.18553029667771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0.18241313344758872</v>
      </c>
      <c r="DG122" s="21">
        <f>EXP(-LN(2)/25)*DG121+(1-EXP(-LN(2)/25))/(LN(2)/25)*Calculateur!DB122*Calculateur!DD122*VLOOKUP('Données projet'!$B$13,Paramètres!$A$1:$I$89,3,0)*0.475*44/12</f>
        <v>1.0640566664707967</v>
      </c>
      <c r="DH122" s="21">
        <f>EXP(-LN(2)/2)*DH121+(1-EXP(-LN(2)/2))/(LN(2)/2)*DB122*DE122*VLOOKUP('Données projet'!$B$13,Paramètres!$A$1:$I$89,3,0)*0.475*44/12</f>
        <v>3.097336283659306E-13</v>
      </c>
      <c r="DI122" s="22">
        <f t="shared" si="69"/>
        <v>1.2464697999186951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-2.8421709430404007E-13</v>
      </c>
      <c r="DP122" s="17">
        <f>DO122*VLOOKUP('Données projet'!$B$14,Paramètres!$A$1:$I$89,3,0)*VLOOKUP('Données projet'!$B$14,Paramètres!$A$1:$I$89,5,0)</f>
        <v>-1.69961822393816E-13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179.32848817523677</v>
      </c>
      <c r="DU122" s="59">
        <f t="shared" si="98"/>
        <v>131.3292389103035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</v>
      </c>
      <c r="EB122" s="21">
        <f>EXP(-LN(2)/25)*EB121+(1-EXP(-LN(2)/25))/(LN(2)/25)*Calculateur!DW122*Calculateur!DY122*VLOOKUP('Données projet'!$B$14,Paramètres!$A$1:$I$89,3,0)*0.475*44/12</f>
        <v>1.117509469566665</v>
      </c>
      <c r="EC122" s="21">
        <f>EXP(-LN(2)/2)*EC121+(1-EXP(-LN(2)/2))/(LN(2)/2)*DW122*DZ122*VLOOKUP('Données projet'!$B$14,Paramètres!$A$1:$I$89,3,0)*0.475*44/12</f>
        <v>2.1153770291842155E-13</v>
      </c>
      <c r="ED122" s="22">
        <f t="shared" si="72"/>
        <v>1.1175094695668766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-2.2737367544323206E-13</v>
      </c>
      <c r="EK122" s="17">
        <f>EJ122*VLOOKUP('Données projet'!$B$15,Paramètres!$A$1:$I$89,3,0)*VLOOKUP('Données projet'!$B$15,Paramètres!$A$1:$I$89,5,0)</f>
        <v>-1.0049916454590858E-13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191.932060106699</v>
      </c>
      <c r="EP122" s="59">
        <f t="shared" si="100"/>
        <v>260.28593152736903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0.41927445885083975</v>
      </c>
      <c r="EW122" s="21">
        <f>EXP(-LN(2)/25)*EW121+(1-EXP(-LN(2)/25))/(LN(2)/25)*Calculateur!ER122*Calculateur!ET122*VLOOKUP('Données projet'!$B$15,Paramètres!$A$1:$I$89,3,0)*0.475*44/12</f>
        <v>1.0699995995820726</v>
      </c>
      <c r="EX122" s="21">
        <f>EXP(-LN(2)/2)*EX121+(1-EXP(-LN(2)/2))/(LN(2)/2)*ER122*EU122*VLOOKUP('Données projet'!$B$15,Paramètres!$A$1:$I$89,3,0)*0.475*44/12</f>
        <v>5.3795178575950842E-14</v>
      </c>
      <c r="EY122" s="22">
        <f t="shared" si="75"/>
        <v>1.489274058432966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3</v>
      </c>
      <c r="FE122" s="12">
        <f>IF('Données projet'!$A$218&gt;35,FE121+FD122-FM121,IF(A122&lt;'Données projet'!$A$218,$FB$205^A122,IF(A122='Données projet'!$A$218,'Données projet'!$B$218,FE121+FD122-FM121)))</f>
        <v>198.00000000000009</v>
      </c>
      <c r="FF122" s="17">
        <f>FE122*VLOOKUP('Données projet'!$B$16,Paramètres!$A$1:$I$89,3,0)*VLOOKUP('Données projet'!$B$16,Paramètres!$A$1:$I$89,5,0)</f>
        <v>191.50560000000007</v>
      </c>
      <c r="FG122" s="13">
        <f t="shared" si="101"/>
        <v>47.872666570685276</v>
      </c>
      <c r="FH122" s="20">
        <f t="shared" si="76"/>
        <v>416.9171476106103</v>
      </c>
      <c r="FI122" s="59">
        <f t="shared" si="77"/>
        <v>710.25048094394356</v>
      </c>
      <c r="FJ122" s="59">
        <f ca="1">AVERAGE(OFFSET($FI$3,0,0,'Données projet'!$E$16+1,1))-AVERAGE(OFFSET($H$3,0,0,'Données projet'!$E$16+1,1))</f>
        <v>102.86738524979938</v>
      </c>
      <c r="FK122" s="59">
        <f t="shared" si="102"/>
        <v>56.347130462109817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0</v>
      </c>
      <c r="FR122" s="21">
        <f>EXP(-LN(2)/25)*FR121+(1-EXP(-LN(2)/25))/(LN(2)/25)*Calculateur!FM122*Calculateur!FO122*VLOOKUP('Données projet'!$B$16,Paramètres!$A$1:$I$89,3,0)*0.475*44/12</f>
        <v>0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0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4.5999999999999996</v>
      </c>
      <c r="FZ122" s="12">
        <f>IF('Données projet'!$A$244&gt;35,FZ121+FY122-GH121,IF(A122&lt;'Données projet'!$A$244,$FW$205^A122,IF(A122='Données projet'!$A$244,'Données projet'!$B$244,FZ121+FY122-GH121)))</f>
        <v>332.40000000000066</v>
      </c>
      <c r="GA122" s="17">
        <f>FZ122*VLOOKUP('Données projet'!$B$17,Paramètres!$A$1:$I$89,3,0)*VLOOKUP('Données projet'!$B$17,Paramètres!$A$1:$I$89,5,0)</f>
        <v>222.97392000000042</v>
      </c>
      <c r="GB122" s="13">
        <f t="shared" si="103"/>
        <v>54.760746558266256</v>
      </c>
      <c r="GC122" s="20">
        <f t="shared" si="79"/>
        <v>483.72121092231441</v>
      </c>
      <c r="GD122" s="59">
        <f t="shared" si="80"/>
        <v>777.05454425564767</v>
      </c>
      <c r="GE122" s="59">
        <f ca="1">AVERAGE(OFFSET($GD$3,0,0,'Données projet'!$E$17+1,1))-AVERAGE(OFFSET($H$3,0,0,'Données projet'!$E$17+1,1))</f>
        <v>168.00454652899231</v>
      </c>
      <c r="GF122" s="59">
        <f t="shared" si="104"/>
        <v>135.31958994080446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0</v>
      </c>
      <c r="GM122" s="21">
        <f>EXP(-LN(2)/25)*GM121+(1-EXP(-LN(2)/25))/(LN(2)/25)*Calculateur!GH122*Calculateur!GJ122*VLOOKUP('Données projet'!$B$17,Paramètres!$A$1:$I$89,3,0)*0.475*44/12</f>
        <v>0</v>
      </c>
      <c r="GN122" s="21">
        <f>EXP(-LN(2)/2)*GN121+(1-EXP(-LN(2)/2))/(LN(2)/2)*GH122*GK122*VLOOKUP('Données projet'!$B$17,Paramètres!$A$1:$I$89,3,0)*0.475*44/12</f>
        <v>0</v>
      </c>
      <c r="GO122" s="21">
        <f t="shared" si="81"/>
        <v>0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3.8301282051282044</v>
      </c>
      <c r="N123" s="13">
        <f>IF('Données projet'!$A$36&gt;35,N122+M123-V122,IF(A123&lt;'Données projet'!$A$36,$K$205^A123,IF(A123='Données projet'!$A$36,'Données projet'!$B$36,N122+M123-V122)))</f>
        <v>211.14423076923114</v>
      </c>
      <c r="O123" s="13">
        <f>N123*VLOOKUP('Données projet'!$B$9,Paramètres!$A$1:$I$89,3,0)*VLOOKUP('Données projet'!$B$9,Paramètres!$A$1:$I$89,5,0)</f>
        <v>191.04330000000033</v>
      </c>
      <c r="P123" s="13">
        <f t="shared" si="87"/>
        <v>47.770538104647549</v>
      </c>
      <c r="Q123" s="20">
        <f t="shared" si="107"/>
        <v>415.93410136559504</v>
      </c>
      <c r="R123" s="59">
        <f t="shared" si="55"/>
        <v>709.26743469892835</v>
      </c>
      <c r="S123" s="59">
        <f ca="1">AVERAGE(OFFSET($R$3,0,0,'Données projet'!$E$9+1,1))-AVERAGE(OFFSET($H$3,0,0,'Données projet'!$E$9+1,1))</f>
        <v>221.7429870520005</v>
      </c>
      <c r="T123" s="59">
        <f t="shared" si="88"/>
        <v>182.2029938397186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0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5.3066239316239274</v>
      </c>
      <c r="AI123" s="13">
        <f>IF('Données projet'!$A$62&gt;35,AI122+AH123-AQ122,IF(A123&lt;'Données projet'!$A$62,$AF$205^A123,IF(A123='Données projet'!$A$62,'Données projet'!$B$62,AI122+AH123-AQ122)))</f>
        <v>251.7617521367518</v>
      </c>
      <c r="AJ123" s="13">
        <f>AI123*VLOOKUP('Données projet'!$B$10,Paramètres!$A$1:$I$89,3,0)*VLOOKUP('Données projet'!$B$10,Paramètres!$A$1:$I$89,5,0)</f>
        <v>227.794033333333</v>
      </c>
      <c r="AK123" s="13">
        <f t="shared" si="89"/>
        <v>55.805432753411694</v>
      </c>
      <c r="AL123" s="20">
        <f t="shared" si="58"/>
        <v>493.93573676774707</v>
      </c>
      <c r="AM123" s="59">
        <f t="shared" si="59"/>
        <v>787.26907010108039</v>
      </c>
      <c r="AN123" s="59">
        <f ca="1">AVERAGE(OFFSET($AM$3,0,0,'Données projet'!$E$10+1,1))-AVERAGE(OFFSET($H$3,0,0,'Données projet'!$E$10+1,1))</f>
        <v>153.45079678708987</v>
      </c>
      <c r="AO123" s="59">
        <f t="shared" si="90"/>
        <v>115.4217868409637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0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3.4106051316484809E-13</v>
      </c>
      <c r="BE123" s="13">
        <f>BD123*VLOOKUP('Données projet'!$B$11,Paramètres!$A$1:$I$89,3,0)*VLOOKUP('Données projet'!$B$11,Paramètres!$A$1:$I$89,5,0)</f>
        <v>1.5961632016114892E-13</v>
      </c>
      <c r="BF123" s="13">
        <f t="shared" si="91"/>
        <v>2.2708641912150958E-12</v>
      </c>
      <c r="BG123" s="20">
        <f t="shared" si="61"/>
        <v>4.2330868906469593E-12</v>
      </c>
      <c r="BH123" s="59">
        <f t="shared" si="62"/>
        <v>293.33333333333752</v>
      </c>
      <c r="BI123" s="59">
        <f ca="1">AVERAGE(OFFSET($BH$3,0,0,'Données projet'!$E$11+1,1))-AVERAGE(OFFSET($H$3,0,0,'Données projet'!$E$11+1,1))</f>
        <v>158.58786357608489</v>
      </c>
      <c r="BJ123" s="59">
        <f t="shared" si="92"/>
        <v>163.20074068819849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0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>
        <f>BY123*VLOOKUP('Données projet'!$B$12,Paramètres!$A$1:$I$89,3,0)*VLOOKUP('Données projet'!$B$12,Paramètres!$A$1:$I$89,5,0)</f>
        <v>0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255.41017495879987</v>
      </c>
      <c r="CE123" s="59">
        <f t="shared" si="94"/>
        <v>297.50513563712764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1.4037712595120999</v>
      </c>
      <c r="CL123" s="21">
        <f>EXP(-LN(2)/25)*CL122+(1-EXP(-LN(2)/25))/(LN(2)/25)*Calculateur!CG123*Calculateur!CI123*VLOOKUP('Données projet'!$B$12,Paramètres!$A$1:$I$89,3,0)*0.475*44/12</f>
        <v>2.2984069322095979</v>
      </c>
      <c r="CM123" s="21">
        <f>EXP(-LN(2)/2)*CM122+(1-EXP(-LN(2)/2))/(LN(2)/2)*CG123*CJ123*VLOOKUP('Données projet'!$B$12,Paramètres!$A$1:$I$89,3,0)*0.475*44/12</f>
        <v>6.9352356424905906E-13</v>
      </c>
      <c r="CN123" s="22">
        <f t="shared" si="66"/>
        <v>3.7021781917223917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-1.4210854715202004E-13</v>
      </c>
      <c r="CU123" s="17">
        <f>CT123*VLOOKUP('Données projet'!$B$13,Paramètres!$A$1:$I$89,3,0)*VLOOKUP('Données projet'!$B$13,Paramètres!$A$1:$I$89,5,0)</f>
        <v>-8.128608897095547E-14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134.70214882504786</v>
      </c>
      <c r="CZ123" s="59">
        <f t="shared" si="96"/>
        <v>102.18553029667771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0.1788361231617068</v>
      </c>
      <c r="DG123" s="21">
        <f>EXP(-LN(2)/25)*DG122+(1-EXP(-LN(2)/25))/(LN(2)/25)*Calculateur!DB123*Calculateur!DD123*VLOOKUP('Données projet'!$B$13,Paramètres!$A$1:$I$89,3,0)*0.475*44/12</f>
        <v>1.0349599809698447</v>
      </c>
      <c r="DH123" s="21">
        <f>EXP(-LN(2)/2)*DH122+(1-EXP(-LN(2)/2))/(LN(2)/2)*DB123*DE123*VLOOKUP('Données projet'!$B$13,Paramètres!$A$1:$I$89,3,0)*0.475*44/12</f>
        <v>2.1901474897906352E-13</v>
      </c>
      <c r="DI123" s="22">
        <f t="shared" si="69"/>
        <v>1.2137961041317704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-2.8421709430404007E-13</v>
      </c>
      <c r="DP123" s="17">
        <f>DO123*VLOOKUP('Données projet'!$B$14,Paramètres!$A$1:$I$89,3,0)*VLOOKUP('Données projet'!$B$14,Paramètres!$A$1:$I$89,5,0)</f>
        <v>-1.69961822393816E-13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179.32848817523677</v>
      </c>
      <c r="DU123" s="59">
        <f t="shared" si="98"/>
        <v>131.3292389103035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</v>
      </c>
      <c r="EB123" s="21">
        <f>EXP(-LN(2)/25)*EB122+(1-EXP(-LN(2)/25))/(LN(2)/25)*Calculateur!DW123*Calculateur!DY123*VLOOKUP('Données projet'!$B$14,Paramètres!$A$1:$I$89,3,0)*0.475*44/12</f>
        <v>1.0869511143540955</v>
      </c>
      <c r="EC123" s="21">
        <f>EXP(-LN(2)/2)*EC122+(1-EXP(-LN(2)/2))/(LN(2)/2)*DW123*DZ123*VLOOKUP('Données projet'!$B$14,Paramètres!$A$1:$I$89,3,0)*0.475*44/12</f>
        <v>1.495797442102412E-13</v>
      </c>
      <c r="ED123" s="22">
        <f t="shared" si="72"/>
        <v>1.0869511143542452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-2.2737367544323206E-13</v>
      </c>
      <c r="EK123" s="17">
        <f>EJ123*VLOOKUP('Données projet'!$B$15,Paramètres!$A$1:$I$89,3,0)*VLOOKUP('Données projet'!$B$15,Paramètres!$A$1:$I$89,5,0)</f>
        <v>-1.0049916454590858E-13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191.932060106699</v>
      </c>
      <c r="EP123" s="59">
        <f t="shared" si="100"/>
        <v>260.28593152736903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0.41105274244494322</v>
      </c>
      <c r="EW123" s="21">
        <f>EXP(-LN(2)/25)*EW122+(1-EXP(-LN(2)/25))/(LN(2)/25)*Calculateur!ER123*Calculateur!ET123*VLOOKUP('Données projet'!$B$15,Paramètres!$A$1:$I$89,3,0)*0.475*44/12</f>
        <v>1.0407404042626673</v>
      </c>
      <c r="EX123" s="21">
        <f>EXP(-LN(2)/2)*EX122+(1-EXP(-LN(2)/2))/(LN(2)/2)*ER123*EU123*VLOOKUP('Données projet'!$B$15,Paramètres!$A$1:$I$89,3,0)*0.475*44/12</f>
        <v>3.8038935566196121E-14</v>
      </c>
      <c r="EY123" s="22">
        <f t="shared" si="75"/>
        <v>1.4517931467076486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>
        <f>VLOOKUP(A123,'Données projet'!$A$217:$I$237,2,0)</f>
        <v>201</v>
      </c>
      <c r="FC123" s="12">
        <f>VLOOKUP(A123,'Données projet'!$A$217:$I$237,9,0)</f>
        <v>3</v>
      </c>
      <c r="FD123" s="12">
        <f t="array" ref="FD123">INDEX(FC:FC,MIN(IF(ISNUMBER(FC123:FC319),ROW(FC123:FC319),"")))</f>
        <v>3</v>
      </c>
      <c r="FE123" s="12">
        <f>IF('Données projet'!$A$218&gt;35,FE122+FD123-FM122,IF(A123&lt;'Données projet'!$A$218,$FB$205^A123,IF(A123='Données projet'!$A$218,'Données projet'!$B$218,FE122+FD123-FM122)))</f>
        <v>201.00000000000009</v>
      </c>
      <c r="FF123" s="17">
        <f>FE123*VLOOKUP('Données projet'!$B$16,Paramètres!$A$1:$I$89,3,0)*VLOOKUP('Données projet'!$B$16,Paramètres!$A$1:$I$89,5,0)</f>
        <v>194.40720000000007</v>
      </c>
      <c r="FG123" s="13">
        <f t="shared" si="101"/>
        <v>48.513018020179601</v>
      </c>
      <c r="FH123" s="20">
        <f t="shared" si="76"/>
        <v>423.08604638514629</v>
      </c>
      <c r="FI123" s="59">
        <f t="shared" si="77"/>
        <v>716.4193797184796</v>
      </c>
      <c r="FJ123" s="59">
        <f ca="1">AVERAGE(OFFSET($FI$3,0,0,'Données projet'!$E$16+1,1))-AVERAGE(OFFSET($H$3,0,0,'Données projet'!$E$16+1,1))</f>
        <v>102.86738524979938</v>
      </c>
      <c r="FK123" s="59">
        <f t="shared" si="102"/>
        <v>56.347130462109817</v>
      </c>
      <c r="FL123" s="15">
        <f>IF(ISNA(VLOOKUP(A123,'Données projet'!$A$217:$I$237,3,0)),0,VLOOKUP(A123,'Données projet'!$A$217:$I$237,3,0))</f>
        <v>10</v>
      </c>
      <c r="FM123" s="15">
        <f>IF(ISNA(VLOOKUP(A123,'Données projet'!$A$217:$I$237,4,0)),0,VLOOKUP(A123,'Données projet'!$A$217:$I$237,4,0))</f>
        <v>20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0</v>
      </c>
      <c r="FR123" s="21">
        <f>EXP(-LN(2)/25)*FR122+(1-EXP(-LN(2)/25))/(LN(2)/25)*Calculateur!FM123*Calculateur!FO123*VLOOKUP('Données projet'!$B$16,Paramètres!$A$1:$I$89,3,0)*0.475*44/12</f>
        <v>0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0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>
        <f>VLOOKUP(A123,'Données projet'!$A$243:$I$263,2,0)</f>
        <v>337</v>
      </c>
      <c r="FX123" s="12">
        <f>VLOOKUP(A123,'Données projet'!$A$243:$I$263,9,0)</f>
        <v>4.5999999999999996</v>
      </c>
      <c r="FY123" s="12">
        <f t="array" ref="FY123">INDEX(FX:FX,MIN(IF(ISNUMBER(FX123:FX319),ROW(FX123:FX319),"")))</f>
        <v>4.5999999999999996</v>
      </c>
      <c r="FZ123" s="12">
        <f>IF('Données projet'!$A$244&gt;35,FZ122+FY123-GH122,IF(A123&lt;'Données projet'!$A$244,$FW$205^A123,IF(A123='Données projet'!$A$244,'Données projet'!$B$244,FZ122+FY123-GH122)))</f>
        <v>337.00000000000068</v>
      </c>
      <c r="GA123" s="17">
        <f>FZ123*VLOOKUP('Données projet'!$B$17,Paramètres!$A$1:$I$89,3,0)*VLOOKUP('Données projet'!$B$17,Paramètres!$A$1:$I$89,5,0)</f>
        <v>226.05960000000044</v>
      </c>
      <c r="GB123" s="13">
        <f t="shared" si="103"/>
        <v>55.429819929396942</v>
      </c>
      <c r="GC123" s="20">
        <f t="shared" si="79"/>
        <v>490.26073971036709</v>
      </c>
      <c r="GD123" s="59">
        <f t="shared" si="80"/>
        <v>783.5940730437004</v>
      </c>
      <c r="GE123" s="59">
        <f ca="1">AVERAGE(OFFSET($GD$3,0,0,'Données projet'!$E$17+1,1))-AVERAGE(OFFSET($H$3,0,0,'Données projet'!$E$17+1,1))</f>
        <v>168.00454652899231</v>
      </c>
      <c r="GF123" s="59">
        <f t="shared" si="104"/>
        <v>135.31958994080446</v>
      </c>
      <c r="GG123" s="15">
        <f>IF(ISNA(VLOOKUP(A123,'Données projet'!$A$243:$I$263,3,0)),0,VLOOKUP(A123,'Données projet'!$A$243:$I$263,3,0))</f>
        <v>11</v>
      </c>
      <c r="GH123" s="15">
        <f>IF(ISNA(VLOOKUP(A123,'Données projet'!$A$243:$I$263,4,0)),0,VLOOKUP(A123,'Données projet'!$A$243:$I$263,4,0))</f>
        <v>37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0</v>
      </c>
      <c r="GM123" s="21">
        <f>EXP(-LN(2)/25)*GM122+(1-EXP(-LN(2)/25))/(LN(2)/25)*Calculateur!GH123*Calculateur!GJ123*VLOOKUP('Données projet'!$B$17,Paramètres!$A$1:$I$89,3,0)*0.475*44/12</f>
        <v>0</v>
      </c>
      <c r="GN123" s="21">
        <f>EXP(-LN(2)/2)*GN122+(1-EXP(-LN(2)/2))/(LN(2)/2)*GH123*GK123*VLOOKUP('Données projet'!$B$17,Paramètres!$A$1:$I$89,3,0)*0.475*44/12</f>
        <v>0</v>
      </c>
      <c r="GO123" s="21">
        <f t="shared" si="81"/>
        <v>0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3.8301282051282044</v>
      </c>
      <c r="N124" s="13">
        <f>IF('Données projet'!$A$36&gt;35,N123+M124-V123,IF(A124&lt;'Données projet'!$A$36,$K$205^A124,IF(A124='Données projet'!$A$36,'Données projet'!$B$36,N123+M124-V123)))</f>
        <v>214.97435897435935</v>
      </c>
      <c r="O124" s="13">
        <f>N124*VLOOKUP('Données projet'!$B$9,Paramètres!$A$1:$I$89,3,0)*VLOOKUP('Données projet'!$B$9,Paramètres!$A$1:$I$89,5,0)</f>
        <v>194.50880000000032</v>
      </c>
      <c r="P124" s="13">
        <f t="shared" si="87"/>
        <v>48.535419780989194</v>
      </c>
      <c r="Q124" s="20">
        <f t="shared" si="107"/>
        <v>423.30201611855676</v>
      </c>
      <c r="R124" s="59">
        <f t="shared" si="55"/>
        <v>716.63534945189008</v>
      </c>
      <c r="S124" s="59">
        <f ca="1">AVERAGE(OFFSET($R$3,0,0,'Données projet'!$E$9+1,1))-AVERAGE(OFFSET($H$3,0,0,'Données projet'!$E$9+1,1))</f>
        <v>221.7429870520005</v>
      </c>
      <c r="T124" s="59">
        <f t="shared" si="88"/>
        <v>182.2029938397186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0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5.3066239316239274</v>
      </c>
      <c r="AI124" s="13">
        <f>IF('Données projet'!$A$62&gt;35,AI123+AH124-AQ123,IF(A124&lt;'Données projet'!$A$62,$AF$205^A124,IF(A124='Données projet'!$A$62,'Données projet'!$B$62,AI123+AH124-AQ123)))</f>
        <v>257.0683760683757</v>
      </c>
      <c r="AJ124" s="13">
        <f>AI124*VLOOKUP('Données projet'!$B$10,Paramètres!$A$1:$I$89,3,0)*VLOOKUP('Données projet'!$B$10,Paramètres!$A$1:$I$89,5,0)</f>
        <v>232.59546666666634</v>
      </c>
      <c r="AK124" s="13">
        <f t="shared" si="89"/>
        <v>56.843515067710278</v>
      </c>
      <c r="AL124" s="20">
        <f t="shared" si="58"/>
        <v>504.10622652070589</v>
      </c>
      <c r="AM124" s="59">
        <f t="shared" si="59"/>
        <v>797.4395598540392</v>
      </c>
      <c r="AN124" s="59">
        <f ca="1">AVERAGE(OFFSET($AM$3,0,0,'Données projet'!$E$10+1,1))-AVERAGE(OFFSET($H$3,0,0,'Données projet'!$E$10+1,1))</f>
        <v>153.45079678708987</v>
      </c>
      <c r="AO124" s="59">
        <f t="shared" si="90"/>
        <v>115.4217868409637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0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3.4106051316484809E-13</v>
      </c>
      <c r="BE124" s="13">
        <f>BD124*VLOOKUP('Données projet'!$B$11,Paramètres!$A$1:$I$89,3,0)*VLOOKUP('Données projet'!$B$11,Paramètres!$A$1:$I$89,5,0)</f>
        <v>1.5961632016114892E-13</v>
      </c>
      <c r="BF124" s="13">
        <f t="shared" si="91"/>
        <v>2.2708641912150958E-12</v>
      </c>
      <c r="BG124" s="20">
        <f t="shared" si="61"/>
        <v>4.2330868906469593E-12</v>
      </c>
      <c r="BH124" s="59">
        <f t="shared" si="62"/>
        <v>293.33333333333752</v>
      </c>
      <c r="BI124" s="59">
        <f ca="1">AVERAGE(OFFSET($BH$3,0,0,'Données projet'!$E$11+1,1))-AVERAGE(OFFSET($H$3,0,0,'Données projet'!$E$11+1,1))</f>
        <v>158.58786357608489</v>
      </c>
      <c r="BJ124" s="59">
        <f t="shared" si="92"/>
        <v>163.20074068819849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0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>
        <f>BY124*VLOOKUP('Données projet'!$B$12,Paramètres!$A$1:$I$89,3,0)*VLOOKUP('Données projet'!$B$12,Paramètres!$A$1:$I$89,5,0)</f>
        <v>0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255.41017495879987</v>
      </c>
      <c r="CE124" s="59">
        <f t="shared" si="94"/>
        <v>297.50513563712764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1.3762441613289917</v>
      </c>
      <c r="CL124" s="21">
        <f>EXP(-LN(2)/25)*CL123+(1-EXP(-LN(2)/25))/(LN(2)/25)*Calculateur!CG124*Calculateur!CI124*VLOOKUP('Données projet'!$B$12,Paramètres!$A$1:$I$89,3,0)*0.475*44/12</f>
        <v>2.2355568737803591</v>
      </c>
      <c r="CM124" s="21">
        <f>EXP(-LN(2)/2)*CM123+(1-EXP(-LN(2)/2))/(LN(2)/2)*CG124*CJ124*VLOOKUP('Données projet'!$B$12,Paramètres!$A$1:$I$89,3,0)*0.475*44/12</f>
        <v>4.9039521519317393E-13</v>
      </c>
      <c r="CN124" s="22">
        <f t="shared" si="66"/>
        <v>3.6118010351098411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-1.4210854715202004E-13</v>
      </c>
      <c r="CU124" s="17">
        <f>CT124*VLOOKUP('Données projet'!$B$13,Paramètres!$A$1:$I$89,3,0)*VLOOKUP('Données projet'!$B$13,Paramètres!$A$1:$I$89,5,0)</f>
        <v>-8.128608897095547E-14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134.70214882504786</v>
      </c>
      <c r="CZ124" s="59">
        <f t="shared" si="96"/>
        <v>102.18553029667771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0.17532925586577017</v>
      </c>
      <c r="DG124" s="21">
        <f>EXP(-LN(2)/25)*DG123+(1-EXP(-LN(2)/25))/(LN(2)/25)*Calculateur!DB124*Calculateur!DD124*VLOOKUP('Données projet'!$B$13,Paramètres!$A$1:$I$89,3,0)*0.475*44/12</f>
        <v>1.0066589458640443</v>
      </c>
      <c r="DH124" s="21">
        <f>EXP(-LN(2)/2)*DH123+(1-EXP(-LN(2)/2))/(LN(2)/2)*DB124*DE124*VLOOKUP('Données projet'!$B$13,Paramètres!$A$1:$I$89,3,0)*0.475*44/12</f>
        <v>1.548668141829653E-13</v>
      </c>
      <c r="DI124" s="22">
        <f t="shared" si="69"/>
        <v>1.1819882017299692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-2.8421709430404007E-13</v>
      </c>
      <c r="DP124" s="17">
        <f>DO124*VLOOKUP('Données projet'!$B$14,Paramètres!$A$1:$I$89,3,0)*VLOOKUP('Données projet'!$B$14,Paramètres!$A$1:$I$89,5,0)</f>
        <v>-1.69961822393816E-13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179.32848817523677</v>
      </c>
      <c r="DU124" s="59">
        <f t="shared" si="98"/>
        <v>131.3292389103035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</v>
      </c>
      <c r="EB124" s="21">
        <f>EXP(-LN(2)/25)*EB123+(1-EXP(-LN(2)/25))/(LN(2)/25)*Calculateur!DW124*Calculateur!DY124*VLOOKUP('Données projet'!$B$14,Paramètres!$A$1:$I$89,3,0)*0.475*44/12</f>
        <v>1.057228378971808</v>
      </c>
      <c r="EC124" s="21">
        <f>EXP(-LN(2)/2)*EC123+(1-EXP(-LN(2)/2))/(LN(2)/2)*DW124*DZ124*VLOOKUP('Données projet'!$B$14,Paramètres!$A$1:$I$89,3,0)*0.475*44/12</f>
        <v>1.0576885145921077E-13</v>
      </c>
      <c r="ED124" s="22">
        <f t="shared" si="72"/>
        <v>1.0572283789719137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-2.2737367544323206E-13</v>
      </c>
      <c r="EK124" s="17">
        <f>EJ124*VLOOKUP('Données projet'!$B$15,Paramètres!$A$1:$I$89,3,0)*VLOOKUP('Données projet'!$B$15,Paramètres!$A$1:$I$89,5,0)</f>
        <v>-1.0049916454590858E-13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191.932060106699</v>
      </c>
      <c r="EP124" s="59">
        <f t="shared" si="100"/>
        <v>260.28593152736903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0.40299224888301449</v>
      </c>
      <c r="EW124" s="21">
        <f>EXP(-LN(2)/25)*EW123+(1-EXP(-LN(2)/25))/(LN(2)/25)*Calculateur!ER124*Calculateur!ET124*VLOOKUP('Données projet'!$B$15,Paramètres!$A$1:$I$89,3,0)*0.475*44/12</f>
        <v>1.0122813031779454</v>
      </c>
      <c r="EX124" s="21">
        <f>EXP(-LN(2)/2)*EX123+(1-EXP(-LN(2)/2))/(LN(2)/2)*ER124*EU124*VLOOKUP('Données projet'!$B$15,Paramètres!$A$1:$I$89,3,0)*0.475*44/12</f>
        <v>2.6897589287975421E-14</v>
      </c>
      <c r="EY124" s="22">
        <f t="shared" si="75"/>
        <v>1.4152735520609867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181.00000000000009</v>
      </c>
      <c r="FF124" s="17">
        <f>FE124*VLOOKUP('Données projet'!$B$16,Paramètres!$A$1:$I$89,3,0)*VLOOKUP('Données projet'!$B$16,Paramètres!$A$1:$I$89,5,0)</f>
        <v>175.06320000000008</v>
      </c>
      <c r="FG124" s="13">
        <f t="shared" si="101"/>
        <v>44.222067746824763</v>
      </c>
      <c r="FH124" s="20">
        <f t="shared" si="76"/>
        <v>381.92184132571992</v>
      </c>
      <c r="FI124" s="59">
        <f t="shared" si="77"/>
        <v>675.25517465905318</v>
      </c>
      <c r="FJ124" s="59">
        <f ca="1">AVERAGE(OFFSET($FI$3,0,0,'Données projet'!$E$16+1,1))-AVERAGE(OFFSET($H$3,0,0,'Données projet'!$E$16+1,1))</f>
        <v>102.86738524979938</v>
      </c>
      <c r="FK124" s="59">
        <f t="shared" si="102"/>
        <v>56.347130462109817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0</v>
      </c>
      <c r="FR124" s="21">
        <f>EXP(-LN(2)/25)*FR123+(1-EXP(-LN(2)/25))/(LN(2)/25)*Calculateur!FM124*Calculateur!FO124*VLOOKUP('Données projet'!$B$16,Paramètres!$A$1:$I$89,3,0)*0.475*44/12</f>
        <v>0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0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300.00000000000068</v>
      </c>
      <c r="GA124" s="17">
        <f>FZ124*VLOOKUP('Données projet'!$B$17,Paramètres!$A$1:$I$89,3,0)*VLOOKUP('Données projet'!$B$17,Paramètres!$A$1:$I$89,5,0)</f>
        <v>201.24000000000046</v>
      </c>
      <c r="GB124" s="13">
        <f t="shared" si="103"/>
        <v>50.01658408633331</v>
      </c>
      <c r="GC124" s="20">
        <f t="shared" si="79"/>
        <v>437.60521728369798</v>
      </c>
      <c r="GD124" s="59">
        <f t="shared" si="80"/>
        <v>730.9385506170313</v>
      </c>
      <c r="GE124" s="59">
        <f ca="1">AVERAGE(OFFSET($GD$3,0,0,'Données projet'!$E$17+1,1))-AVERAGE(OFFSET($H$3,0,0,'Données projet'!$E$17+1,1))</f>
        <v>168.00454652899231</v>
      </c>
      <c r="GF124" s="59">
        <f t="shared" si="104"/>
        <v>135.31958994080446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0</v>
      </c>
      <c r="GM124" s="21">
        <f>EXP(-LN(2)/25)*GM123+(1-EXP(-LN(2)/25))/(LN(2)/25)*Calculateur!GH124*Calculateur!GJ124*VLOOKUP('Données projet'!$B$17,Paramètres!$A$1:$I$89,3,0)*0.475*44/12</f>
        <v>0</v>
      </c>
      <c r="GN124" s="21">
        <f>EXP(-LN(2)/2)*GN123+(1-EXP(-LN(2)/2))/(LN(2)/2)*GH124*GK124*VLOOKUP('Données projet'!$B$17,Paramètres!$A$1:$I$89,3,0)*0.475*44/12</f>
        <v>0</v>
      </c>
      <c r="GO124" s="21">
        <f t="shared" si="81"/>
        <v>0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3.8301282051282044</v>
      </c>
      <c r="N125" s="13">
        <f>IF('Données projet'!$A$36&gt;35,N124+M125-V124,IF(A125&lt;'Données projet'!$A$36,$K$205^A125,IF(A125='Données projet'!$A$36,'Données projet'!$B$36,N124+M125-V124)))</f>
        <v>218.80448717948755</v>
      </c>
      <c r="O125" s="13">
        <f>N125*VLOOKUP('Données projet'!$B$9,Paramètres!$A$1:$I$89,3,0)*VLOOKUP('Données projet'!$B$9,Paramètres!$A$1:$I$89,5,0)</f>
        <v>197.97430000000034</v>
      </c>
      <c r="P125" s="13">
        <f t="shared" si="87"/>
        <v>49.29871675417845</v>
      </c>
      <c r="Q125" s="20">
        <f t="shared" si="107"/>
        <v>430.66717084686138</v>
      </c>
      <c r="R125" s="59">
        <f t="shared" si="55"/>
        <v>724.00050418019464</v>
      </c>
      <c r="S125" s="59">
        <f ca="1">AVERAGE(OFFSET($R$3,0,0,'Données projet'!$E$9+1,1))-AVERAGE(OFFSET($H$3,0,0,'Données projet'!$E$9+1,1))</f>
        <v>221.7429870520005</v>
      </c>
      <c r="T125" s="59">
        <f t="shared" si="88"/>
        <v>182.2029938397186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0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5.3066239316239274</v>
      </c>
      <c r="AI125" s="13">
        <f>IF('Données projet'!$A$62&gt;35,AI124+AH125-AQ124,IF(A125&lt;'Données projet'!$A$62,$AF$205^A125,IF(A125='Données projet'!$A$62,'Données projet'!$B$62,AI124+AH125-AQ124)))</f>
        <v>262.3749999999996</v>
      </c>
      <c r="AJ125" s="13">
        <f>AI125*VLOOKUP('Données projet'!$B$10,Paramètres!$A$1:$I$89,3,0)*VLOOKUP('Données projet'!$B$10,Paramètres!$A$1:$I$89,5,0)</f>
        <v>237.39689999999962</v>
      </c>
      <c r="AK125" s="13">
        <f t="shared" si="89"/>
        <v>57.87910585630879</v>
      </c>
      <c r="AL125" s="20">
        <f t="shared" si="58"/>
        <v>514.27237686640376</v>
      </c>
      <c r="AM125" s="59">
        <f t="shared" si="59"/>
        <v>807.60571019973713</v>
      </c>
      <c r="AN125" s="59">
        <f ca="1">AVERAGE(OFFSET($AM$3,0,0,'Données projet'!$E$10+1,1))-AVERAGE(OFFSET($H$3,0,0,'Données projet'!$E$10+1,1))</f>
        <v>153.45079678708987</v>
      </c>
      <c r="AO125" s="59">
        <f t="shared" si="90"/>
        <v>115.4217868409637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0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3.4106051316484809E-13</v>
      </c>
      <c r="BE125" s="13">
        <f>BD125*VLOOKUP('Données projet'!$B$11,Paramètres!$A$1:$I$89,3,0)*VLOOKUP('Données projet'!$B$11,Paramètres!$A$1:$I$89,5,0)</f>
        <v>1.5961632016114892E-13</v>
      </c>
      <c r="BF125" s="13">
        <f t="shared" si="91"/>
        <v>2.2708641912150958E-12</v>
      </c>
      <c r="BG125" s="20">
        <f t="shared" si="61"/>
        <v>4.2330868906469593E-12</v>
      </c>
      <c r="BH125" s="59">
        <f t="shared" si="62"/>
        <v>293.33333333333752</v>
      </c>
      <c r="BI125" s="59">
        <f ca="1">AVERAGE(OFFSET($BH$3,0,0,'Données projet'!$E$11+1,1))-AVERAGE(OFFSET($H$3,0,0,'Données projet'!$E$11+1,1))</f>
        <v>158.58786357608489</v>
      </c>
      <c r="BJ125" s="59">
        <f t="shared" si="92"/>
        <v>163.20074068819849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0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>
        <f>BY125*VLOOKUP('Données projet'!$B$12,Paramètres!$A$1:$I$89,3,0)*VLOOKUP('Données projet'!$B$12,Paramètres!$A$1:$I$89,5,0)</f>
        <v>0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255.41017495879987</v>
      </c>
      <c r="CE125" s="59">
        <f t="shared" si="94"/>
        <v>297.50513563712764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1.3492568527513822</v>
      </c>
      <c r="CL125" s="21">
        <f>EXP(-LN(2)/25)*CL124+(1-EXP(-LN(2)/25))/(LN(2)/25)*Calculateur!CG125*Calculateur!CI125*VLOOKUP('Données projet'!$B$12,Paramètres!$A$1:$I$89,3,0)*0.475*44/12</f>
        <v>2.1744254535040084</v>
      </c>
      <c r="CM125" s="21">
        <f>EXP(-LN(2)/2)*CM124+(1-EXP(-LN(2)/2))/(LN(2)/2)*CG125*CJ125*VLOOKUP('Données projet'!$B$12,Paramètres!$A$1:$I$89,3,0)*0.475*44/12</f>
        <v>3.4676178212452953E-13</v>
      </c>
      <c r="CN125" s="22">
        <f t="shared" si="66"/>
        <v>3.5236823062557376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-1.4210854715202004E-13</v>
      </c>
      <c r="CU125" s="17">
        <f>CT125*VLOOKUP('Données projet'!$B$13,Paramètres!$A$1:$I$89,3,0)*VLOOKUP('Données projet'!$B$13,Paramètres!$A$1:$I$89,5,0)</f>
        <v>-8.128608897095547E-14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134.70214882504786</v>
      </c>
      <c r="CZ125" s="59">
        <f t="shared" si="96"/>
        <v>102.18553029667771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0.17189115609852901</v>
      </c>
      <c r="DG125" s="21">
        <f>EXP(-LN(2)/25)*DG124+(1-EXP(-LN(2)/25))/(LN(2)/25)*Calculateur!DB125*Calculateur!DD125*VLOOKUP('Données projet'!$B$13,Paramètres!$A$1:$I$89,3,0)*0.475*44/12</f>
        <v>0.9791318040514988</v>
      </c>
      <c r="DH125" s="21">
        <f>EXP(-LN(2)/2)*DH124+(1-EXP(-LN(2)/2))/(LN(2)/2)*DB125*DE125*VLOOKUP('Données projet'!$B$13,Paramètres!$A$1:$I$89,3,0)*0.475*44/12</f>
        <v>1.0950737448953176E-13</v>
      </c>
      <c r="DI125" s="22">
        <f t="shared" si="69"/>
        <v>1.1510229601501372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-2.8421709430404007E-13</v>
      </c>
      <c r="DP125" s="17">
        <f>DO125*VLOOKUP('Données projet'!$B$14,Paramètres!$A$1:$I$89,3,0)*VLOOKUP('Données projet'!$B$14,Paramètres!$A$1:$I$89,5,0)</f>
        <v>-1.69961822393816E-13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179.32848817523677</v>
      </c>
      <c r="DU125" s="59">
        <f t="shared" si="98"/>
        <v>131.3292389103035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</v>
      </c>
      <c r="EB125" s="21">
        <f>EXP(-LN(2)/25)*EB124+(1-EXP(-LN(2)/25))/(LN(2)/25)*Calculateur!DW125*Calculateur!DY125*VLOOKUP('Données projet'!$B$14,Paramètres!$A$1:$I$89,3,0)*0.475*44/12</f>
        <v>1.0283184133515997</v>
      </c>
      <c r="EC125" s="21">
        <f>EXP(-LN(2)/2)*EC124+(1-EXP(-LN(2)/2))/(LN(2)/2)*DW125*DZ125*VLOOKUP('Données projet'!$B$14,Paramètres!$A$1:$I$89,3,0)*0.475*44/12</f>
        <v>7.47898721051206E-14</v>
      </c>
      <c r="ED125" s="22">
        <f t="shared" si="72"/>
        <v>1.0283184133516745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-2.2737367544323206E-13</v>
      </c>
      <c r="EK125" s="17">
        <f>EJ125*VLOOKUP('Données projet'!$B$15,Paramètres!$A$1:$I$89,3,0)*VLOOKUP('Données projet'!$B$15,Paramètres!$A$1:$I$89,5,0)</f>
        <v>-1.0049916454590858E-13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191.932060106699</v>
      </c>
      <c r="EP125" s="59">
        <f t="shared" si="100"/>
        <v>260.28593152736903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0.39508981668341958</v>
      </c>
      <c r="EW125" s="21">
        <f>EXP(-LN(2)/25)*EW124+(1-EXP(-LN(2)/25))/(LN(2)/25)*Calculateur!ER125*Calculateur!ET125*VLOOKUP('Données projet'!$B$15,Paramètres!$A$1:$I$89,3,0)*0.475*44/12</f>
        <v>0.98460041770898432</v>
      </c>
      <c r="EX125" s="21">
        <f>EXP(-LN(2)/2)*EX124+(1-EXP(-LN(2)/2))/(LN(2)/2)*ER125*EU125*VLOOKUP('Données projet'!$B$15,Paramètres!$A$1:$I$89,3,0)*0.475*44/12</f>
        <v>1.901946778309806E-14</v>
      </c>
      <c r="EY125" s="22">
        <f t="shared" si="75"/>
        <v>1.3796902343924229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181.00000000000009</v>
      </c>
      <c r="FF125" s="17">
        <f>FE125*VLOOKUP('Données projet'!$B$16,Paramètres!$A$1:$I$89,3,0)*VLOOKUP('Données projet'!$B$16,Paramètres!$A$1:$I$89,5,0)</f>
        <v>175.06320000000008</v>
      </c>
      <c r="FG125" s="13">
        <f t="shared" si="101"/>
        <v>44.222067746824763</v>
      </c>
      <c r="FH125" s="20">
        <f t="shared" si="76"/>
        <v>381.92184132571992</v>
      </c>
      <c r="FI125" s="59">
        <f t="shared" si="77"/>
        <v>675.25517465905318</v>
      </c>
      <c r="FJ125" s="59">
        <f ca="1">AVERAGE(OFFSET($FI$3,0,0,'Données projet'!$E$16+1,1))-AVERAGE(OFFSET($H$3,0,0,'Données projet'!$E$16+1,1))</f>
        <v>102.86738524979938</v>
      </c>
      <c r="FK125" s="59">
        <f t="shared" si="102"/>
        <v>56.347130462109817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0</v>
      </c>
      <c r="FR125" s="21">
        <f>EXP(-LN(2)/25)*FR124+(1-EXP(-LN(2)/25))/(LN(2)/25)*Calculateur!FM125*Calculateur!FO125*VLOOKUP('Données projet'!$B$16,Paramètres!$A$1:$I$89,3,0)*0.475*44/12</f>
        <v>0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0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300.00000000000068</v>
      </c>
      <c r="GA125" s="17">
        <f>FZ125*VLOOKUP('Données projet'!$B$17,Paramètres!$A$1:$I$89,3,0)*VLOOKUP('Données projet'!$B$17,Paramètres!$A$1:$I$89,5,0)</f>
        <v>201.24000000000046</v>
      </c>
      <c r="GB125" s="13">
        <f t="shared" si="103"/>
        <v>50.01658408633331</v>
      </c>
      <c r="GC125" s="20">
        <f t="shared" si="79"/>
        <v>437.60521728369798</v>
      </c>
      <c r="GD125" s="59">
        <f t="shared" si="80"/>
        <v>730.9385506170313</v>
      </c>
      <c r="GE125" s="59">
        <f ca="1">AVERAGE(OFFSET($GD$3,0,0,'Données projet'!$E$17+1,1))-AVERAGE(OFFSET($H$3,0,0,'Données projet'!$E$17+1,1))</f>
        <v>168.00454652899231</v>
      </c>
      <c r="GF125" s="59">
        <f t="shared" si="104"/>
        <v>135.31958994080446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0</v>
      </c>
      <c r="GM125" s="21">
        <f>EXP(-LN(2)/25)*GM124+(1-EXP(-LN(2)/25))/(LN(2)/25)*Calculateur!GH125*Calculateur!GJ125*VLOOKUP('Données projet'!$B$17,Paramètres!$A$1:$I$89,3,0)*0.475*44/12</f>
        <v>0</v>
      </c>
      <c r="GN125" s="21">
        <f>EXP(-LN(2)/2)*GN124+(1-EXP(-LN(2)/2))/(LN(2)/2)*GH125*GK125*VLOOKUP('Données projet'!$B$17,Paramètres!$A$1:$I$89,3,0)*0.475*44/12</f>
        <v>0</v>
      </c>
      <c r="GO125" s="21">
        <f t="shared" si="81"/>
        <v>0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>
        <f>VLOOKUP(A126,'Données projet'!$A$35:$I$55,2,0)</f>
        <v>222.63461538461539</v>
      </c>
      <c r="L126" s="12">
        <f>VLOOKUP(A126,'Données projet'!$A$35:$I$55,9,0)</f>
        <v>3.8301282051282044</v>
      </c>
      <c r="M126" s="12">
        <f t="array" ref="M126">INDEX(L:L,MIN(IF(ISNUMBER(L126:L322),ROW(L126:L322),"")))</f>
        <v>3.8301282051282044</v>
      </c>
      <c r="N126" s="13">
        <f>IF('Données projet'!$A$36&gt;35,N125+M126-V125,IF(A126&lt;'Données projet'!$A$36,$K$205^A126,IF(A126='Données projet'!$A$36,'Données projet'!$B$36,N125+M126-V125)))</f>
        <v>222.63461538461576</v>
      </c>
      <c r="O126" s="13">
        <f>N126*VLOOKUP('Données projet'!$B$9,Paramètres!$A$1:$I$89,3,0)*VLOOKUP('Données projet'!$B$9,Paramètres!$A$1:$I$89,5,0)</f>
        <v>201.4398000000003</v>
      </c>
      <c r="P126" s="13">
        <f t="shared" si="87"/>
        <v>50.06045996470457</v>
      </c>
      <c r="Q126" s="20">
        <f t="shared" si="107"/>
        <v>438.02961943852762</v>
      </c>
      <c r="R126" s="59">
        <f t="shared" si="55"/>
        <v>731.36295277186093</v>
      </c>
      <c r="S126" s="59">
        <f ca="1">AVERAGE(OFFSET($R$3,0,0,'Données projet'!$E$9+1,1))-AVERAGE(OFFSET($H$3,0,0,'Données projet'!$E$9+1,1))</f>
        <v>221.7429870520005</v>
      </c>
      <c r="T126" s="59">
        <f t="shared" si="88"/>
        <v>182.2029938397186</v>
      </c>
      <c r="U126" s="15">
        <f>IF(ISNA(VLOOKUP(A126,'Données projet'!$A$35:$I$55,3,0)),0,VLOOKUP(A126,'Données projet'!$A$35:$I$55,3,0))</f>
        <v>12</v>
      </c>
      <c r="V126" s="15">
        <f>IF(ISNA(VLOOKUP(A126,'Données projet'!$A$35:$I$55,4,0)),0,VLOOKUP(A126,'Données projet'!$A$35:$I$55,4,0))</f>
        <v>77.17307692307692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0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5.3066239316239274</v>
      </c>
      <c r="AI126" s="13">
        <f>IF('Données projet'!$A$62&gt;35,AI125+AH126-AQ125,IF(A126&lt;'Données projet'!$A$62,$AF$205^A126,IF(A126='Données projet'!$A$62,'Données projet'!$B$62,AI125+AH126-AQ125)))</f>
        <v>267.68162393162351</v>
      </c>
      <c r="AJ126" s="13">
        <f>AI126*VLOOKUP('Données projet'!$B$10,Paramètres!$A$1:$I$89,3,0)*VLOOKUP('Données projet'!$B$10,Paramètres!$A$1:$I$89,5,0)</f>
        <v>242.19833333333295</v>
      </c>
      <c r="AK126" s="13">
        <f t="shared" si="89"/>
        <v>58.912261318352805</v>
      </c>
      <c r="AL126" s="20">
        <f t="shared" si="58"/>
        <v>524.43428568501929</v>
      </c>
      <c r="AM126" s="59">
        <f t="shared" si="59"/>
        <v>817.76761901835266</v>
      </c>
      <c r="AN126" s="59">
        <f ca="1">AVERAGE(OFFSET($AM$3,0,0,'Données projet'!$E$10+1,1))-AVERAGE(OFFSET($H$3,0,0,'Données projet'!$E$10+1,1))</f>
        <v>153.45079678708987</v>
      </c>
      <c r="AO126" s="59">
        <f t="shared" si="90"/>
        <v>115.4217868409637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0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3.4106051316484809E-13</v>
      </c>
      <c r="BE126" s="13">
        <f>BD126*VLOOKUP('Données projet'!$B$11,Paramètres!$A$1:$I$89,3,0)*VLOOKUP('Données projet'!$B$11,Paramètres!$A$1:$I$89,5,0)</f>
        <v>1.5961632016114892E-13</v>
      </c>
      <c r="BF126" s="13">
        <f t="shared" si="91"/>
        <v>2.2708641912150958E-12</v>
      </c>
      <c r="BG126" s="20">
        <f t="shared" si="61"/>
        <v>4.2330868906469593E-12</v>
      </c>
      <c r="BH126" s="59">
        <f t="shared" si="62"/>
        <v>293.33333333333752</v>
      </c>
      <c r="BI126" s="59">
        <f ca="1">AVERAGE(OFFSET($BH$3,0,0,'Données projet'!$E$11+1,1))-AVERAGE(OFFSET($H$3,0,0,'Données projet'!$E$11+1,1))</f>
        <v>158.58786357608489</v>
      </c>
      <c r="BJ126" s="59">
        <f t="shared" si="92"/>
        <v>163.20074068819849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0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>
        <f>BY126*VLOOKUP('Données projet'!$B$12,Paramètres!$A$1:$I$89,3,0)*VLOOKUP('Données projet'!$B$12,Paramètres!$A$1:$I$89,5,0)</f>
        <v>0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255.41017495879987</v>
      </c>
      <c r="CE126" s="59">
        <f t="shared" si="94"/>
        <v>297.50513563712764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1.3227987488343467</v>
      </c>
      <c r="CL126" s="21">
        <f>EXP(-LN(2)/25)*CL125+(1-EXP(-LN(2)/25))/(LN(2)/25)*Calculateur!CG126*Calculateur!CI126*VLOOKUP('Données projet'!$B$12,Paramètres!$A$1:$I$89,3,0)*0.475*44/12</f>
        <v>2.1149656751298762</v>
      </c>
      <c r="CM126" s="21">
        <f>EXP(-LN(2)/2)*CM125+(1-EXP(-LN(2)/2))/(LN(2)/2)*CG126*CJ126*VLOOKUP('Données projet'!$B$12,Paramètres!$A$1:$I$89,3,0)*0.475*44/12</f>
        <v>2.4519760759658697E-13</v>
      </c>
      <c r="CN126" s="22">
        <f t="shared" si="66"/>
        <v>3.437764423964468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-1.4210854715202004E-13</v>
      </c>
      <c r="CU126" s="17">
        <f>CT126*VLOOKUP('Données projet'!$B$13,Paramètres!$A$1:$I$89,3,0)*VLOOKUP('Données projet'!$B$13,Paramètres!$A$1:$I$89,5,0)</f>
        <v>-8.128608897095547E-14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134.70214882504786</v>
      </c>
      <c r="CZ126" s="59">
        <f t="shared" si="96"/>
        <v>102.18553029667771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0.16852047537068968</v>
      </c>
      <c r="DG126" s="21">
        <f>EXP(-LN(2)/25)*DG125+(1-EXP(-LN(2)/25))/(LN(2)/25)*Calculateur!DB126*Calculateur!DD126*VLOOKUP('Données projet'!$B$13,Paramètres!$A$1:$I$89,3,0)*0.475*44/12</f>
        <v>0.95235739337940684</v>
      </c>
      <c r="DH126" s="21">
        <f>EXP(-LN(2)/2)*DH125+(1-EXP(-LN(2)/2))/(LN(2)/2)*DB126*DE126*VLOOKUP('Données projet'!$B$13,Paramètres!$A$1:$I$89,3,0)*0.475*44/12</f>
        <v>7.743340709148265E-14</v>
      </c>
      <c r="DI126" s="22">
        <f t="shared" si="69"/>
        <v>1.1208778687501739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-2.8421709430404007E-13</v>
      </c>
      <c r="DP126" s="17">
        <f>DO126*VLOOKUP('Données projet'!$B$14,Paramètres!$A$1:$I$89,3,0)*VLOOKUP('Données projet'!$B$14,Paramètres!$A$1:$I$89,5,0)</f>
        <v>-1.69961822393816E-13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179.32848817523677</v>
      </c>
      <c r="DU126" s="59">
        <f t="shared" si="98"/>
        <v>131.3292389103035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</v>
      </c>
      <c r="EB126" s="21">
        <f>EXP(-LN(2)/25)*EB125+(1-EXP(-LN(2)/25))/(LN(2)/25)*Calculateur!DW126*Calculateur!DY126*VLOOKUP('Données projet'!$B$14,Paramètres!$A$1:$I$89,3,0)*0.475*44/12</f>
        <v>1.000198992261585</v>
      </c>
      <c r="EC126" s="21">
        <f>EXP(-LN(2)/2)*EC125+(1-EXP(-LN(2)/2))/(LN(2)/2)*DW126*DZ126*VLOOKUP('Données projet'!$B$14,Paramètres!$A$1:$I$89,3,0)*0.475*44/12</f>
        <v>5.2884425729605387E-14</v>
      </c>
      <c r="ED126" s="22">
        <f t="shared" si="72"/>
        <v>1.0001989922616379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-2.2737367544323206E-13</v>
      </c>
      <c r="EK126" s="17">
        <f>EJ126*VLOOKUP('Données projet'!$B$15,Paramètres!$A$1:$I$89,3,0)*VLOOKUP('Données projet'!$B$15,Paramètres!$A$1:$I$89,5,0)</f>
        <v>-1.0049916454590858E-13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191.932060106699</v>
      </c>
      <c r="EP126" s="59">
        <f t="shared" si="100"/>
        <v>260.28593152736903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0.38734234635925102</v>
      </c>
      <c r="EW126" s="21">
        <f>EXP(-LN(2)/25)*EW125+(1-EXP(-LN(2)/25))/(LN(2)/25)*Calculateur!ER126*Calculateur!ET126*VLOOKUP('Données projet'!$B$15,Paramètres!$A$1:$I$89,3,0)*0.475*44/12</f>
        <v>0.9576764675088465</v>
      </c>
      <c r="EX126" s="21">
        <f>EXP(-LN(2)/2)*EX125+(1-EXP(-LN(2)/2))/(LN(2)/2)*ER126*EU126*VLOOKUP('Données projet'!$B$15,Paramètres!$A$1:$I$89,3,0)*0.475*44/12</f>
        <v>1.3448794643987711E-14</v>
      </c>
      <c r="EY126" s="22">
        <f t="shared" si="75"/>
        <v>1.345018813868111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181.00000000000009</v>
      </c>
      <c r="FF126" s="17">
        <f>FE126*VLOOKUP('Données projet'!$B$16,Paramètres!$A$1:$I$89,3,0)*VLOOKUP('Données projet'!$B$16,Paramètres!$A$1:$I$89,5,0)</f>
        <v>175.06320000000008</v>
      </c>
      <c r="FG126" s="13">
        <f t="shared" si="101"/>
        <v>44.222067746824763</v>
      </c>
      <c r="FH126" s="20">
        <f t="shared" si="76"/>
        <v>381.92184132571992</v>
      </c>
      <c r="FI126" s="59">
        <f t="shared" si="77"/>
        <v>675.25517465905318</v>
      </c>
      <c r="FJ126" s="59">
        <f ca="1">AVERAGE(OFFSET($FI$3,0,0,'Données projet'!$E$16+1,1))-AVERAGE(OFFSET($H$3,0,0,'Données projet'!$E$16+1,1))</f>
        <v>102.86738524979938</v>
      </c>
      <c r="FK126" s="59">
        <f t="shared" si="102"/>
        <v>56.347130462109817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0</v>
      </c>
      <c r="FR126" s="21">
        <f>EXP(-LN(2)/25)*FR125+(1-EXP(-LN(2)/25))/(LN(2)/25)*Calculateur!FM126*Calculateur!FO126*VLOOKUP('Données projet'!$B$16,Paramètres!$A$1:$I$89,3,0)*0.475*44/12</f>
        <v>0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0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300.00000000000068</v>
      </c>
      <c r="GA126" s="17">
        <f>FZ126*VLOOKUP('Données projet'!$B$17,Paramètres!$A$1:$I$89,3,0)*VLOOKUP('Données projet'!$B$17,Paramètres!$A$1:$I$89,5,0)</f>
        <v>201.24000000000046</v>
      </c>
      <c r="GB126" s="13">
        <f t="shared" si="103"/>
        <v>50.01658408633331</v>
      </c>
      <c r="GC126" s="20">
        <f t="shared" si="79"/>
        <v>437.60521728369798</v>
      </c>
      <c r="GD126" s="59">
        <f t="shared" si="80"/>
        <v>730.9385506170313</v>
      </c>
      <c r="GE126" s="59">
        <f ca="1">AVERAGE(OFFSET($GD$3,0,0,'Données projet'!$E$17+1,1))-AVERAGE(OFFSET($H$3,0,0,'Données projet'!$E$17+1,1))</f>
        <v>168.00454652899231</v>
      </c>
      <c r="GF126" s="59">
        <f t="shared" si="104"/>
        <v>135.31958994080446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0</v>
      </c>
      <c r="GM126" s="21">
        <f>EXP(-LN(2)/25)*GM125+(1-EXP(-LN(2)/25))/(LN(2)/25)*Calculateur!GH126*Calculateur!GJ126*VLOOKUP('Données projet'!$B$17,Paramètres!$A$1:$I$89,3,0)*0.475*44/12</f>
        <v>0</v>
      </c>
      <c r="GN126" s="21">
        <f>EXP(-LN(2)/2)*GN125+(1-EXP(-LN(2)/2))/(LN(2)/2)*GH126*GK126*VLOOKUP('Données projet'!$B$17,Paramètres!$A$1:$I$89,3,0)*0.475*44/12</f>
        <v>0</v>
      </c>
      <c r="GO126" s="21">
        <f t="shared" si="81"/>
        <v>0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2.3349358974358978</v>
      </c>
      <c r="N127" s="13">
        <f>IF('Données projet'!$A$36&gt;35,N126+M127-V126,IF(A127&lt;'Données projet'!$A$36,$K$205^A127,IF(A127='Données projet'!$A$36,'Données projet'!$B$36,N126+M127-V126)))</f>
        <v>147.79647435897476</v>
      </c>
      <c r="O127" s="13">
        <f>N127*VLOOKUP('Données projet'!$B$9,Paramètres!$A$1:$I$89,3,0)*VLOOKUP('Données projet'!$B$9,Paramètres!$A$1:$I$89,5,0)</f>
        <v>133.72625000000036</v>
      </c>
      <c r="P127" s="13">
        <f t="shared" si="87"/>
        <v>34.855965018185714</v>
      </c>
      <c r="Q127" s="20">
        <f t="shared" si="107"/>
        <v>293.61402449000741</v>
      </c>
      <c r="R127" s="59">
        <f t="shared" si="55"/>
        <v>586.94735782334078</v>
      </c>
      <c r="S127" s="59">
        <f ca="1">AVERAGE(OFFSET($R$3,0,0,'Données projet'!$E$9+1,1))-AVERAGE(OFFSET($H$3,0,0,'Données projet'!$E$9+1,1))</f>
        <v>221.7429870520005</v>
      </c>
      <c r="T127" s="59">
        <f t="shared" si="88"/>
        <v>182.2029938397186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0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5.3066239316239274</v>
      </c>
      <c r="AI127" s="13">
        <f>IF('Données projet'!$A$62&gt;35,AI126+AH127-AQ126,IF(A127&lt;'Données projet'!$A$62,$AF$205^A127,IF(A127='Données projet'!$A$62,'Données projet'!$B$62,AI126+AH127-AQ126)))</f>
        <v>272.98824786324741</v>
      </c>
      <c r="AJ127" s="13">
        <f>AI127*VLOOKUP('Données projet'!$B$10,Paramètres!$A$1:$I$89,3,0)*VLOOKUP('Données projet'!$B$10,Paramètres!$A$1:$I$89,5,0)</f>
        <v>246.99976666666623</v>
      </c>
      <c r="AK127" s="13">
        <f t="shared" si="89"/>
        <v>59.943035297333779</v>
      </c>
      <c r="AL127" s="20">
        <f t="shared" si="58"/>
        <v>534.59204675396666</v>
      </c>
      <c r="AM127" s="59">
        <f t="shared" si="59"/>
        <v>827.92538008730003</v>
      </c>
      <c r="AN127" s="59">
        <f ca="1">AVERAGE(OFFSET($AM$3,0,0,'Données projet'!$E$10+1,1))-AVERAGE(OFFSET($H$3,0,0,'Données projet'!$E$10+1,1))</f>
        <v>153.45079678708987</v>
      </c>
      <c r="AO127" s="59">
        <f t="shared" si="90"/>
        <v>115.4217868409637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0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3.4106051316484809E-13</v>
      </c>
      <c r="BE127" s="13">
        <f>BD127*VLOOKUP('Données projet'!$B$11,Paramètres!$A$1:$I$89,3,0)*VLOOKUP('Données projet'!$B$11,Paramètres!$A$1:$I$89,5,0)</f>
        <v>1.5961632016114892E-13</v>
      </c>
      <c r="BF127" s="13">
        <f t="shared" si="91"/>
        <v>2.2708641912150958E-12</v>
      </c>
      <c r="BG127" s="20">
        <f t="shared" si="61"/>
        <v>4.2330868906469593E-12</v>
      </c>
      <c r="BH127" s="59">
        <f t="shared" si="62"/>
        <v>293.33333333333752</v>
      </c>
      <c r="BI127" s="59">
        <f ca="1">AVERAGE(OFFSET($BH$3,0,0,'Données projet'!$E$11+1,1))-AVERAGE(OFFSET($H$3,0,0,'Données projet'!$E$11+1,1))</f>
        <v>158.58786357608489</v>
      </c>
      <c r="BJ127" s="59">
        <f t="shared" si="92"/>
        <v>163.20074068819849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0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>
        <f>BY127*VLOOKUP('Données projet'!$B$12,Paramètres!$A$1:$I$89,3,0)*VLOOKUP('Données projet'!$B$12,Paramètres!$A$1:$I$89,5,0)</f>
        <v>0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255.41017495879987</v>
      </c>
      <c r="CE127" s="59">
        <f t="shared" si="94"/>
        <v>297.50513563712764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1.2968594721972744</v>
      </c>
      <c r="CL127" s="21">
        <f>EXP(-LN(2)/25)*CL126+(1-EXP(-LN(2)/25))/(LN(2)/25)*Calculateur!CG127*Calculateur!CI127*VLOOKUP('Données projet'!$B$12,Paramètres!$A$1:$I$89,3,0)*0.475*44/12</f>
        <v>2.0571318275222388</v>
      </c>
      <c r="CM127" s="21">
        <f>EXP(-LN(2)/2)*CM126+(1-EXP(-LN(2)/2))/(LN(2)/2)*CG127*CJ127*VLOOKUP('Données projet'!$B$12,Paramètres!$A$1:$I$89,3,0)*0.475*44/12</f>
        <v>1.7338089106226477E-13</v>
      </c>
      <c r="CN127" s="22">
        <f t="shared" si="66"/>
        <v>3.3539912997196861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-1.4210854715202004E-13</v>
      </c>
      <c r="CU127" s="17">
        <f>CT127*VLOOKUP('Données projet'!$B$13,Paramètres!$A$1:$I$89,3,0)*VLOOKUP('Données projet'!$B$13,Paramètres!$A$1:$I$89,5,0)</f>
        <v>-8.128608897095547E-14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134.70214882504786</v>
      </c>
      <c r="CZ127" s="59">
        <f t="shared" si="96"/>
        <v>102.18553029667771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0.16521589163601103</v>
      </c>
      <c r="DG127" s="21">
        <f>EXP(-LN(2)/25)*DG126+(1-EXP(-LN(2)/25))/(LN(2)/25)*Calculateur!DB127*Calculateur!DD127*VLOOKUP('Données projet'!$B$13,Paramètres!$A$1:$I$89,3,0)*0.475*44/12</f>
        <v>0.92631513037514823</v>
      </c>
      <c r="DH127" s="21">
        <f>EXP(-LN(2)/2)*DH126+(1-EXP(-LN(2)/2))/(LN(2)/2)*DB127*DE127*VLOOKUP('Données projet'!$B$13,Paramètres!$A$1:$I$89,3,0)*0.475*44/12</f>
        <v>5.475368724476588E-14</v>
      </c>
      <c r="DI127" s="22">
        <f t="shared" si="69"/>
        <v>1.0915310220112142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-2.8421709430404007E-13</v>
      </c>
      <c r="DP127" s="17">
        <f>DO127*VLOOKUP('Données projet'!$B$14,Paramètres!$A$1:$I$89,3,0)*VLOOKUP('Données projet'!$B$14,Paramètres!$A$1:$I$89,5,0)</f>
        <v>-1.69961822393816E-13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179.32848817523677</v>
      </c>
      <c r="DU127" s="59">
        <f t="shared" si="98"/>
        <v>131.3292389103035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</v>
      </c>
      <c r="EB127" s="21">
        <f>EXP(-LN(2)/25)*EB126+(1-EXP(-LN(2)/25))/(LN(2)/25)*Calculateur!DW127*Calculateur!DY127*VLOOKUP('Données projet'!$B$14,Paramètres!$A$1:$I$89,3,0)*0.475*44/12</f>
        <v>0.97284849822001296</v>
      </c>
      <c r="EC127" s="21">
        <f>EXP(-LN(2)/2)*EC126+(1-EXP(-LN(2)/2))/(LN(2)/2)*DW127*DZ127*VLOOKUP('Données projet'!$B$14,Paramètres!$A$1:$I$89,3,0)*0.475*44/12</f>
        <v>3.73949360525603E-14</v>
      </c>
      <c r="ED127" s="22">
        <f t="shared" si="72"/>
        <v>0.97284849822005037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-2.2737367544323206E-13</v>
      </c>
      <c r="EK127" s="17">
        <f>EJ127*VLOOKUP('Données projet'!$B$15,Paramètres!$A$1:$I$89,3,0)*VLOOKUP('Données projet'!$B$15,Paramètres!$A$1:$I$89,5,0)</f>
        <v>-1.0049916454590858E-13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191.932060106699</v>
      </c>
      <c r="EP127" s="59">
        <f t="shared" si="100"/>
        <v>260.28593152736903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0.37974679920264909</v>
      </c>
      <c r="EW127" s="21">
        <f>EXP(-LN(2)/25)*EW126+(1-EXP(-LN(2)/25))/(LN(2)/25)*Calculateur!ER127*Calculateur!ET127*VLOOKUP('Données projet'!$B$15,Paramètres!$A$1:$I$89,3,0)*0.475*44/12</f>
        <v>0.93148875414280041</v>
      </c>
      <c r="EX127" s="21">
        <f>EXP(-LN(2)/2)*EX126+(1-EXP(-LN(2)/2))/(LN(2)/2)*ER127*EU127*VLOOKUP('Données projet'!$B$15,Paramètres!$A$1:$I$89,3,0)*0.475*44/12</f>
        <v>9.5097338915490302E-15</v>
      </c>
      <c r="EY127" s="22">
        <f t="shared" si="75"/>
        <v>1.3112355533454589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181.00000000000009</v>
      </c>
      <c r="FF127" s="17">
        <f>FE127*VLOOKUP('Données projet'!$B$16,Paramètres!$A$1:$I$89,3,0)*VLOOKUP('Données projet'!$B$16,Paramètres!$A$1:$I$89,5,0)</f>
        <v>175.06320000000008</v>
      </c>
      <c r="FG127" s="13">
        <f t="shared" si="101"/>
        <v>44.222067746824763</v>
      </c>
      <c r="FH127" s="20">
        <f t="shared" si="76"/>
        <v>381.92184132571992</v>
      </c>
      <c r="FI127" s="59">
        <f t="shared" si="77"/>
        <v>675.25517465905318</v>
      </c>
      <c r="FJ127" s="59">
        <f ca="1">AVERAGE(OFFSET($FI$3,0,0,'Données projet'!$E$16+1,1))-AVERAGE(OFFSET($H$3,0,0,'Données projet'!$E$16+1,1))</f>
        <v>102.86738524979938</v>
      </c>
      <c r="FK127" s="59">
        <f t="shared" si="102"/>
        <v>56.347130462109817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0</v>
      </c>
      <c r="FR127" s="21">
        <f>EXP(-LN(2)/25)*FR126+(1-EXP(-LN(2)/25))/(LN(2)/25)*Calculateur!FM127*Calculateur!FO127*VLOOKUP('Données projet'!$B$16,Paramètres!$A$1:$I$89,3,0)*0.475*44/12</f>
        <v>0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0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300.00000000000068</v>
      </c>
      <c r="GA127" s="17">
        <f>FZ127*VLOOKUP('Données projet'!$B$17,Paramètres!$A$1:$I$89,3,0)*VLOOKUP('Données projet'!$B$17,Paramètres!$A$1:$I$89,5,0)</f>
        <v>201.24000000000046</v>
      </c>
      <c r="GB127" s="13">
        <f t="shared" si="103"/>
        <v>50.01658408633331</v>
      </c>
      <c r="GC127" s="20">
        <f t="shared" si="79"/>
        <v>437.60521728369798</v>
      </c>
      <c r="GD127" s="59">
        <f t="shared" si="80"/>
        <v>730.9385506170313</v>
      </c>
      <c r="GE127" s="59">
        <f ca="1">AVERAGE(OFFSET($GD$3,0,0,'Données projet'!$E$17+1,1))-AVERAGE(OFFSET($H$3,0,0,'Données projet'!$E$17+1,1))</f>
        <v>168.00454652899231</v>
      </c>
      <c r="GF127" s="59">
        <f t="shared" si="104"/>
        <v>135.31958994080446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0</v>
      </c>
      <c r="GM127" s="21">
        <f>EXP(-LN(2)/25)*GM126+(1-EXP(-LN(2)/25))/(LN(2)/25)*Calculateur!GH127*Calculateur!GJ127*VLOOKUP('Données projet'!$B$17,Paramètres!$A$1:$I$89,3,0)*0.475*44/12</f>
        <v>0</v>
      </c>
      <c r="GN127" s="21">
        <f>EXP(-LN(2)/2)*GN126+(1-EXP(-LN(2)/2))/(LN(2)/2)*GH127*GK127*VLOOKUP('Données projet'!$B$17,Paramètres!$A$1:$I$89,3,0)*0.475*44/12</f>
        <v>0</v>
      </c>
      <c r="GO127" s="21">
        <f t="shared" si="81"/>
        <v>0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2.3349358974358978</v>
      </c>
      <c r="N128" s="13">
        <f>IF('Données projet'!$A$36&gt;35,N127+M128-V127,IF(A128&lt;'Données projet'!$A$36,$K$205^A128,IF(A128='Données projet'!$A$36,'Données projet'!$B$36,N127+M128-V127)))</f>
        <v>150.13141025641067</v>
      </c>
      <c r="O128" s="13">
        <f>N128*VLOOKUP('Données projet'!$B$9,Paramètres!$A$1:$I$89,3,0)*VLOOKUP('Données projet'!$B$9,Paramètres!$A$1:$I$89,5,0)</f>
        <v>135.83890000000036</v>
      </c>
      <c r="P128" s="13">
        <f t="shared" si="87"/>
        <v>35.342088427890417</v>
      </c>
      <c r="Q128" s="20">
        <f t="shared" si="107"/>
        <v>298.14022151190977</v>
      </c>
      <c r="R128" s="59">
        <f t="shared" si="55"/>
        <v>591.47355484524314</v>
      </c>
      <c r="S128" s="59">
        <f ca="1">AVERAGE(OFFSET($R$3,0,0,'Données projet'!$E$9+1,1))-AVERAGE(OFFSET($H$3,0,0,'Données projet'!$E$9+1,1))</f>
        <v>221.7429870520005</v>
      </c>
      <c r="T128" s="59">
        <f t="shared" si="88"/>
        <v>182.2029938397186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0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>
        <f>VLOOKUP(A128,'Données projet'!$A$61:$I$81,2,0)</f>
        <v>278.29487179487177</v>
      </c>
      <c r="AG128" s="12">
        <f>VLOOKUP(A128,'Données projet'!$A$61:$I$81,9,0)</f>
        <v>5.3066239316239274</v>
      </c>
      <c r="AH128" s="12">
        <f t="array" ref="AH128">INDEX(AG:AG,MIN(IF(ISNUMBER(AG128:AG324),ROW(AG128:AG324),"")))</f>
        <v>5.3066239316239274</v>
      </c>
      <c r="AI128" s="13">
        <f>IF('Données projet'!$A$62&gt;35,AI127+AH128-AQ127,IF(A128&lt;'Données projet'!$A$62,$AF$205^A128,IF(A128='Données projet'!$A$62,'Données projet'!$B$62,AI127+AH128-AQ127)))</f>
        <v>278.29487179487131</v>
      </c>
      <c r="AJ128" s="13">
        <f>AI128*VLOOKUP('Données projet'!$B$10,Paramètres!$A$1:$I$89,3,0)*VLOOKUP('Données projet'!$B$10,Paramètres!$A$1:$I$89,5,0)</f>
        <v>251.80119999999957</v>
      </c>
      <c r="AK128" s="13">
        <f t="shared" si="89"/>
        <v>60.971479423668242</v>
      </c>
      <c r="AL128" s="20">
        <f t="shared" si="58"/>
        <v>544.74574999622132</v>
      </c>
      <c r="AM128" s="59">
        <f t="shared" si="59"/>
        <v>838.07908332955458</v>
      </c>
      <c r="AN128" s="59">
        <f ca="1">AVERAGE(OFFSET($AM$3,0,0,'Données projet'!$E$10+1,1))-AVERAGE(OFFSET($H$3,0,0,'Données projet'!$E$10+1,1))</f>
        <v>153.45079678708987</v>
      </c>
      <c r="AO128" s="59">
        <f t="shared" si="90"/>
        <v>115.4217868409637</v>
      </c>
      <c r="AP128" s="15">
        <f>IF(ISNA(VLOOKUP(A128,'Données projet'!$A$61:$I$81,3,0)),0,VLOOKUP(A128,'Données projet'!$A$61:$I$81,3,0))</f>
        <v>10</v>
      </c>
      <c r="AQ128" s="15">
        <f>IF(ISNA(VLOOKUP(A128,'Données projet'!$A$61:$I$81,4,0)),0,VLOOKUP(A128,'Données projet'!$A$61:$I$81,4,0))</f>
        <v>48.160256410256409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0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3.4106051316484809E-13</v>
      </c>
      <c r="BE128" s="13">
        <f>BD128*VLOOKUP('Données projet'!$B$11,Paramètres!$A$1:$I$89,3,0)*VLOOKUP('Données projet'!$B$11,Paramètres!$A$1:$I$89,5,0)</f>
        <v>1.5961632016114892E-13</v>
      </c>
      <c r="BF128" s="13">
        <f t="shared" si="91"/>
        <v>2.2708641912150958E-12</v>
      </c>
      <c r="BG128" s="20">
        <f t="shared" si="61"/>
        <v>4.2330868906469593E-12</v>
      </c>
      <c r="BH128" s="59">
        <f t="shared" si="62"/>
        <v>293.33333333333752</v>
      </c>
      <c r="BI128" s="59">
        <f ca="1">AVERAGE(OFFSET($BH$3,0,0,'Données projet'!$E$11+1,1))-AVERAGE(OFFSET($H$3,0,0,'Données projet'!$E$11+1,1))</f>
        <v>158.58786357608489</v>
      </c>
      <c r="BJ128" s="59">
        <f t="shared" si="92"/>
        <v>163.20074068819849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0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>
        <f>BY128*VLOOKUP('Données projet'!$B$12,Paramètres!$A$1:$I$89,3,0)*VLOOKUP('Données projet'!$B$12,Paramètres!$A$1:$I$89,5,0)</f>
        <v>0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255.41017495879987</v>
      </c>
      <c r="CE128" s="59">
        <f t="shared" si="94"/>
        <v>297.50513563712764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1.2714288489536585</v>
      </c>
      <c r="CL128" s="21">
        <f>EXP(-LN(2)/25)*CL127+(1-EXP(-LN(2)/25))/(LN(2)/25)*Calculateur!CG128*Calculateur!CI128*VLOOKUP('Données projet'!$B$12,Paramètres!$A$1:$I$89,3,0)*0.475*44/12</f>
        <v>2.000879449518782</v>
      </c>
      <c r="CM128" s="21">
        <f>EXP(-LN(2)/2)*CM127+(1-EXP(-LN(2)/2))/(LN(2)/2)*CG128*CJ128*VLOOKUP('Données projet'!$B$12,Paramètres!$A$1:$I$89,3,0)*0.475*44/12</f>
        <v>1.2259880379829348E-13</v>
      </c>
      <c r="CN128" s="22">
        <f t="shared" si="66"/>
        <v>3.2723082984725629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-1.4210854715202004E-13</v>
      </c>
      <c r="CU128" s="17">
        <f>CT128*VLOOKUP('Données projet'!$B$13,Paramètres!$A$1:$I$89,3,0)*VLOOKUP('Données projet'!$B$13,Paramètres!$A$1:$I$89,5,0)</f>
        <v>-8.128608897095547E-14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134.70214882504786</v>
      </c>
      <c r="CZ128" s="59">
        <f t="shared" si="96"/>
        <v>102.18553029667771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0.16197610877277235</v>
      </c>
      <c r="DG128" s="21">
        <f>EXP(-LN(2)/25)*DG127+(1-EXP(-LN(2)/25))/(LN(2)/25)*Calculateur!DB128*Calculateur!DD128*VLOOKUP('Données projet'!$B$13,Paramètres!$A$1:$I$89,3,0)*0.475*44/12</f>
        <v>0.90098499442224422</v>
      </c>
      <c r="DH128" s="21">
        <f>EXP(-LN(2)/2)*DH127+(1-EXP(-LN(2)/2))/(LN(2)/2)*DB128*DE128*VLOOKUP('Données projet'!$B$13,Paramètres!$A$1:$I$89,3,0)*0.475*44/12</f>
        <v>3.8716703545741325E-14</v>
      </c>
      <c r="DI128" s="22">
        <f t="shared" si="69"/>
        <v>1.0629611031950552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-2.8421709430404007E-13</v>
      </c>
      <c r="DP128" s="17">
        <f>DO128*VLOOKUP('Données projet'!$B$14,Paramètres!$A$1:$I$89,3,0)*VLOOKUP('Données projet'!$B$14,Paramètres!$A$1:$I$89,5,0)</f>
        <v>-1.69961822393816E-13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179.32848817523677</v>
      </c>
      <c r="DU128" s="59">
        <f t="shared" si="98"/>
        <v>131.3292389103035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</v>
      </c>
      <c r="EB128" s="21">
        <f>EXP(-LN(2)/25)*EB127+(1-EXP(-LN(2)/25))/(LN(2)/25)*Calculateur!DW128*Calculateur!DY128*VLOOKUP('Données projet'!$B$14,Paramètres!$A$1:$I$89,3,0)*0.475*44/12</f>
        <v>0.94624590487630766</v>
      </c>
      <c r="EC128" s="21">
        <f>EXP(-LN(2)/2)*EC127+(1-EXP(-LN(2)/2))/(LN(2)/2)*DW128*DZ128*VLOOKUP('Données projet'!$B$14,Paramètres!$A$1:$I$89,3,0)*0.475*44/12</f>
        <v>2.6442212864802694E-14</v>
      </c>
      <c r="ED128" s="22">
        <f t="shared" si="72"/>
        <v>0.94624590487633409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-2.2737367544323206E-13</v>
      </c>
      <c r="EK128" s="17">
        <f>EJ128*VLOOKUP('Données projet'!$B$15,Paramètres!$A$1:$I$89,3,0)*VLOOKUP('Données projet'!$B$15,Paramètres!$A$1:$I$89,5,0)</f>
        <v>-1.0049916454590858E-13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191.932060106699</v>
      </c>
      <c r="EP128" s="59">
        <f t="shared" si="100"/>
        <v>260.28593152736903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0.37230019609296183</v>
      </c>
      <c r="EW128" s="21">
        <f>EXP(-LN(2)/25)*EW127+(1-EXP(-LN(2)/25))/(LN(2)/25)*Calculateur!ER128*Calculateur!ET128*VLOOKUP('Données projet'!$B$15,Paramètres!$A$1:$I$89,3,0)*0.475*44/12</f>
        <v>0.90601714517590093</v>
      </c>
      <c r="EX128" s="21">
        <f>EXP(-LN(2)/2)*EX127+(1-EXP(-LN(2)/2))/(LN(2)/2)*ER128*EU128*VLOOKUP('Données projet'!$B$15,Paramètres!$A$1:$I$89,3,0)*0.475*44/12</f>
        <v>6.7243973219938553E-15</v>
      </c>
      <c r="EY128" s="22">
        <f t="shared" si="75"/>
        <v>1.2783173412688695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181.00000000000009</v>
      </c>
      <c r="FF128" s="17">
        <f>FE128*VLOOKUP('Données projet'!$B$16,Paramètres!$A$1:$I$89,3,0)*VLOOKUP('Données projet'!$B$16,Paramètres!$A$1:$I$89,5,0)</f>
        <v>175.06320000000008</v>
      </c>
      <c r="FG128" s="13">
        <f t="shared" si="101"/>
        <v>44.222067746824763</v>
      </c>
      <c r="FH128" s="20">
        <f t="shared" si="76"/>
        <v>381.92184132571992</v>
      </c>
      <c r="FI128" s="59">
        <f t="shared" si="77"/>
        <v>675.25517465905318</v>
      </c>
      <c r="FJ128" s="59">
        <f ca="1">AVERAGE(OFFSET($FI$3,0,0,'Données projet'!$E$16+1,1))-AVERAGE(OFFSET($H$3,0,0,'Données projet'!$E$16+1,1))</f>
        <v>102.86738524979938</v>
      </c>
      <c r="FK128" s="59">
        <f t="shared" si="102"/>
        <v>56.347130462109817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0</v>
      </c>
      <c r="FR128" s="21">
        <f>EXP(-LN(2)/25)*FR127+(1-EXP(-LN(2)/25))/(LN(2)/25)*Calculateur!FM128*Calculateur!FO128*VLOOKUP('Données projet'!$B$16,Paramètres!$A$1:$I$89,3,0)*0.475*44/12</f>
        <v>0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0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300.00000000000068</v>
      </c>
      <c r="GA128" s="17">
        <f>FZ128*VLOOKUP('Données projet'!$B$17,Paramètres!$A$1:$I$89,3,0)*VLOOKUP('Données projet'!$B$17,Paramètres!$A$1:$I$89,5,0)</f>
        <v>201.24000000000046</v>
      </c>
      <c r="GB128" s="13">
        <f t="shared" si="103"/>
        <v>50.01658408633331</v>
      </c>
      <c r="GC128" s="20">
        <f t="shared" si="79"/>
        <v>437.60521728369798</v>
      </c>
      <c r="GD128" s="59">
        <f t="shared" si="80"/>
        <v>730.9385506170313</v>
      </c>
      <c r="GE128" s="59">
        <f ca="1">AVERAGE(OFFSET($GD$3,0,0,'Données projet'!$E$17+1,1))-AVERAGE(OFFSET($H$3,0,0,'Données projet'!$E$17+1,1))</f>
        <v>168.00454652899231</v>
      </c>
      <c r="GF128" s="59">
        <f t="shared" si="104"/>
        <v>135.31958994080446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0</v>
      </c>
      <c r="GM128" s="21">
        <f>EXP(-LN(2)/25)*GM127+(1-EXP(-LN(2)/25))/(LN(2)/25)*Calculateur!GH128*Calculateur!GJ128*VLOOKUP('Données projet'!$B$17,Paramètres!$A$1:$I$89,3,0)*0.475*44/12</f>
        <v>0</v>
      </c>
      <c r="GN128" s="21">
        <f>EXP(-LN(2)/2)*GN127+(1-EXP(-LN(2)/2))/(LN(2)/2)*GH128*GK128*VLOOKUP('Données projet'!$B$17,Paramètres!$A$1:$I$89,3,0)*0.475*44/12</f>
        <v>0</v>
      </c>
      <c r="GO128" s="21">
        <f t="shared" si="81"/>
        <v>0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2.3349358974358978</v>
      </c>
      <c r="N129" s="13">
        <f>IF('Données projet'!$A$36&gt;35,N128+M129-V128,IF(A129&lt;'Données projet'!$A$36,$K$205^A129,IF(A129='Données projet'!$A$36,'Données projet'!$B$36,N128+M129-V128)))</f>
        <v>152.46634615384659</v>
      </c>
      <c r="O129" s="13">
        <f>N129*VLOOKUP('Données projet'!$B$9,Paramètres!$A$1:$I$89,3,0)*VLOOKUP('Données projet'!$B$9,Paramètres!$A$1:$I$89,5,0)</f>
        <v>137.9515500000004</v>
      </c>
      <c r="P129" s="13">
        <f t="shared" si="87"/>
        <v>35.827332555199952</v>
      </c>
      <c r="Q129" s="20">
        <f t="shared" si="107"/>
        <v>302.66488711697389</v>
      </c>
      <c r="R129" s="59">
        <f t="shared" si="55"/>
        <v>595.99822045030714</v>
      </c>
      <c r="S129" s="59">
        <f ca="1">AVERAGE(OFFSET($R$3,0,0,'Données projet'!$E$9+1,1))-AVERAGE(OFFSET($H$3,0,0,'Données projet'!$E$9+1,1))</f>
        <v>221.7429870520005</v>
      </c>
      <c r="T129" s="59">
        <f t="shared" si="88"/>
        <v>182.2029938397186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0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5.2446581196581219</v>
      </c>
      <c r="AI129" s="13">
        <f>IF('Données projet'!$A$62&gt;35,AI128+AH129-AQ128,IF(A129&lt;'Données projet'!$A$62,$AF$205^A129,IF(A129='Données projet'!$A$62,'Données projet'!$B$62,AI128+AH129-AQ128)))</f>
        <v>235.37927350427304</v>
      </c>
      <c r="AJ129" s="13">
        <f>AI129*VLOOKUP('Données projet'!$B$10,Paramètres!$A$1:$I$89,3,0)*VLOOKUP('Données projet'!$B$10,Paramètres!$A$1:$I$89,5,0)</f>
        <v>212.97116666666628</v>
      </c>
      <c r="AK129" s="13">
        <f t="shared" si="89"/>
        <v>52.584328525271125</v>
      </c>
      <c r="AL129" s="20">
        <f t="shared" si="58"/>
        <v>462.50915412595759</v>
      </c>
      <c r="AM129" s="59">
        <f t="shared" si="59"/>
        <v>755.84248745929085</v>
      </c>
      <c r="AN129" s="59">
        <f ca="1">AVERAGE(OFFSET($AM$3,0,0,'Données projet'!$E$10+1,1))-AVERAGE(OFFSET($H$3,0,0,'Données projet'!$E$10+1,1))</f>
        <v>153.45079678708987</v>
      </c>
      <c r="AO129" s="59">
        <f t="shared" si="90"/>
        <v>115.4217868409637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0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3.4106051316484809E-13</v>
      </c>
      <c r="BE129" s="13">
        <f>BD129*VLOOKUP('Données projet'!$B$11,Paramètres!$A$1:$I$89,3,0)*VLOOKUP('Données projet'!$B$11,Paramètres!$A$1:$I$89,5,0)</f>
        <v>1.5961632016114892E-13</v>
      </c>
      <c r="BF129" s="13">
        <f t="shared" si="91"/>
        <v>2.2708641912150958E-12</v>
      </c>
      <c r="BG129" s="20">
        <f t="shared" si="61"/>
        <v>4.2330868906469593E-12</v>
      </c>
      <c r="BH129" s="59">
        <f t="shared" si="62"/>
        <v>293.33333333333752</v>
      </c>
      <c r="BI129" s="59">
        <f ca="1">AVERAGE(OFFSET($BH$3,0,0,'Données projet'!$E$11+1,1))-AVERAGE(OFFSET($H$3,0,0,'Données projet'!$E$11+1,1))</f>
        <v>158.58786357608489</v>
      </c>
      <c r="BJ129" s="59">
        <f t="shared" si="92"/>
        <v>163.20074068819849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0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>
        <f>BY129*VLOOKUP('Données projet'!$B$12,Paramètres!$A$1:$I$89,3,0)*VLOOKUP('Données projet'!$B$12,Paramètres!$A$1:$I$89,5,0)</f>
        <v>0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255.41017495879987</v>
      </c>
      <c r="CE129" s="59">
        <f t="shared" si="94"/>
        <v>297.50513563712764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1.2464969047207013</v>
      </c>
      <c r="CL129" s="21">
        <f>EXP(-LN(2)/25)*CL128+(1-EXP(-LN(2)/25))/(LN(2)/25)*Calculateur!CG129*Calculateur!CI129*VLOOKUP('Données projet'!$B$12,Paramètres!$A$1:$I$89,3,0)*0.475*44/12</f>
        <v>1.9461652957500137</v>
      </c>
      <c r="CM129" s="21">
        <f>EXP(-LN(2)/2)*CM128+(1-EXP(-LN(2)/2))/(LN(2)/2)*CG129*CJ129*VLOOKUP('Données projet'!$B$12,Paramètres!$A$1:$I$89,3,0)*0.475*44/12</f>
        <v>8.6690445531132383E-14</v>
      </c>
      <c r="CN129" s="22">
        <f t="shared" si="66"/>
        <v>3.1926622004708016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-1.4210854715202004E-13</v>
      </c>
      <c r="CU129" s="17">
        <f>CT129*VLOOKUP('Données projet'!$B$13,Paramètres!$A$1:$I$89,3,0)*VLOOKUP('Données projet'!$B$13,Paramètres!$A$1:$I$89,5,0)</f>
        <v>-8.128608897095547E-14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134.70214882504786</v>
      </c>
      <c r="CZ129" s="59">
        <f t="shared" si="96"/>
        <v>102.18553029667771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0.15879985607540939</v>
      </c>
      <c r="DG129" s="21">
        <f>EXP(-LN(2)/25)*DG128+(1-EXP(-LN(2)/25))/(LN(2)/25)*Calculateur!DB129*Calculateur!DD129*VLOOKUP('Données projet'!$B$13,Paramètres!$A$1:$I$89,3,0)*0.475*44/12</f>
        <v>0.8763475123690263</v>
      </c>
      <c r="DH129" s="21">
        <f>EXP(-LN(2)/2)*DH128+(1-EXP(-LN(2)/2))/(LN(2)/2)*DB129*DE129*VLOOKUP('Données projet'!$B$13,Paramètres!$A$1:$I$89,3,0)*0.475*44/12</f>
        <v>2.737684362238294E-14</v>
      </c>
      <c r="DI129" s="22">
        <f t="shared" si="69"/>
        <v>1.035147368444463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-2.8421709430404007E-13</v>
      </c>
      <c r="DP129" s="17">
        <f>DO129*VLOOKUP('Données projet'!$B$14,Paramètres!$A$1:$I$89,3,0)*VLOOKUP('Données projet'!$B$14,Paramètres!$A$1:$I$89,5,0)</f>
        <v>-1.69961822393816E-13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179.32848817523677</v>
      </c>
      <c r="DU129" s="59">
        <f t="shared" si="98"/>
        <v>131.3292389103035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</v>
      </c>
      <c r="EB129" s="21">
        <f>EXP(-LN(2)/25)*EB128+(1-EXP(-LN(2)/25))/(LN(2)/25)*Calculateur!DW129*Calculateur!DY129*VLOOKUP('Données projet'!$B$14,Paramètres!$A$1:$I$89,3,0)*0.475*44/12</f>
        <v>0.92037076084655556</v>
      </c>
      <c r="EC129" s="21">
        <f>EXP(-LN(2)/2)*EC128+(1-EXP(-LN(2)/2))/(LN(2)/2)*DW129*DZ129*VLOOKUP('Données projet'!$B$14,Paramètres!$A$1:$I$89,3,0)*0.475*44/12</f>
        <v>1.869746802628015E-14</v>
      </c>
      <c r="ED129" s="22">
        <f t="shared" si="72"/>
        <v>0.92037076084657421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-2.2737367544323206E-13</v>
      </c>
      <c r="EK129" s="17">
        <f>EJ129*VLOOKUP('Données projet'!$B$15,Paramètres!$A$1:$I$89,3,0)*VLOOKUP('Données projet'!$B$15,Paramètres!$A$1:$I$89,5,0)</f>
        <v>-1.0049916454590858E-13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191.932060106699</v>
      </c>
      <c r="EP129" s="59">
        <f t="shared" si="100"/>
        <v>260.28593152736903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0.3649996163282761</v>
      </c>
      <c r="EW129" s="21">
        <f>EXP(-LN(2)/25)*EW128+(1-EXP(-LN(2)/25))/(LN(2)/25)*Calculateur!ER129*Calculateur!ET129*VLOOKUP('Données projet'!$B$15,Paramètres!$A$1:$I$89,3,0)*0.475*44/12</f>
        <v>0.88124205869569494</v>
      </c>
      <c r="EX129" s="21">
        <f>EXP(-LN(2)/2)*EX128+(1-EXP(-LN(2)/2))/(LN(2)/2)*ER129*EU129*VLOOKUP('Données projet'!$B$15,Paramètres!$A$1:$I$89,3,0)*0.475*44/12</f>
        <v>4.7548669457745151E-15</v>
      </c>
      <c r="EY129" s="22">
        <f t="shared" si="75"/>
        <v>1.2462416750239758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181.00000000000009</v>
      </c>
      <c r="FF129" s="17">
        <f>FE129*VLOOKUP('Données projet'!$B$16,Paramètres!$A$1:$I$89,3,0)*VLOOKUP('Données projet'!$B$16,Paramètres!$A$1:$I$89,5,0)</f>
        <v>175.06320000000008</v>
      </c>
      <c r="FG129" s="13">
        <f t="shared" si="101"/>
        <v>44.222067746824763</v>
      </c>
      <c r="FH129" s="20">
        <f t="shared" si="76"/>
        <v>381.92184132571992</v>
      </c>
      <c r="FI129" s="59">
        <f t="shared" si="77"/>
        <v>675.25517465905318</v>
      </c>
      <c r="FJ129" s="59">
        <f ca="1">AVERAGE(OFFSET($FI$3,0,0,'Données projet'!$E$16+1,1))-AVERAGE(OFFSET($H$3,0,0,'Données projet'!$E$16+1,1))</f>
        <v>102.86738524979938</v>
      </c>
      <c r="FK129" s="59">
        <f t="shared" si="102"/>
        <v>56.347130462109817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0</v>
      </c>
      <c r="FR129" s="21">
        <f>EXP(-LN(2)/25)*FR128+(1-EXP(-LN(2)/25))/(LN(2)/25)*Calculateur!FM129*Calculateur!FO129*VLOOKUP('Données projet'!$B$16,Paramètres!$A$1:$I$89,3,0)*0.475*44/12</f>
        <v>0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0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300.00000000000068</v>
      </c>
      <c r="GA129" s="17">
        <f>FZ129*VLOOKUP('Données projet'!$B$17,Paramètres!$A$1:$I$89,3,0)*VLOOKUP('Données projet'!$B$17,Paramètres!$A$1:$I$89,5,0)</f>
        <v>201.24000000000046</v>
      </c>
      <c r="GB129" s="13">
        <f t="shared" si="103"/>
        <v>50.01658408633331</v>
      </c>
      <c r="GC129" s="20">
        <f t="shared" si="79"/>
        <v>437.60521728369798</v>
      </c>
      <c r="GD129" s="59">
        <f t="shared" si="80"/>
        <v>730.9385506170313</v>
      </c>
      <c r="GE129" s="59">
        <f ca="1">AVERAGE(OFFSET($GD$3,0,0,'Données projet'!$E$17+1,1))-AVERAGE(OFFSET($H$3,0,0,'Données projet'!$E$17+1,1))</f>
        <v>168.00454652899231</v>
      </c>
      <c r="GF129" s="59">
        <f t="shared" si="104"/>
        <v>135.31958994080446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0</v>
      </c>
      <c r="GM129" s="21">
        <f>EXP(-LN(2)/25)*GM128+(1-EXP(-LN(2)/25))/(LN(2)/25)*Calculateur!GH129*Calculateur!GJ129*VLOOKUP('Données projet'!$B$17,Paramètres!$A$1:$I$89,3,0)*0.475*44/12</f>
        <v>0</v>
      </c>
      <c r="GN129" s="21">
        <f>EXP(-LN(2)/2)*GN128+(1-EXP(-LN(2)/2))/(LN(2)/2)*GH129*GK129*VLOOKUP('Données projet'!$B$17,Paramètres!$A$1:$I$89,3,0)*0.475*44/12</f>
        <v>0</v>
      </c>
      <c r="GO129" s="21">
        <f t="shared" si="81"/>
        <v>0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>
        <f>VLOOKUP(A130,'Données projet'!$A$35:$I$55,2,0)</f>
        <v>154.80128205128204</v>
      </c>
      <c r="L130" s="12">
        <f>VLOOKUP(A130,'Données projet'!$A$35:$I$55,9,0)</f>
        <v>2.3349358974358978</v>
      </c>
      <c r="M130" s="12">
        <f t="array" ref="M130">INDEX(L:L,MIN(IF(ISNUMBER(L130:L326),ROW(L130:L326),"")))</f>
        <v>2.3349358974358978</v>
      </c>
      <c r="N130" s="13">
        <f>IF('Données projet'!$A$36&gt;35,N129+M130-V129,IF(A130&lt;'Données projet'!$A$36,$K$205^A130,IF(A130='Données projet'!$A$36,'Données projet'!$B$36,N129+M130-V129)))</f>
        <v>154.8012820512825</v>
      </c>
      <c r="O130" s="13">
        <f>N130*VLOOKUP('Données projet'!$B$9,Paramètres!$A$1:$I$89,3,0)*VLOOKUP('Données projet'!$B$9,Paramètres!$A$1:$I$89,5,0)</f>
        <v>140.0642000000004</v>
      </c>
      <c r="P130" s="13">
        <f t="shared" si="87"/>
        <v>36.311712421027494</v>
      </c>
      <c r="Q130" s="20">
        <f t="shared" si="107"/>
        <v>307.18804746662357</v>
      </c>
      <c r="R130" s="59">
        <f t="shared" si="55"/>
        <v>600.52138079995689</v>
      </c>
      <c r="S130" s="59">
        <f ca="1">AVERAGE(OFFSET($R$3,0,0,'Données projet'!$E$9+1,1))-AVERAGE(OFFSET($H$3,0,0,'Données projet'!$E$9+1,1))</f>
        <v>221.7429870520005</v>
      </c>
      <c r="T130" s="59">
        <f t="shared" si="88"/>
        <v>182.2029938397186</v>
      </c>
      <c r="U130" s="15">
        <f>IF(ISNA(VLOOKUP(A130,'Données projet'!$A$35:$I$55,3,0)),0,VLOOKUP(A130,'Données projet'!$A$35:$I$55,3,0))</f>
        <v>13</v>
      </c>
      <c r="V130" s="15">
        <f>IF(ISNA(VLOOKUP(A130,'Données projet'!$A$35:$I$55,4,0)),0,VLOOKUP(A130,'Données projet'!$A$35:$I$55,4,0))</f>
        <v>49.916666666666671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0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5.2446581196581219</v>
      </c>
      <c r="AI130" s="13">
        <f>IF('Données projet'!$A$62&gt;35,AI129+AH130-AQ129,IF(A130&lt;'Données projet'!$A$62,$AF$205^A130,IF(A130='Données projet'!$A$62,'Données projet'!$B$62,AI129+AH130-AQ129)))</f>
        <v>240.62393162393116</v>
      </c>
      <c r="AJ130" s="13">
        <f>AI130*VLOOKUP('Données projet'!$B$10,Paramètres!$A$1:$I$89,3,0)*VLOOKUP('Données projet'!$B$10,Paramètres!$A$1:$I$89,5,0)</f>
        <v>217.7165333333329</v>
      </c>
      <c r="AK130" s="13">
        <f t="shared" si="89"/>
        <v>53.618284552972121</v>
      </c>
      <c r="AL130" s="20">
        <f t="shared" si="58"/>
        <v>472.57480781864791</v>
      </c>
      <c r="AM130" s="59">
        <f t="shared" si="59"/>
        <v>765.90814115198123</v>
      </c>
      <c r="AN130" s="59">
        <f ca="1">AVERAGE(OFFSET($AM$3,0,0,'Données projet'!$E$10+1,1))-AVERAGE(OFFSET($H$3,0,0,'Données projet'!$E$10+1,1))</f>
        <v>153.45079678708987</v>
      </c>
      <c r="AO130" s="59">
        <f t="shared" si="90"/>
        <v>115.4217868409637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0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3.4106051316484809E-13</v>
      </c>
      <c r="BE130" s="13">
        <f>BD130*VLOOKUP('Données projet'!$B$11,Paramètres!$A$1:$I$89,3,0)*VLOOKUP('Données projet'!$B$11,Paramètres!$A$1:$I$89,5,0)</f>
        <v>1.5961632016114892E-13</v>
      </c>
      <c r="BF130" s="13">
        <f t="shared" si="91"/>
        <v>2.2708641912150958E-12</v>
      </c>
      <c r="BG130" s="20">
        <f t="shared" si="61"/>
        <v>4.2330868906469593E-12</v>
      </c>
      <c r="BH130" s="59">
        <f t="shared" si="62"/>
        <v>293.33333333333752</v>
      </c>
      <c r="BI130" s="59">
        <f ca="1">AVERAGE(OFFSET($BH$3,0,0,'Données projet'!$E$11+1,1))-AVERAGE(OFFSET($H$3,0,0,'Données projet'!$E$11+1,1))</f>
        <v>158.58786357608489</v>
      </c>
      <c r="BJ130" s="59">
        <f t="shared" si="92"/>
        <v>163.20074068819849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0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>
        <f>BY130*VLOOKUP('Données projet'!$B$12,Paramètres!$A$1:$I$89,3,0)*VLOOKUP('Données projet'!$B$12,Paramètres!$A$1:$I$89,5,0)</f>
        <v>0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255.41017495879987</v>
      </c>
      <c r="CE130" s="59">
        <f t="shared" si="94"/>
        <v>297.50513563712764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1.222053860707168</v>
      </c>
      <c r="CL130" s="21">
        <f>EXP(-LN(2)/25)*CL129+(1-EXP(-LN(2)/25))/(LN(2)/25)*Calculateur!CG130*Calculateur!CI130*VLOOKUP('Données projet'!$B$12,Paramètres!$A$1:$I$89,3,0)*0.475*44/12</f>
        <v>1.8929473033933448</v>
      </c>
      <c r="CM130" s="21">
        <f>EXP(-LN(2)/2)*CM129+(1-EXP(-LN(2)/2))/(LN(2)/2)*CG130*CJ130*VLOOKUP('Données projet'!$B$12,Paramètres!$A$1:$I$89,3,0)*0.475*44/12</f>
        <v>6.1299401899146741E-14</v>
      </c>
      <c r="CN130" s="22">
        <f t="shared" si="66"/>
        <v>3.1150011641005744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-1.4210854715202004E-13</v>
      </c>
      <c r="CU130" s="17">
        <f>CT130*VLOOKUP('Données projet'!$B$13,Paramètres!$A$1:$I$89,3,0)*VLOOKUP('Données projet'!$B$13,Paramètres!$A$1:$I$89,5,0)</f>
        <v>-8.128608897095547E-14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134.70214882504786</v>
      </c>
      <c r="CZ130" s="59">
        <f t="shared" si="96"/>
        <v>102.18553029667771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0.15568588775611886</v>
      </c>
      <c r="DG130" s="21">
        <f>EXP(-LN(2)/25)*DG129+(1-EXP(-LN(2)/25))/(LN(2)/25)*Calculateur!DB130*Calculateur!DD130*VLOOKUP('Données projet'!$B$13,Paramètres!$A$1:$I$89,3,0)*0.475*44/12</f>
        <v>0.85238374355818247</v>
      </c>
      <c r="DH130" s="21">
        <f>EXP(-LN(2)/2)*DH129+(1-EXP(-LN(2)/2))/(LN(2)/2)*DB130*DE130*VLOOKUP('Données projet'!$B$13,Paramètres!$A$1:$I$89,3,0)*0.475*44/12</f>
        <v>1.9358351772870662E-14</v>
      </c>
      <c r="DI130" s="22">
        <f t="shared" si="69"/>
        <v>1.0080696313143207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-2.8421709430404007E-13</v>
      </c>
      <c r="DP130" s="17">
        <f>DO130*VLOOKUP('Données projet'!$B$14,Paramètres!$A$1:$I$89,3,0)*VLOOKUP('Données projet'!$B$14,Paramètres!$A$1:$I$89,5,0)</f>
        <v>-1.69961822393816E-13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179.32848817523677</v>
      </c>
      <c r="DU130" s="59">
        <f t="shared" si="98"/>
        <v>131.3292389103035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</v>
      </c>
      <c r="EB130" s="21">
        <f>EXP(-LN(2)/25)*EB129+(1-EXP(-LN(2)/25))/(LN(2)/25)*Calculateur!DW130*Calculateur!DY130*VLOOKUP('Données projet'!$B$14,Paramètres!$A$1:$I$89,3,0)*0.475*44/12</f>
        <v>0.89520317399101168</v>
      </c>
      <c r="EC130" s="21">
        <f>EXP(-LN(2)/2)*EC129+(1-EXP(-LN(2)/2))/(LN(2)/2)*DW130*DZ130*VLOOKUP('Données projet'!$B$14,Paramètres!$A$1:$I$89,3,0)*0.475*44/12</f>
        <v>1.3221106432401347E-14</v>
      </c>
      <c r="ED130" s="22">
        <f t="shared" si="72"/>
        <v>0.89520317399102489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-2.2737367544323206E-13</v>
      </c>
      <c r="EK130" s="17">
        <f>EJ130*VLOOKUP('Données projet'!$B$15,Paramètres!$A$1:$I$89,3,0)*VLOOKUP('Données projet'!$B$15,Paramètres!$A$1:$I$89,5,0)</f>
        <v>-1.0049916454590858E-13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191.932060106699</v>
      </c>
      <c r="EP130" s="59">
        <f t="shared" si="100"/>
        <v>260.28593152736903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0.35784219647986187</v>
      </c>
      <c r="EW130" s="21">
        <f>EXP(-LN(2)/25)*EW129+(1-EXP(-LN(2)/25))/(LN(2)/25)*Calculateur!ER130*Calculateur!ET130*VLOOKUP('Données projet'!$B$15,Paramètres!$A$1:$I$89,3,0)*0.475*44/12</f>
        <v>0.85714444825815539</v>
      </c>
      <c r="EX130" s="21">
        <f>EXP(-LN(2)/2)*EX129+(1-EXP(-LN(2)/2))/(LN(2)/2)*ER130*EU130*VLOOKUP('Données projet'!$B$15,Paramètres!$A$1:$I$89,3,0)*0.475*44/12</f>
        <v>3.3621986609969276E-15</v>
      </c>
      <c r="EY130" s="22">
        <f t="shared" si="75"/>
        <v>1.2149866447380206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181.00000000000009</v>
      </c>
      <c r="FF130" s="17">
        <f>FE130*VLOOKUP('Données projet'!$B$16,Paramètres!$A$1:$I$89,3,0)*VLOOKUP('Données projet'!$B$16,Paramètres!$A$1:$I$89,5,0)</f>
        <v>175.06320000000008</v>
      </c>
      <c r="FG130" s="13">
        <f t="shared" si="101"/>
        <v>44.222067746824763</v>
      </c>
      <c r="FH130" s="20">
        <f t="shared" si="76"/>
        <v>381.92184132571992</v>
      </c>
      <c r="FI130" s="59">
        <f t="shared" si="77"/>
        <v>675.25517465905318</v>
      </c>
      <c r="FJ130" s="59">
        <f ca="1">AVERAGE(OFFSET($FI$3,0,0,'Données projet'!$E$16+1,1))-AVERAGE(OFFSET($H$3,0,0,'Données projet'!$E$16+1,1))</f>
        <v>102.86738524979938</v>
      </c>
      <c r="FK130" s="59">
        <f t="shared" si="102"/>
        <v>56.347130462109817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0</v>
      </c>
      <c r="FR130" s="21">
        <f>EXP(-LN(2)/25)*FR129+(1-EXP(-LN(2)/25))/(LN(2)/25)*Calculateur!FM130*Calculateur!FO130*VLOOKUP('Données projet'!$B$16,Paramètres!$A$1:$I$89,3,0)*0.475*44/12</f>
        <v>0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0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300.00000000000068</v>
      </c>
      <c r="GA130" s="17">
        <f>FZ130*VLOOKUP('Données projet'!$B$17,Paramètres!$A$1:$I$89,3,0)*VLOOKUP('Données projet'!$B$17,Paramètres!$A$1:$I$89,5,0)</f>
        <v>201.24000000000046</v>
      </c>
      <c r="GB130" s="13">
        <f t="shared" si="103"/>
        <v>50.01658408633331</v>
      </c>
      <c r="GC130" s="20">
        <f t="shared" si="79"/>
        <v>437.60521728369798</v>
      </c>
      <c r="GD130" s="59">
        <f t="shared" si="80"/>
        <v>730.9385506170313</v>
      </c>
      <c r="GE130" s="59">
        <f ca="1">AVERAGE(OFFSET($GD$3,0,0,'Données projet'!$E$17+1,1))-AVERAGE(OFFSET($H$3,0,0,'Données projet'!$E$17+1,1))</f>
        <v>168.00454652899231</v>
      </c>
      <c r="GF130" s="59">
        <f t="shared" si="104"/>
        <v>135.31958994080446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0</v>
      </c>
      <c r="GM130" s="21">
        <f>EXP(-LN(2)/25)*GM129+(1-EXP(-LN(2)/25))/(LN(2)/25)*Calculateur!GH130*Calculateur!GJ130*VLOOKUP('Données projet'!$B$17,Paramètres!$A$1:$I$89,3,0)*0.475*44/12</f>
        <v>0</v>
      </c>
      <c r="GN130" s="21">
        <f>EXP(-LN(2)/2)*GN129+(1-EXP(-LN(2)/2))/(LN(2)/2)*GH130*GK130*VLOOKUP('Données projet'!$B$17,Paramètres!$A$1:$I$89,3,0)*0.475*44/12</f>
        <v>0</v>
      </c>
      <c r="GO130" s="21">
        <f t="shared" si="81"/>
        <v>0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1.5064102564102591</v>
      </c>
      <c r="N131" s="13">
        <f>IF('Données projet'!$A$36&gt;35,N130+M131-V130,IF(A131&lt;'Données projet'!$A$36,$K$205^A131,IF(A131='Données projet'!$A$36,'Données projet'!$B$36,N130+M131-V130)))</f>
        <v>106.39102564102608</v>
      </c>
      <c r="O131" s="13">
        <f>N131*VLOOKUP('Données projet'!$B$9,Paramètres!$A$1:$I$89,3,0)*VLOOKUP('Données projet'!$B$9,Paramètres!$A$1:$I$89,5,0)</f>
        <v>96.26260000000039</v>
      </c>
      <c r="P131" s="13">
        <f t="shared" si="87"/>
        <v>26.069649320395914</v>
      </c>
      <c r="Q131" s="20">
        <f t="shared" ref="Q131:Q153" si="108">(O131+P131)*0.475*44/12</f>
        <v>213.06200089969022</v>
      </c>
      <c r="R131" s="59">
        <f t="shared" ref="R131:R194" si="109">Q131+(I131+J131)*44/12</f>
        <v>506.3953342330235</v>
      </c>
      <c r="S131" s="59">
        <f ca="1">AVERAGE(OFFSET($R$3,0,0,'Données projet'!$E$9+1,1))-AVERAGE(OFFSET($H$3,0,0,'Données projet'!$E$9+1,1))</f>
        <v>221.7429870520005</v>
      </c>
      <c r="T131" s="59">
        <f t="shared" si="88"/>
        <v>182.2029938397186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0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5.2446581196581219</v>
      </c>
      <c r="AI131" s="13">
        <f>IF('Données projet'!$A$62&gt;35,AI130+AH131-AQ130,IF(A131&lt;'Données projet'!$A$62,$AF$205^A131,IF(A131='Données projet'!$A$62,'Données projet'!$B$62,AI130+AH131-AQ130)))</f>
        <v>245.86858974358927</v>
      </c>
      <c r="AJ131" s="13">
        <f>AI131*VLOOKUP('Données projet'!$B$10,Paramètres!$A$1:$I$89,3,0)*VLOOKUP('Données projet'!$B$10,Paramètres!$A$1:$I$89,5,0)</f>
        <v>222.46189999999956</v>
      </c>
      <c r="AK131" s="13">
        <f t="shared" si="89"/>
        <v>54.649620474067063</v>
      </c>
      <c r="AL131" s="20">
        <f t="shared" si="58"/>
        <v>482.6358981589994</v>
      </c>
      <c r="AM131" s="59">
        <f t="shared" si="59"/>
        <v>775.96923149233271</v>
      </c>
      <c r="AN131" s="59">
        <f ca="1">AVERAGE(OFFSET($AM$3,0,0,'Données projet'!$E$10+1,1))-AVERAGE(OFFSET($H$3,0,0,'Données projet'!$E$10+1,1))</f>
        <v>153.45079678708987</v>
      </c>
      <c r="AO131" s="59">
        <f t="shared" si="90"/>
        <v>115.4217868409637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0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3.4106051316484809E-13</v>
      </c>
      <c r="BE131" s="13">
        <f>BD131*VLOOKUP('Données projet'!$B$11,Paramètres!$A$1:$I$89,3,0)*VLOOKUP('Données projet'!$B$11,Paramètres!$A$1:$I$89,5,0)</f>
        <v>1.5961632016114892E-13</v>
      </c>
      <c r="BF131" s="13">
        <f t="shared" si="91"/>
        <v>2.2708641912150958E-12</v>
      </c>
      <c r="BG131" s="20">
        <f t="shared" si="61"/>
        <v>4.2330868906469593E-12</v>
      </c>
      <c r="BH131" s="59">
        <f t="shared" si="62"/>
        <v>293.33333333333752</v>
      </c>
      <c r="BI131" s="59">
        <f ca="1">AVERAGE(OFFSET($BH$3,0,0,'Données projet'!$E$11+1,1))-AVERAGE(OFFSET($H$3,0,0,'Données projet'!$E$11+1,1))</f>
        <v>158.58786357608489</v>
      </c>
      <c r="BJ131" s="59">
        <f t="shared" si="92"/>
        <v>163.20074068819849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0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>
        <f>BY131*VLOOKUP('Données projet'!$B$12,Paramètres!$A$1:$I$89,3,0)*VLOOKUP('Données projet'!$B$12,Paramètres!$A$1:$I$89,5,0)</f>
        <v>0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255.41017495879987</v>
      </c>
      <c r="CE131" s="59">
        <f t="shared" si="94"/>
        <v>297.50513563712764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1.1980901298779554</v>
      </c>
      <c r="CL131" s="21">
        <f>EXP(-LN(2)/25)*CL130+(1-EXP(-LN(2)/25))/(LN(2)/25)*Calculateur!CG131*Calculateur!CI131*VLOOKUP('Données projet'!$B$12,Paramètres!$A$1:$I$89,3,0)*0.475*44/12</f>
        <v>1.8411845598362815</v>
      </c>
      <c r="CM131" s="21">
        <f>EXP(-LN(2)/2)*CM130+(1-EXP(-LN(2)/2))/(LN(2)/2)*CG131*CJ131*VLOOKUP('Données projet'!$B$12,Paramètres!$A$1:$I$89,3,0)*0.475*44/12</f>
        <v>4.3345222765566191E-14</v>
      </c>
      <c r="CN131" s="22">
        <f t="shared" si="66"/>
        <v>3.0392746897142802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-1.4210854715202004E-13</v>
      </c>
      <c r="CU131" s="17">
        <f>CT131*VLOOKUP('Données projet'!$B$13,Paramètres!$A$1:$I$89,3,0)*VLOOKUP('Données projet'!$B$13,Paramètres!$A$1:$I$89,5,0)</f>
        <v>-8.128608897095547E-14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134.70214882504786</v>
      </c>
      <c r="CZ131" s="59">
        <f t="shared" si="96"/>
        <v>102.18553029667771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0.15263298245623647</v>
      </c>
      <c r="DG131" s="21">
        <f>EXP(-LN(2)/25)*DG130+(1-EXP(-LN(2)/25))/(LN(2)/25)*Calculateur!DB131*Calculateur!DD131*VLOOKUP('Données projet'!$B$13,Paramètres!$A$1:$I$89,3,0)*0.475*44/12</f>
        <v>0.8290752652656711</v>
      </c>
      <c r="DH131" s="21">
        <f>EXP(-LN(2)/2)*DH130+(1-EXP(-LN(2)/2))/(LN(2)/2)*DB131*DE131*VLOOKUP('Données projet'!$B$13,Paramètres!$A$1:$I$89,3,0)*0.475*44/12</f>
        <v>1.368842181119147E-14</v>
      </c>
      <c r="DI131" s="22">
        <f t="shared" si="69"/>
        <v>0.98170824772192122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-2.8421709430404007E-13</v>
      </c>
      <c r="DP131" s="17">
        <f>DO131*VLOOKUP('Données projet'!$B$14,Paramètres!$A$1:$I$89,3,0)*VLOOKUP('Données projet'!$B$14,Paramètres!$A$1:$I$89,5,0)</f>
        <v>-1.69961822393816E-13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179.32848817523677</v>
      </c>
      <c r="DU131" s="59">
        <f t="shared" si="98"/>
        <v>131.3292389103035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</v>
      </c>
      <c r="EB131" s="21">
        <f>EXP(-LN(2)/25)*EB130+(1-EXP(-LN(2)/25))/(LN(2)/25)*Calculateur!DW131*Calculateur!DY131*VLOOKUP('Données projet'!$B$14,Paramètres!$A$1:$I$89,3,0)*0.475*44/12</f>
        <v>0.87072379612153861</v>
      </c>
      <c r="EC131" s="21">
        <f>EXP(-LN(2)/2)*EC130+(1-EXP(-LN(2)/2))/(LN(2)/2)*DW131*DZ131*VLOOKUP('Données projet'!$B$14,Paramètres!$A$1:$I$89,3,0)*0.475*44/12</f>
        <v>9.3487340131400751E-15</v>
      </c>
      <c r="ED131" s="22">
        <f t="shared" si="72"/>
        <v>0.87072379612154793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-2.2737367544323206E-13</v>
      </c>
      <c r="EK131" s="17">
        <f>EJ131*VLOOKUP('Données projet'!$B$15,Paramètres!$A$1:$I$89,3,0)*VLOOKUP('Données projet'!$B$15,Paramètres!$A$1:$I$89,5,0)</f>
        <v>-1.0049916454590858E-13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191.932060106699</v>
      </c>
      <c r="EP131" s="59">
        <f t="shared" si="100"/>
        <v>260.28593152736903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0.35082512926908005</v>
      </c>
      <c r="EW131" s="21">
        <f>EXP(-LN(2)/25)*EW130+(1-EXP(-LN(2)/25))/(LN(2)/25)*Calculateur!ER131*Calculateur!ET131*VLOOKUP('Données projet'!$B$15,Paramètres!$A$1:$I$89,3,0)*0.475*44/12</f>
        <v>0.83370578824526864</v>
      </c>
      <c r="EX131" s="21">
        <f>EXP(-LN(2)/2)*EX130+(1-EXP(-LN(2)/2))/(LN(2)/2)*ER131*EU131*VLOOKUP('Données projet'!$B$15,Paramètres!$A$1:$I$89,3,0)*0.475*44/12</f>
        <v>2.3774334728872576E-15</v>
      </c>
      <c r="EY131" s="22">
        <f t="shared" si="75"/>
        <v>1.184530917514351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181.00000000000009</v>
      </c>
      <c r="FF131" s="17">
        <f>FE131*VLOOKUP('Données projet'!$B$16,Paramètres!$A$1:$I$89,3,0)*VLOOKUP('Données projet'!$B$16,Paramètres!$A$1:$I$89,5,0)</f>
        <v>175.06320000000008</v>
      </c>
      <c r="FG131" s="13">
        <f t="shared" si="101"/>
        <v>44.222067746824763</v>
      </c>
      <c r="FH131" s="20">
        <f t="shared" si="76"/>
        <v>381.92184132571992</v>
      </c>
      <c r="FI131" s="59">
        <f t="shared" si="77"/>
        <v>675.25517465905318</v>
      </c>
      <c r="FJ131" s="59">
        <f ca="1">AVERAGE(OFFSET($FI$3,0,0,'Données projet'!$E$16+1,1))-AVERAGE(OFFSET($H$3,0,0,'Données projet'!$E$16+1,1))</f>
        <v>102.86738524979938</v>
      </c>
      <c r="FK131" s="59">
        <f t="shared" si="102"/>
        <v>56.347130462109817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0</v>
      </c>
      <c r="FR131" s="21">
        <f>EXP(-LN(2)/25)*FR130+(1-EXP(-LN(2)/25))/(LN(2)/25)*Calculateur!FM131*Calculateur!FO131*VLOOKUP('Données projet'!$B$16,Paramètres!$A$1:$I$89,3,0)*0.475*44/12</f>
        <v>0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0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300.00000000000068</v>
      </c>
      <c r="GA131" s="17">
        <f>FZ131*VLOOKUP('Données projet'!$B$17,Paramètres!$A$1:$I$89,3,0)*VLOOKUP('Données projet'!$B$17,Paramètres!$A$1:$I$89,5,0)</f>
        <v>201.24000000000046</v>
      </c>
      <c r="GB131" s="13">
        <f t="shared" si="103"/>
        <v>50.01658408633331</v>
      </c>
      <c r="GC131" s="20">
        <f t="shared" si="79"/>
        <v>437.60521728369798</v>
      </c>
      <c r="GD131" s="59">
        <f t="shared" si="80"/>
        <v>730.9385506170313</v>
      </c>
      <c r="GE131" s="59">
        <f ca="1">AVERAGE(OFFSET($GD$3,0,0,'Données projet'!$E$17+1,1))-AVERAGE(OFFSET($H$3,0,0,'Données projet'!$E$17+1,1))</f>
        <v>168.00454652899231</v>
      </c>
      <c r="GF131" s="59">
        <f t="shared" si="104"/>
        <v>135.31958994080446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0</v>
      </c>
      <c r="GM131" s="21">
        <f>EXP(-LN(2)/25)*GM130+(1-EXP(-LN(2)/25))/(LN(2)/25)*Calculateur!GH131*Calculateur!GJ131*VLOOKUP('Données projet'!$B$17,Paramètres!$A$1:$I$89,3,0)*0.475*44/12</f>
        <v>0</v>
      </c>
      <c r="GN131" s="21">
        <f>EXP(-LN(2)/2)*GN130+(1-EXP(-LN(2)/2))/(LN(2)/2)*GH131*GK131*VLOOKUP('Données projet'!$B$17,Paramètres!$A$1:$I$89,3,0)*0.475*44/12</f>
        <v>0</v>
      </c>
      <c r="GO131" s="21">
        <f t="shared" si="81"/>
        <v>0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1.5064102564102591</v>
      </c>
      <c r="N132" s="13">
        <f>IF('Données projet'!$A$36&gt;35,N131+M132-V131,IF(A132&lt;'Données projet'!$A$36,$K$205^A132,IF(A132='Données projet'!$A$36,'Données projet'!$B$36,N131+M132-V131)))</f>
        <v>107.89743589743634</v>
      </c>
      <c r="O132" s="13">
        <f>N132*VLOOKUP('Données projet'!$B$9,Paramètres!$A$1:$I$89,3,0)*VLOOKUP('Données projet'!$B$9,Paramètres!$A$1:$I$89,5,0)</f>
        <v>97.625600000000389</v>
      </c>
      <c r="P132" s="13">
        <f t="shared" si="87"/>
        <v>26.395540798282429</v>
      </c>
      <c r="Q132" s="20">
        <f t="shared" si="108"/>
        <v>216.00348689034254</v>
      </c>
      <c r="R132" s="59">
        <f t="shared" si="109"/>
        <v>509.33682022367589</v>
      </c>
      <c r="S132" s="59">
        <f ca="1">AVERAGE(OFFSET($R$3,0,0,'Données projet'!$E$9+1,1))-AVERAGE(OFFSET($H$3,0,0,'Données projet'!$E$9+1,1))</f>
        <v>221.7429870520005</v>
      </c>
      <c r="T132" s="59">
        <f t="shared" si="88"/>
        <v>182.2029938397186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0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5.2446581196581219</v>
      </c>
      <c r="AI132" s="13">
        <f>IF('Données projet'!$A$62&gt;35,AI131+AH132-AQ131,IF(A132&lt;'Données projet'!$A$62,$AF$205^A132,IF(A132='Données projet'!$A$62,'Données projet'!$B$62,AI131+AH132-AQ131)))</f>
        <v>251.11324786324738</v>
      </c>
      <c r="AJ132" s="13">
        <f>AI132*VLOOKUP('Données projet'!$B$10,Paramètres!$A$1:$I$89,3,0)*VLOOKUP('Données projet'!$B$10,Paramètres!$A$1:$I$89,5,0)</f>
        <v>227.20726666666624</v>
      </c>
      <c r="AK132" s="13">
        <f t="shared" si="89"/>
        <v>55.678398616153615</v>
      </c>
      <c r="AL132" s="20">
        <f t="shared" ref="AL132:AL153" si="112">(AJ132+AK132)*0.475*44/12</f>
        <v>492.69253370091127</v>
      </c>
      <c r="AM132" s="59">
        <f t="shared" ref="AM132:AM195" si="113">AL132+(AD132+AE132)*44/12</f>
        <v>786.02586703424458</v>
      </c>
      <c r="AN132" s="59">
        <f ca="1">AVERAGE(OFFSET($AM$3,0,0,'Données projet'!$E$10+1,1))-AVERAGE(OFFSET($H$3,0,0,'Données projet'!$E$10+1,1))</f>
        <v>153.45079678708987</v>
      </c>
      <c r="AO132" s="59">
        <f t="shared" si="90"/>
        <v>115.4217868409637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0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3.4106051316484809E-13</v>
      </c>
      <c r="BE132" s="13">
        <f>BD132*VLOOKUP('Données projet'!$B$11,Paramètres!$A$1:$I$89,3,0)*VLOOKUP('Données projet'!$B$11,Paramètres!$A$1:$I$89,5,0)</f>
        <v>1.5961632016114892E-13</v>
      </c>
      <c r="BF132" s="13">
        <f t="shared" si="91"/>
        <v>2.2708641912150958E-12</v>
      </c>
      <c r="BG132" s="20">
        <f t="shared" ref="BG132:BG153" si="115">(BE132+BF132)*0.475*44/12</f>
        <v>4.2330868906469593E-12</v>
      </c>
      <c r="BH132" s="59">
        <f t="shared" ref="BH132:BH195" si="116">BG132+(AY132+AZ132)*44/12</f>
        <v>293.33333333333752</v>
      </c>
      <c r="BI132" s="59">
        <f ca="1">AVERAGE(OFFSET($BH$3,0,0,'Données projet'!$E$11+1,1))-AVERAGE(OFFSET($H$3,0,0,'Données projet'!$E$11+1,1))</f>
        <v>158.58786357608489</v>
      </c>
      <c r="BJ132" s="59">
        <f t="shared" si="92"/>
        <v>163.20074068819849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0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>
        <f>BY132*VLOOKUP('Données projet'!$B$12,Paramètres!$A$1:$I$89,3,0)*VLOOKUP('Données projet'!$B$12,Paramètres!$A$1:$I$89,5,0)</f>
        <v>0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255.41017495879987</v>
      </c>
      <c r="CE132" s="59">
        <f t="shared" si="94"/>
        <v>297.50513563712764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1.174596313193871</v>
      </c>
      <c r="CL132" s="21">
        <f>EXP(-LN(2)/25)*CL131+(1-EXP(-LN(2)/25))/(LN(2)/25)*Calculateur!CG132*Calculateur!CI132*VLOOKUP('Données projet'!$B$12,Paramètres!$A$1:$I$89,3,0)*0.475*44/12</f>
        <v>1.7908372712238705</v>
      </c>
      <c r="CM132" s="21">
        <f>EXP(-LN(2)/2)*CM131+(1-EXP(-LN(2)/2))/(LN(2)/2)*CG132*CJ132*VLOOKUP('Données projet'!$B$12,Paramètres!$A$1:$I$89,3,0)*0.475*44/12</f>
        <v>3.0649700949573371E-14</v>
      </c>
      <c r="CN132" s="22">
        <f t="shared" ref="CN132:CN153" si="120">SUM(CK132:CM132)</f>
        <v>2.9654335844177724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-1.4210854715202004E-13</v>
      </c>
      <c r="CU132" s="17">
        <f>CT132*VLOOKUP('Données projet'!$B$13,Paramètres!$A$1:$I$89,3,0)*VLOOKUP('Données projet'!$B$13,Paramètres!$A$1:$I$89,5,0)</f>
        <v>-8.128608897095547E-14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134.70214882504786</v>
      </c>
      <c r="CZ132" s="59">
        <f t="shared" si="96"/>
        <v>102.18553029667771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0.14963994276719642</v>
      </c>
      <c r="DG132" s="21">
        <f>EXP(-LN(2)/25)*DG131+(1-EXP(-LN(2)/25))/(LN(2)/25)*Calculateur!DB132*Calculateur!DD132*VLOOKUP('Données projet'!$B$13,Paramètres!$A$1:$I$89,3,0)*0.475*44/12</f>
        <v>0.806404158537808</v>
      </c>
      <c r="DH132" s="21">
        <f>EXP(-LN(2)/2)*DH131+(1-EXP(-LN(2)/2))/(LN(2)/2)*DB132*DE132*VLOOKUP('Données projet'!$B$13,Paramètres!$A$1:$I$89,3,0)*0.475*44/12</f>
        <v>9.6791758864353312E-15</v>
      </c>
      <c r="DI132" s="22">
        <f t="shared" ref="DI132:DI153" si="123">SUM(DF132:DH132)</f>
        <v>0.95604410130501405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-2.8421709430404007E-13</v>
      </c>
      <c r="DP132" s="17">
        <f>DO132*VLOOKUP('Données projet'!$B$14,Paramètres!$A$1:$I$89,3,0)*VLOOKUP('Données projet'!$B$14,Paramètres!$A$1:$I$89,5,0)</f>
        <v>-1.69961822393816E-13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179.32848817523677</v>
      </c>
      <c r="DU132" s="59">
        <f t="shared" si="98"/>
        <v>131.3292389103035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</v>
      </c>
      <c r="EB132" s="21">
        <f>EXP(-LN(2)/25)*EB131+(1-EXP(-LN(2)/25))/(LN(2)/25)*Calculateur!DW132*Calculateur!DY132*VLOOKUP('Données projet'!$B$14,Paramètres!$A$1:$I$89,3,0)*0.475*44/12</f>
        <v>0.84691380812722072</v>
      </c>
      <c r="EC132" s="21">
        <f>EXP(-LN(2)/2)*EC131+(1-EXP(-LN(2)/2))/(LN(2)/2)*DW132*DZ132*VLOOKUP('Données projet'!$B$14,Paramètres!$A$1:$I$89,3,0)*0.475*44/12</f>
        <v>6.6105532162006734E-15</v>
      </c>
      <c r="ED132" s="22">
        <f t="shared" ref="ED132:ED153" si="126">SUM(EA132:EC132)</f>
        <v>0.84691380812722739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-2.2737367544323206E-13</v>
      </c>
      <c r="EK132" s="17">
        <f>EJ132*VLOOKUP('Données projet'!$B$15,Paramètres!$A$1:$I$89,3,0)*VLOOKUP('Données projet'!$B$15,Paramètres!$A$1:$I$89,5,0)</f>
        <v>-1.0049916454590858E-13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191.932060106699</v>
      </c>
      <c r="EP132" s="59">
        <f t="shared" si="100"/>
        <v>260.28593152736903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0.34394566246631325</v>
      </c>
      <c r="EW132" s="21">
        <f>EXP(-LN(2)/25)*EW131+(1-EXP(-LN(2)/25))/(LN(2)/25)*Calculateur!ER132*Calculateur!ET132*VLOOKUP('Données projet'!$B$15,Paramètres!$A$1:$I$89,3,0)*0.475*44/12</f>
        <v>0.81090805962301982</v>
      </c>
      <c r="EX132" s="21">
        <f>EXP(-LN(2)/2)*EX131+(1-EXP(-LN(2)/2))/(LN(2)/2)*ER132*EU132*VLOOKUP('Données projet'!$B$15,Paramètres!$A$1:$I$89,3,0)*0.475*44/12</f>
        <v>1.6810993304984638E-15</v>
      </c>
      <c r="EY132" s="22">
        <f t="shared" ref="EY132:EY153" si="129">SUM(EV132:EX132)</f>
        <v>1.1548537220893349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181.00000000000009</v>
      </c>
      <c r="FF132" s="17">
        <f>FE132*VLOOKUP('Données projet'!$B$16,Paramètres!$A$1:$I$89,3,0)*VLOOKUP('Données projet'!$B$16,Paramètres!$A$1:$I$89,5,0)</f>
        <v>175.06320000000008</v>
      </c>
      <c r="FG132" s="13">
        <f t="shared" si="101"/>
        <v>44.222067746824763</v>
      </c>
      <c r="FH132" s="20">
        <f t="shared" ref="FH132:FH153" si="130">(FF132+FG132)*0.475*44/12</f>
        <v>381.92184132571992</v>
      </c>
      <c r="FI132" s="59">
        <f t="shared" ref="FI132:FI195" si="131">FH132+(EZ132+FA132)*44/12</f>
        <v>675.25517465905318</v>
      </c>
      <c r="FJ132" s="59">
        <f ca="1">AVERAGE(OFFSET($FI$3,0,0,'Données projet'!$E$16+1,1))-AVERAGE(OFFSET($H$3,0,0,'Données projet'!$E$16+1,1))</f>
        <v>102.86738524979938</v>
      </c>
      <c r="FK132" s="59">
        <f t="shared" si="102"/>
        <v>56.347130462109817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0</v>
      </c>
      <c r="FR132" s="21">
        <f>EXP(-LN(2)/25)*FR131+(1-EXP(-LN(2)/25))/(LN(2)/25)*Calculateur!FM132*Calculateur!FO132*VLOOKUP('Données projet'!$B$16,Paramètres!$A$1:$I$89,3,0)*0.475*44/12</f>
        <v>0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0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300.00000000000068</v>
      </c>
      <c r="GA132" s="17">
        <f>FZ132*VLOOKUP('Données projet'!$B$17,Paramètres!$A$1:$I$89,3,0)*VLOOKUP('Données projet'!$B$17,Paramètres!$A$1:$I$89,5,0)</f>
        <v>201.24000000000046</v>
      </c>
      <c r="GB132" s="13">
        <f t="shared" si="103"/>
        <v>50.01658408633331</v>
      </c>
      <c r="GC132" s="20">
        <f t="shared" ref="GC132:GC153" si="133">(GA132+GB132)*0.475*44/12</f>
        <v>437.60521728369798</v>
      </c>
      <c r="GD132" s="59">
        <f t="shared" ref="GD132:GD195" si="134">GC132+(FU132+FV132)*44/12</f>
        <v>730.9385506170313</v>
      </c>
      <c r="GE132" s="59">
        <f ca="1">AVERAGE(OFFSET($GD$3,0,0,'Données projet'!$E$17+1,1))-AVERAGE(OFFSET($H$3,0,0,'Données projet'!$E$17+1,1))</f>
        <v>168.00454652899231</v>
      </c>
      <c r="GF132" s="59">
        <f t="shared" si="104"/>
        <v>135.31958994080446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0</v>
      </c>
      <c r="GM132" s="21">
        <f>EXP(-LN(2)/25)*GM131+(1-EXP(-LN(2)/25))/(LN(2)/25)*Calculateur!GH132*Calculateur!GJ132*VLOOKUP('Données projet'!$B$17,Paramètres!$A$1:$I$89,3,0)*0.475*44/12</f>
        <v>0</v>
      </c>
      <c r="GN132" s="21">
        <f>EXP(-LN(2)/2)*GN131+(1-EXP(-LN(2)/2))/(LN(2)/2)*GH132*GK132*VLOOKUP('Données projet'!$B$17,Paramètres!$A$1:$I$89,3,0)*0.475*44/12</f>
        <v>0</v>
      </c>
      <c r="GO132" s="21">
        <f t="shared" ref="GO132:GO153" si="135">SUM(GL132:GN132)</f>
        <v>0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1.5064102564102591</v>
      </c>
      <c r="N133" s="13">
        <f>IF('Données projet'!$A$36&gt;35,N132+M133-V132,IF(A133&lt;'Données projet'!$A$36,$K$205^A133,IF(A133='Données projet'!$A$36,'Données projet'!$B$36,N132+M133-V132)))</f>
        <v>109.4038461538466</v>
      </c>
      <c r="O133" s="13">
        <f>N133*VLOOKUP('Données projet'!$B$9,Paramètres!$A$1:$I$89,3,0)*VLOOKUP('Données projet'!$B$9,Paramètres!$A$1:$I$89,5,0)</f>
        <v>98.988600000000403</v>
      </c>
      <c r="P133" s="13">
        <f t="shared" ref="P133:P196" si="141">EXP(-1.0587+0.8836*LN(O133)+0.284)</f>
        <v>26.720903075724081</v>
      </c>
      <c r="Q133" s="20">
        <f t="shared" si="108"/>
        <v>218.94405119022016</v>
      </c>
      <c r="R133" s="59">
        <f t="shared" si="109"/>
        <v>512.27738452355345</v>
      </c>
      <c r="S133" s="59">
        <f ca="1">AVERAGE(OFFSET($R$3,0,0,'Données projet'!$E$9+1,1))-AVERAGE(OFFSET($H$3,0,0,'Données projet'!$E$9+1,1))</f>
        <v>221.7429870520005</v>
      </c>
      <c r="T133" s="59">
        <f t="shared" ref="T133:T196" si="142">$T$3</f>
        <v>182.2029938397186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0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5.2446581196581219</v>
      </c>
      <c r="AI133" s="13">
        <f>IF('Données projet'!$A$62&gt;35,AI132+AH133-AQ132,IF(A133&lt;'Données projet'!$A$62,$AF$205^A133,IF(A133='Données projet'!$A$62,'Données projet'!$B$62,AI132+AH133-AQ132)))</f>
        <v>256.35790598290549</v>
      </c>
      <c r="AJ133" s="13">
        <f>AI133*VLOOKUP('Données projet'!$B$10,Paramètres!$A$1:$I$89,3,0)*VLOOKUP('Données projet'!$B$10,Paramètres!$A$1:$I$89,5,0)</f>
        <v>231.95263333333287</v>
      </c>
      <c r="AK133" s="13">
        <f t="shared" ref="AK133:AK153" si="143">EXP(-1.0587+0.8836*LN(AJ133)+0.284)</f>
        <v>56.704678554548856</v>
      </c>
      <c r="AL133" s="20">
        <f t="shared" si="112"/>
        <v>502.74481820472732</v>
      </c>
      <c r="AM133" s="59">
        <f t="shared" si="113"/>
        <v>796.07815153806064</v>
      </c>
      <c r="AN133" s="59">
        <f ca="1">AVERAGE(OFFSET($AM$3,0,0,'Données projet'!$E$10+1,1))-AVERAGE(OFFSET($H$3,0,0,'Données projet'!$E$10+1,1))</f>
        <v>153.45079678708987</v>
      </c>
      <c r="AO133" s="59">
        <f t="shared" ref="AO133:AO196" si="144">$AO$3</f>
        <v>115.4217868409637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0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3.4106051316484809E-13</v>
      </c>
      <c r="BE133" s="13">
        <f>BD133*VLOOKUP('Données projet'!$B$11,Paramètres!$A$1:$I$89,3,0)*VLOOKUP('Données projet'!$B$11,Paramètres!$A$1:$I$89,5,0)</f>
        <v>1.5961632016114892E-13</v>
      </c>
      <c r="BF133" s="13">
        <f t="shared" ref="BF133:BF153" si="145">EXP(-1.0587+0.8836*LN(BE133)+0.284)</f>
        <v>2.2708641912150958E-12</v>
      </c>
      <c r="BG133" s="20">
        <f t="shared" si="115"/>
        <v>4.2330868906469593E-12</v>
      </c>
      <c r="BH133" s="59">
        <f t="shared" si="116"/>
        <v>293.33333333333752</v>
      </c>
      <c r="BI133" s="59">
        <f ca="1">AVERAGE(OFFSET($BH$3,0,0,'Données projet'!$E$11+1,1))-AVERAGE(OFFSET($H$3,0,0,'Données projet'!$E$11+1,1))</f>
        <v>158.58786357608489</v>
      </c>
      <c r="BJ133" s="59">
        <f t="shared" ref="BJ133:BJ196" si="146">$BJ$3</f>
        <v>163.20074068819849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0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>
        <f>BY133*VLOOKUP('Données projet'!$B$12,Paramètres!$A$1:$I$89,3,0)*VLOOKUP('Données projet'!$B$12,Paramètres!$A$1:$I$89,5,0)</f>
        <v>0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255.41017495879987</v>
      </c>
      <c r="CE133" s="59">
        <f t="shared" ref="CE133:CE196" si="148">$CE$3</f>
        <v>297.50513563712764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1.1515631959251484</v>
      </c>
      <c r="CL133" s="21">
        <f>EXP(-LN(2)/25)*CL132+(1-EXP(-LN(2)/25))/(LN(2)/25)*Calculateur!CG133*Calculateur!CI133*VLOOKUP('Données projet'!$B$12,Paramètres!$A$1:$I$89,3,0)*0.475*44/12</f>
        <v>1.7418667318662147</v>
      </c>
      <c r="CM133" s="21">
        <f>EXP(-LN(2)/2)*CM132+(1-EXP(-LN(2)/2))/(LN(2)/2)*CG133*CJ133*VLOOKUP('Données projet'!$B$12,Paramètres!$A$1:$I$89,3,0)*0.475*44/12</f>
        <v>2.1672611382783096E-14</v>
      </c>
      <c r="CN133" s="22">
        <f t="shared" si="120"/>
        <v>2.8934299277913849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-1.4210854715202004E-13</v>
      </c>
      <c r="CU133" s="17">
        <f>CT133*VLOOKUP('Données projet'!$B$13,Paramètres!$A$1:$I$89,3,0)*VLOOKUP('Données projet'!$B$13,Paramètres!$A$1:$I$89,5,0)</f>
        <v>-8.128608897095547E-14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134.70214882504786</v>
      </c>
      <c r="CZ133" s="59">
        <f t="shared" ref="CZ133:CZ196" si="150">$CZ$3</f>
        <v>102.18553029667771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0.14670559476088449</v>
      </c>
      <c r="DG133" s="21">
        <f>EXP(-LN(2)/25)*DG132+(1-EXP(-LN(2)/25))/(LN(2)/25)*Calculateur!DB133*Calculateur!DD133*VLOOKUP('Données projet'!$B$13,Paramètres!$A$1:$I$89,3,0)*0.475*44/12</f>
        <v>0.78435299441563999</v>
      </c>
      <c r="DH133" s="21">
        <f>EXP(-LN(2)/2)*DH132+(1-EXP(-LN(2)/2))/(LN(2)/2)*DB133*DE133*VLOOKUP('Données projet'!$B$13,Paramètres!$A$1:$I$89,3,0)*0.475*44/12</f>
        <v>6.844210905595735E-15</v>
      </c>
      <c r="DI133" s="22">
        <f t="shared" si="123"/>
        <v>0.93105858917653139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-2.8421709430404007E-13</v>
      </c>
      <c r="DP133" s="17">
        <f>DO133*VLOOKUP('Données projet'!$B$14,Paramètres!$A$1:$I$89,3,0)*VLOOKUP('Données projet'!$B$14,Paramètres!$A$1:$I$89,5,0)</f>
        <v>-1.69961822393816E-13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179.32848817523677</v>
      </c>
      <c r="DU133" s="59">
        <f t="shared" ref="DU133:DU196" si="152">$DU$3</f>
        <v>131.3292389103035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</v>
      </c>
      <c r="EB133" s="21">
        <f>EXP(-LN(2)/25)*EB132+(1-EXP(-LN(2)/25))/(LN(2)/25)*Calculateur!DW133*Calculateur!DY133*VLOOKUP('Données projet'!$B$14,Paramètres!$A$1:$I$89,3,0)*0.475*44/12</f>
        <v>0.82375490550672037</v>
      </c>
      <c r="EC133" s="21">
        <f>EXP(-LN(2)/2)*EC132+(1-EXP(-LN(2)/2))/(LN(2)/2)*DW133*DZ133*VLOOKUP('Données projet'!$B$14,Paramètres!$A$1:$I$89,3,0)*0.475*44/12</f>
        <v>4.6743670065700375E-15</v>
      </c>
      <c r="ED133" s="22">
        <f t="shared" si="126"/>
        <v>0.82375490550672503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-2.2737367544323206E-13</v>
      </c>
      <c r="EK133" s="17">
        <f>EJ133*VLOOKUP('Données projet'!$B$15,Paramètres!$A$1:$I$89,3,0)*VLOOKUP('Données projet'!$B$15,Paramètres!$A$1:$I$89,5,0)</f>
        <v>-1.0049916454590858E-13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191.932060106699</v>
      </c>
      <c r="EP133" s="59">
        <f t="shared" ref="EP133:EP196" si="154">$EP$3</f>
        <v>260.28593152736903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0.33720109781148827</v>
      </c>
      <c r="EW133" s="21">
        <f>EXP(-LN(2)/25)*EW132+(1-EXP(-LN(2)/25))/(LN(2)/25)*Calculateur!ER133*Calculateur!ET133*VLOOKUP('Données projet'!$B$15,Paramètres!$A$1:$I$89,3,0)*0.475*44/12</f>
        <v>0.7887337360888268</v>
      </c>
      <c r="EX133" s="21">
        <f>EXP(-LN(2)/2)*EX132+(1-EXP(-LN(2)/2))/(LN(2)/2)*ER133*EU133*VLOOKUP('Données projet'!$B$15,Paramètres!$A$1:$I$89,3,0)*0.475*44/12</f>
        <v>1.1887167364436288E-15</v>
      </c>
      <c r="EY133" s="22">
        <f t="shared" si="129"/>
        <v>1.1259348339003161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181.00000000000009</v>
      </c>
      <c r="FF133" s="17">
        <f>FE133*VLOOKUP('Données projet'!$B$16,Paramètres!$A$1:$I$89,3,0)*VLOOKUP('Données projet'!$B$16,Paramètres!$A$1:$I$89,5,0)</f>
        <v>175.06320000000008</v>
      </c>
      <c r="FG133" s="13">
        <f t="shared" ref="FG133:FG153" si="155">EXP(-1.0587+0.8836*LN(FF133)+0.284)</f>
        <v>44.222067746824763</v>
      </c>
      <c r="FH133" s="20">
        <f t="shared" si="130"/>
        <v>381.92184132571992</v>
      </c>
      <c r="FI133" s="59">
        <f t="shared" si="131"/>
        <v>675.25517465905318</v>
      </c>
      <c r="FJ133" s="59">
        <f ca="1">AVERAGE(OFFSET($FI$3,0,0,'Données projet'!$E$16+1,1))-AVERAGE(OFFSET($H$3,0,0,'Données projet'!$E$16+1,1))</f>
        <v>102.86738524979938</v>
      </c>
      <c r="FK133" s="59">
        <f t="shared" ref="FK133:FK196" si="156">$FK$3</f>
        <v>56.347130462109817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0</v>
      </c>
      <c r="FR133" s="21">
        <f>EXP(-LN(2)/25)*FR132+(1-EXP(-LN(2)/25))/(LN(2)/25)*Calculateur!FM133*Calculateur!FO133*VLOOKUP('Données projet'!$B$16,Paramètres!$A$1:$I$89,3,0)*0.475*44/12</f>
        <v>0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0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300.00000000000068</v>
      </c>
      <c r="GA133" s="17">
        <f>FZ133*VLOOKUP('Données projet'!$B$17,Paramètres!$A$1:$I$89,3,0)*VLOOKUP('Données projet'!$B$17,Paramètres!$A$1:$I$89,5,0)</f>
        <v>201.24000000000046</v>
      </c>
      <c r="GB133" s="13">
        <f t="shared" ref="GB133:GB153" si="157">EXP(-1.0587+0.8836*LN(GA133)+0.284)</f>
        <v>50.01658408633331</v>
      </c>
      <c r="GC133" s="20">
        <f t="shared" si="133"/>
        <v>437.60521728369798</v>
      </c>
      <c r="GD133" s="59">
        <f t="shared" si="134"/>
        <v>730.9385506170313</v>
      </c>
      <c r="GE133" s="59">
        <f ca="1">AVERAGE(OFFSET($GD$3,0,0,'Données projet'!$E$17+1,1))-AVERAGE(OFFSET($H$3,0,0,'Données projet'!$E$17+1,1))</f>
        <v>168.00454652899231</v>
      </c>
      <c r="GF133" s="59">
        <f t="shared" ref="GF133:GF196" si="158">$GF$3</f>
        <v>135.31958994080446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0</v>
      </c>
      <c r="GM133" s="21">
        <f>EXP(-LN(2)/25)*GM132+(1-EXP(-LN(2)/25))/(LN(2)/25)*Calculateur!GH133*Calculateur!GJ133*VLOOKUP('Données projet'!$B$17,Paramètres!$A$1:$I$89,3,0)*0.475*44/12</f>
        <v>0</v>
      </c>
      <c r="GN133" s="21">
        <f>EXP(-LN(2)/2)*GN132+(1-EXP(-LN(2)/2))/(LN(2)/2)*GH133*GK133*VLOOKUP('Données projet'!$B$17,Paramètres!$A$1:$I$89,3,0)*0.475*44/12</f>
        <v>0</v>
      </c>
      <c r="GO133" s="21">
        <f t="shared" si="135"/>
        <v>0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>
        <f>VLOOKUP(A134,'Données projet'!$A$35:$I$55,2,0)</f>
        <v>110.91025641025641</v>
      </c>
      <c r="L134" s="12">
        <f>VLOOKUP(A134,'Données projet'!$A$35:$I$55,9,0)</f>
        <v>1.5064102564102591</v>
      </c>
      <c r="M134" s="12">
        <f t="array" ref="M134">INDEX(L:L,MIN(IF(ISNUMBER(L134:L330),ROW(L134:L330),"")))</f>
        <v>1.5064102564102591</v>
      </c>
      <c r="N134" s="13">
        <f>IF('Données projet'!$A$36&gt;35,N133+M134-V133,IF(A134&lt;'Données projet'!$A$36,$K$205^A134,IF(A134='Données projet'!$A$36,'Données projet'!$B$36,N133+M134-V133)))</f>
        <v>110.91025641025686</v>
      </c>
      <c r="O134" s="13">
        <f>N134*VLOOKUP('Données projet'!$B$9,Paramètres!$A$1:$I$89,3,0)*VLOOKUP('Données projet'!$B$9,Paramètres!$A$1:$I$89,5,0)</f>
        <v>100.3516000000004</v>
      </c>
      <c r="P134" s="13">
        <f t="shared" si="141"/>
        <v>27.045744281593805</v>
      </c>
      <c r="Q134" s="20">
        <f t="shared" si="108"/>
        <v>221.88370795710989</v>
      </c>
      <c r="R134" s="59">
        <f t="shared" si="109"/>
        <v>515.21704129044315</v>
      </c>
      <c r="S134" s="59">
        <f ca="1">AVERAGE(OFFSET($R$3,0,0,'Données projet'!$E$9+1,1))-AVERAGE(OFFSET($H$3,0,0,'Données projet'!$E$9+1,1))</f>
        <v>221.7429870520005</v>
      </c>
      <c r="T134" s="59">
        <f t="shared" si="142"/>
        <v>182.2029938397186</v>
      </c>
      <c r="U134" s="15">
        <f>IF(ISNA(VLOOKUP(A134,'Données projet'!$A$35:$I$55,3,0)),0,VLOOKUP(A134,'Données projet'!$A$35:$I$55,3,0))</f>
        <v>14</v>
      </c>
      <c r="V134" s="15">
        <f>IF(ISNA(VLOOKUP(A134,'Données projet'!$A$35:$I$55,4,0)),0,VLOOKUP(A134,'Données projet'!$A$35:$I$55,4,0))</f>
        <v>110.91025641025641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0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5.2446581196581219</v>
      </c>
      <c r="AI134" s="13">
        <f>IF('Données projet'!$A$62&gt;35,AI133+AH134-AQ133,IF(A134&lt;'Données projet'!$A$62,$AF$205^A134,IF(A134='Données projet'!$A$62,'Données projet'!$B$62,AI133+AH134-AQ133)))</f>
        <v>261.60256410256363</v>
      </c>
      <c r="AJ134" s="13">
        <f>AI134*VLOOKUP('Données projet'!$B$10,Paramètres!$A$1:$I$89,3,0)*VLOOKUP('Données projet'!$B$10,Paramètres!$A$1:$I$89,5,0)</f>
        <v>236.69799999999958</v>
      </c>
      <c r="AK134" s="13">
        <f t="shared" si="143"/>
        <v>57.728517287605179</v>
      </c>
      <c r="AL134" s="20">
        <f t="shared" si="112"/>
        <v>512.7928509425783</v>
      </c>
      <c r="AM134" s="59">
        <f t="shared" si="113"/>
        <v>806.12618427591156</v>
      </c>
      <c r="AN134" s="59">
        <f ca="1">AVERAGE(OFFSET($AM$3,0,0,'Données projet'!$E$10+1,1))-AVERAGE(OFFSET($H$3,0,0,'Données projet'!$E$10+1,1))</f>
        <v>153.45079678708987</v>
      </c>
      <c r="AO134" s="59">
        <f t="shared" si="144"/>
        <v>115.4217868409637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0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3.4106051316484809E-13</v>
      </c>
      <c r="BE134" s="13">
        <f>BD134*VLOOKUP('Données projet'!$B$11,Paramètres!$A$1:$I$89,3,0)*VLOOKUP('Données projet'!$B$11,Paramètres!$A$1:$I$89,5,0)</f>
        <v>1.5961632016114892E-13</v>
      </c>
      <c r="BF134" s="13">
        <f t="shared" si="145"/>
        <v>2.2708641912150958E-12</v>
      </c>
      <c r="BG134" s="20">
        <f t="shared" si="115"/>
        <v>4.2330868906469593E-12</v>
      </c>
      <c r="BH134" s="59">
        <f t="shared" si="116"/>
        <v>293.33333333333752</v>
      </c>
      <c r="BI134" s="59">
        <f ca="1">AVERAGE(OFFSET($BH$3,0,0,'Données projet'!$E$11+1,1))-AVERAGE(OFFSET($H$3,0,0,'Données projet'!$E$11+1,1))</f>
        <v>158.58786357608489</v>
      </c>
      <c r="BJ134" s="59">
        <f t="shared" si="146"/>
        <v>163.20074068819849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0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>
        <f>BY134*VLOOKUP('Données projet'!$B$12,Paramètres!$A$1:$I$89,3,0)*VLOOKUP('Données projet'!$B$12,Paramètres!$A$1:$I$89,5,0)</f>
        <v>0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255.41017495879987</v>
      </c>
      <c r="CE134" s="59">
        <f t="shared" si="148"/>
        <v>297.50513563712764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1.1289817440372512</v>
      </c>
      <c r="CL134" s="21">
        <f>EXP(-LN(2)/25)*CL133+(1-EXP(-LN(2)/25))/(LN(2)/25)*Calculateur!CG134*Calculateur!CI134*VLOOKUP('Données projet'!$B$12,Paramètres!$A$1:$I$89,3,0)*0.475*44/12</f>
        <v>1.6942352944825427</v>
      </c>
      <c r="CM134" s="21">
        <f>EXP(-LN(2)/2)*CM133+(1-EXP(-LN(2)/2))/(LN(2)/2)*CG134*CJ134*VLOOKUP('Données projet'!$B$12,Paramètres!$A$1:$I$89,3,0)*0.475*44/12</f>
        <v>1.5324850474786685E-14</v>
      </c>
      <c r="CN134" s="22">
        <f t="shared" si="120"/>
        <v>2.8232170385198097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-1.4210854715202004E-13</v>
      </c>
      <c r="CU134" s="17">
        <f>CT134*VLOOKUP('Données projet'!$B$13,Paramètres!$A$1:$I$89,3,0)*VLOOKUP('Données projet'!$B$13,Paramètres!$A$1:$I$89,5,0)</f>
        <v>-8.128608897095547E-14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134.70214882504786</v>
      </c>
      <c r="CZ134" s="59">
        <f t="shared" si="150"/>
        <v>102.18553029667771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0.14382878752920078</v>
      </c>
      <c r="DG134" s="21">
        <f>EXP(-LN(2)/25)*DG133+(1-EXP(-LN(2)/25))/(LN(2)/25)*Calculateur!DB134*Calculateur!DD134*VLOOKUP('Données projet'!$B$13,Paramètres!$A$1:$I$89,3,0)*0.475*44/12</f>
        <v>0.76290482053601305</v>
      </c>
      <c r="DH134" s="21">
        <f>EXP(-LN(2)/2)*DH133+(1-EXP(-LN(2)/2))/(LN(2)/2)*DB134*DE134*VLOOKUP('Données projet'!$B$13,Paramètres!$A$1:$I$89,3,0)*0.475*44/12</f>
        <v>4.8395879432176656E-15</v>
      </c>
      <c r="DI134" s="22">
        <f t="shared" si="123"/>
        <v>0.90673360806521874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-2.8421709430404007E-13</v>
      </c>
      <c r="DP134" s="17">
        <f>DO134*VLOOKUP('Données projet'!$B$14,Paramètres!$A$1:$I$89,3,0)*VLOOKUP('Données projet'!$B$14,Paramètres!$A$1:$I$89,5,0)</f>
        <v>-1.69961822393816E-13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179.32848817523677</v>
      </c>
      <c r="DU134" s="59">
        <f t="shared" si="152"/>
        <v>131.3292389103035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</v>
      </c>
      <c r="EB134" s="21">
        <f>EXP(-LN(2)/25)*EB133+(1-EXP(-LN(2)/25))/(LN(2)/25)*Calculateur!DW134*Calculateur!DY134*VLOOKUP('Données projet'!$B$14,Paramètres!$A$1:$I$89,3,0)*0.475*44/12</f>
        <v>0.80122928429625129</v>
      </c>
      <c r="EC134" s="21">
        <f>EXP(-LN(2)/2)*EC133+(1-EXP(-LN(2)/2))/(LN(2)/2)*DW134*DZ134*VLOOKUP('Données projet'!$B$14,Paramètres!$A$1:$I$89,3,0)*0.475*44/12</f>
        <v>3.3052766081003367E-15</v>
      </c>
      <c r="ED134" s="22">
        <f t="shared" si="126"/>
        <v>0.80122928429625462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-2.2737367544323206E-13</v>
      </c>
      <c r="EK134" s="17">
        <f>EJ134*VLOOKUP('Données projet'!$B$15,Paramètres!$A$1:$I$89,3,0)*VLOOKUP('Données projet'!$B$15,Paramètres!$A$1:$I$89,5,0)</f>
        <v>-1.0049916454590858E-13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191.932060106699</v>
      </c>
      <c r="EP134" s="59">
        <f t="shared" si="154"/>
        <v>260.28593152736903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0.33058878995576618</v>
      </c>
      <c r="EW134" s="21">
        <f>EXP(-LN(2)/25)*EW133+(1-EXP(-LN(2)/25))/(LN(2)/25)*Calculateur!ER134*Calculateur!ET134*VLOOKUP('Données projet'!$B$15,Paramètres!$A$1:$I$89,3,0)*0.475*44/12</f>
        <v>0.76716577059777336</v>
      </c>
      <c r="EX134" s="21">
        <f>EXP(-LN(2)/2)*EX133+(1-EXP(-LN(2)/2))/(LN(2)/2)*ER134*EU134*VLOOKUP('Données projet'!$B$15,Paramètres!$A$1:$I$89,3,0)*0.475*44/12</f>
        <v>8.4054966524923191E-16</v>
      </c>
      <c r="EY134" s="22">
        <f t="shared" si="129"/>
        <v>1.0977545605535404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181.00000000000009</v>
      </c>
      <c r="FF134" s="17">
        <f>FE134*VLOOKUP('Données projet'!$B$16,Paramètres!$A$1:$I$89,3,0)*VLOOKUP('Données projet'!$B$16,Paramètres!$A$1:$I$89,5,0)</f>
        <v>175.06320000000008</v>
      </c>
      <c r="FG134" s="13">
        <f t="shared" si="155"/>
        <v>44.222067746824763</v>
      </c>
      <c r="FH134" s="20">
        <f t="shared" si="130"/>
        <v>381.92184132571992</v>
      </c>
      <c r="FI134" s="59">
        <f t="shared" si="131"/>
        <v>675.25517465905318</v>
      </c>
      <c r="FJ134" s="59">
        <f ca="1">AVERAGE(OFFSET($FI$3,0,0,'Données projet'!$E$16+1,1))-AVERAGE(OFFSET($H$3,0,0,'Données projet'!$E$16+1,1))</f>
        <v>102.86738524979938</v>
      </c>
      <c r="FK134" s="59">
        <f t="shared" si="156"/>
        <v>56.347130462109817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0</v>
      </c>
      <c r="FR134" s="21">
        <f>EXP(-LN(2)/25)*FR133+(1-EXP(-LN(2)/25))/(LN(2)/25)*Calculateur!FM134*Calculateur!FO134*VLOOKUP('Données projet'!$B$16,Paramètres!$A$1:$I$89,3,0)*0.475*44/12</f>
        <v>0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0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300.00000000000068</v>
      </c>
      <c r="GA134" s="17">
        <f>FZ134*VLOOKUP('Données projet'!$B$17,Paramètres!$A$1:$I$89,3,0)*VLOOKUP('Données projet'!$B$17,Paramètres!$A$1:$I$89,5,0)</f>
        <v>201.24000000000046</v>
      </c>
      <c r="GB134" s="13">
        <f t="shared" si="157"/>
        <v>50.01658408633331</v>
      </c>
      <c r="GC134" s="20">
        <f t="shared" si="133"/>
        <v>437.60521728369798</v>
      </c>
      <c r="GD134" s="59">
        <f t="shared" si="134"/>
        <v>730.9385506170313</v>
      </c>
      <c r="GE134" s="59">
        <f ca="1">AVERAGE(OFFSET($GD$3,0,0,'Données projet'!$E$17+1,1))-AVERAGE(OFFSET($H$3,0,0,'Données projet'!$E$17+1,1))</f>
        <v>168.00454652899231</v>
      </c>
      <c r="GF134" s="59">
        <f t="shared" si="158"/>
        <v>135.31958994080446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0</v>
      </c>
      <c r="GM134" s="21">
        <f>EXP(-LN(2)/25)*GM133+(1-EXP(-LN(2)/25))/(LN(2)/25)*Calculateur!GH134*Calculateur!GJ134*VLOOKUP('Données projet'!$B$17,Paramètres!$A$1:$I$89,3,0)*0.475*44/12</f>
        <v>0</v>
      </c>
      <c r="GN134" s="21">
        <f>EXP(-LN(2)/2)*GN133+(1-EXP(-LN(2)/2))/(LN(2)/2)*GH134*GK134*VLOOKUP('Données projet'!$B$17,Paramètres!$A$1:$I$89,3,0)*0.475*44/12</f>
        <v>0</v>
      </c>
      <c r="GO134" s="21">
        <f t="shared" si="135"/>
        <v>0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4.5474735088646412E-13</v>
      </c>
      <c r="O135" s="13">
        <f>N135*VLOOKUP('Données projet'!$B$9,Paramètres!$A$1:$I$89,3,0)*VLOOKUP('Données projet'!$B$9,Paramètres!$A$1:$I$89,5,0)</f>
        <v>4.1145540308207271E-13</v>
      </c>
      <c r="P135" s="13">
        <f t="shared" si="141"/>
        <v>5.2428527960910789E-12</v>
      </c>
      <c r="Q135" s="20">
        <f t="shared" si="108"/>
        <v>9.8479201135599071E-12</v>
      </c>
      <c r="R135" s="59">
        <f t="shared" si="109"/>
        <v>293.33333333334315</v>
      </c>
      <c r="S135" s="59">
        <f ca="1">AVERAGE(OFFSET($R$3,0,0,'Données projet'!$E$9+1,1))-AVERAGE(OFFSET($H$3,0,0,'Données projet'!$E$9+1,1))</f>
        <v>221.7429870520005</v>
      </c>
      <c r="T135" s="59">
        <f t="shared" si="142"/>
        <v>182.2029938397186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0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5.2446581196581219</v>
      </c>
      <c r="AI135" s="13">
        <f>IF('Données projet'!$A$62&gt;35,AI134+AH135-AQ134,IF(A135&lt;'Données projet'!$A$62,$AF$205^A135,IF(A135='Données projet'!$A$62,'Données projet'!$B$62,AI134+AH135-AQ134)))</f>
        <v>266.84722222222177</v>
      </c>
      <c r="AJ135" s="13">
        <f>AI135*VLOOKUP('Données projet'!$B$10,Paramètres!$A$1:$I$89,3,0)*VLOOKUP('Données projet'!$B$10,Paramètres!$A$1:$I$89,5,0)</f>
        <v>241.44336666666626</v>
      </c>
      <c r="AK135" s="13">
        <f t="shared" si="143"/>
        <v>58.749969397569316</v>
      </c>
      <c r="AL135" s="20">
        <f t="shared" si="112"/>
        <v>522.83672697854365</v>
      </c>
      <c r="AM135" s="59">
        <f t="shared" si="113"/>
        <v>816.17006031187702</v>
      </c>
      <c r="AN135" s="59">
        <f ca="1">AVERAGE(OFFSET($AM$3,0,0,'Données projet'!$E$10+1,1))-AVERAGE(OFFSET($H$3,0,0,'Données projet'!$E$10+1,1))</f>
        <v>153.45079678708987</v>
      </c>
      <c r="AO135" s="59">
        <f t="shared" si="144"/>
        <v>115.4217868409637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0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3.4106051316484809E-13</v>
      </c>
      <c r="BE135" s="13">
        <f>BD135*VLOOKUP('Données projet'!$B$11,Paramètres!$A$1:$I$89,3,0)*VLOOKUP('Données projet'!$B$11,Paramètres!$A$1:$I$89,5,0)</f>
        <v>1.5961632016114892E-13</v>
      </c>
      <c r="BF135" s="13">
        <f t="shared" si="145"/>
        <v>2.2708641912150958E-12</v>
      </c>
      <c r="BG135" s="20">
        <f t="shared" si="115"/>
        <v>4.2330868906469593E-12</v>
      </c>
      <c r="BH135" s="59">
        <f t="shared" si="116"/>
        <v>293.33333333333752</v>
      </c>
      <c r="BI135" s="59">
        <f ca="1">AVERAGE(OFFSET($BH$3,0,0,'Données projet'!$E$11+1,1))-AVERAGE(OFFSET($H$3,0,0,'Données projet'!$E$11+1,1))</f>
        <v>158.58786357608489</v>
      </c>
      <c r="BJ135" s="59">
        <f t="shared" si="146"/>
        <v>163.20074068819849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0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>
        <f>BY135*VLOOKUP('Données projet'!$B$12,Paramètres!$A$1:$I$89,3,0)*VLOOKUP('Données projet'!$B$12,Paramètres!$A$1:$I$89,5,0)</f>
        <v>0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255.41017495879987</v>
      </c>
      <c r="CE135" s="59">
        <f t="shared" si="148"/>
        <v>297.50513563712764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1.1068431006475499</v>
      </c>
      <c r="CL135" s="21">
        <f>EXP(-LN(2)/25)*CL134+(1-EXP(-LN(2)/25))/(LN(2)/25)*Calculateur!CG135*Calculateur!CI135*VLOOKUP('Données projet'!$B$12,Paramètres!$A$1:$I$89,3,0)*0.475*44/12</f>
        <v>1.6479063412589556</v>
      </c>
      <c r="CM135" s="21">
        <f>EXP(-LN(2)/2)*CM134+(1-EXP(-LN(2)/2))/(LN(2)/2)*CG135*CJ135*VLOOKUP('Données projet'!$B$12,Paramètres!$A$1:$I$89,3,0)*0.475*44/12</f>
        <v>1.0836305691391548E-14</v>
      </c>
      <c r="CN135" s="22">
        <f t="shared" si="120"/>
        <v>2.7547494419065162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-1.4210854715202004E-13</v>
      </c>
      <c r="CU135" s="17">
        <f>CT135*VLOOKUP('Données projet'!$B$13,Paramètres!$A$1:$I$89,3,0)*VLOOKUP('Données projet'!$B$13,Paramètres!$A$1:$I$89,5,0)</f>
        <v>-8.128608897095547E-14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134.70214882504786</v>
      </c>
      <c r="CZ135" s="59">
        <f t="shared" si="150"/>
        <v>102.18553029667771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0.14100839273265123</v>
      </c>
      <c r="DG135" s="21">
        <f>EXP(-LN(2)/25)*DG134+(1-EXP(-LN(2)/25))/(LN(2)/25)*Calculateur!DB135*Calculateur!DD135*VLOOKUP('Données projet'!$B$13,Paramètres!$A$1:$I$89,3,0)*0.475*44/12</f>
        <v>0.74204314809903493</v>
      </c>
      <c r="DH135" s="21">
        <f>EXP(-LN(2)/2)*DH134+(1-EXP(-LN(2)/2))/(LN(2)/2)*DB135*DE135*VLOOKUP('Données projet'!$B$13,Paramètres!$A$1:$I$89,3,0)*0.475*44/12</f>
        <v>3.4221054527978675E-15</v>
      </c>
      <c r="DI135" s="22">
        <f t="shared" si="123"/>
        <v>0.88305154083168957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-2.8421709430404007E-13</v>
      </c>
      <c r="DP135" s="17">
        <f>DO135*VLOOKUP('Données projet'!$B$14,Paramètres!$A$1:$I$89,3,0)*VLOOKUP('Données projet'!$B$14,Paramètres!$A$1:$I$89,5,0)</f>
        <v>-1.69961822393816E-13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179.32848817523677</v>
      </c>
      <c r="DU135" s="59">
        <f t="shared" si="152"/>
        <v>131.3292389103035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</v>
      </c>
      <c r="EB135" s="21">
        <f>EXP(-LN(2)/25)*EB134+(1-EXP(-LN(2)/25))/(LN(2)/25)*Calculateur!DW135*Calculateur!DY135*VLOOKUP('Données projet'!$B$14,Paramètres!$A$1:$I$89,3,0)*0.475*44/12</f>
        <v>0.7793196273823535</v>
      </c>
      <c r="EC135" s="21">
        <f>EXP(-LN(2)/2)*EC134+(1-EXP(-LN(2)/2))/(LN(2)/2)*DW135*DZ135*VLOOKUP('Données projet'!$B$14,Paramètres!$A$1:$I$89,3,0)*0.475*44/12</f>
        <v>2.3371835032850188E-15</v>
      </c>
      <c r="ED135" s="22">
        <f t="shared" si="126"/>
        <v>0.77931962738235583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-2.2737367544323206E-13</v>
      </c>
      <c r="EK135" s="17">
        <f>EJ135*VLOOKUP('Données projet'!$B$15,Paramètres!$A$1:$I$89,3,0)*VLOOKUP('Données projet'!$B$15,Paramètres!$A$1:$I$89,5,0)</f>
        <v>-1.0049916454590858E-13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191.932060106699</v>
      </c>
      <c r="EP135" s="59">
        <f t="shared" si="154"/>
        <v>260.28593152736903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0.32410614542398525</v>
      </c>
      <c r="EW135" s="21">
        <f>EXP(-LN(2)/25)*EW134+(1-EXP(-LN(2)/25))/(LN(2)/25)*Calculateur!ER135*Calculateur!ET135*VLOOKUP('Données projet'!$B$15,Paramètres!$A$1:$I$89,3,0)*0.475*44/12</f>
        <v>0.74618758225728277</v>
      </c>
      <c r="EX135" s="21">
        <f>EXP(-LN(2)/2)*EX134+(1-EXP(-LN(2)/2))/(LN(2)/2)*ER135*EU135*VLOOKUP('Données projet'!$B$15,Paramètres!$A$1:$I$89,3,0)*0.475*44/12</f>
        <v>5.9435836822181439E-16</v>
      </c>
      <c r="EY135" s="22">
        <f t="shared" si="129"/>
        <v>1.0702937276812687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181.00000000000009</v>
      </c>
      <c r="FF135" s="17">
        <f>FE135*VLOOKUP('Données projet'!$B$16,Paramètres!$A$1:$I$89,3,0)*VLOOKUP('Données projet'!$B$16,Paramètres!$A$1:$I$89,5,0)</f>
        <v>175.06320000000008</v>
      </c>
      <c r="FG135" s="13">
        <f t="shared" si="155"/>
        <v>44.222067746824763</v>
      </c>
      <c r="FH135" s="20">
        <f t="shared" si="130"/>
        <v>381.92184132571992</v>
      </c>
      <c r="FI135" s="59">
        <f t="shared" si="131"/>
        <v>675.25517465905318</v>
      </c>
      <c r="FJ135" s="59">
        <f ca="1">AVERAGE(OFFSET($FI$3,0,0,'Données projet'!$E$16+1,1))-AVERAGE(OFFSET($H$3,0,0,'Données projet'!$E$16+1,1))</f>
        <v>102.86738524979938</v>
      </c>
      <c r="FK135" s="59">
        <f t="shared" si="156"/>
        <v>56.347130462109817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0</v>
      </c>
      <c r="FR135" s="21">
        <f>EXP(-LN(2)/25)*FR134+(1-EXP(-LN(2)/25))/(LN(2)/25)*Calculateur!FM135*Calculateur!FO135*VLOOKUP('Données projet'!$B$16,Paramètres!$A$1:$I$89,3,0)*0.475*44/12</f>
        <v>0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0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300.00000000000068</v>
      </c>
      <c r="GA135" s="17">
        <f>FZ135*VLOOKUP('Données projet'!$B$17,Paramètres!$A$1:$I$89,3,0)*VLOOKUP('Données projet'!$B$17,Paramètres!$A$1:$I$89,5,0)</f>
        <v>201.24000000000046</v>
      </c>
      <c r="GB135" s="13">
        <f t="shared" si="157"/>
        <v>50.01658408633331</v>
      </c>
      <c r="GC135" s="20">
        <f t="shared" si="133"/>
        <v>437.60521728369798</v>
      </c>
      <c r="GD135" s="59">
        <f t="shared" si="134"/>
        <v>730.9385506170313</v>
      </c>
      <c r="GE135" s="59">
        <f ca="1">AVERAGE(OFFSET($GD$3,0,0,'Données projet'!$E$17+1,1))-AVERAGE(OFFSET($H$3,0,0,'Données projet'!$E$17+1,1))</f>
        <v>168.00454652899231</v>
      </c>
      <c r="GF135" s="59">
        <f t="shared" si="158"/>
        <v>135.31958994080446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0</v>
      </c>
      <c r="GM135" s="21">
        <f>EXP(-LN(2)/25)*GM134+(1-EXP(-LN(2)/25))/(LN(2)/25)*Calculateur!GH135*Calculateur!GJ135*VLOOKUP('Données projet'!$B$17,Paramètres!$A$1:$I$89,3,0)*0.475*44/12</f>
        <v>0</v>
      </c>
      <c r="GN135" s="21">
        <f>EXP(-LN(2)/2)*GN134+(1-EXP(-LN(2)/2))/(LN(2)/2)*GH135*GK135*VLOOKUP('Données projet'!$B$17,Paramètres!$A$1:$I$89,3,0)*0.475*44/12</f>
        <v>0</v>
      </c>
      <c r="GO135" s="21">
        <f t="shared" si="135"/>
        <v>0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4.5474735088646412E-13</v>
      </c>
      <c r="O136" s="13">
        <f>N136*VLOOKUP('Données projet'!$B$9,Paramètres!$A$1:$I$89,3,0)*VLOOKUP('Données projet'!$B$9,Paramètres!$A$1:$I$89,5,0)</f>
        <v>4.1145540308207271E-13</v>
      </c>
      <c r="P136" s="13">
        <f t="shared" si="141"/>
        <v>5.2428527960910789E-12</v>
      </c>
      <c r="Q136" s="20">
        <f t="shared" si="108"/>
        <v>9.8479201135599071E-12</v>
      </c>
      <c r="R136" s="59">
        <f t="shared" si="109"/>
        <v>293.33333333334315</v>
      </c>
      <c r="S136" s="59">
        <f ca="1">AVERAGE(OFFSET($R$3,0,0,'Données projet'!$E$9+1,1))-AVERAGE(OFFSET($H$3,0,0,'Données projet'!$E$9+1,1))</f>
        <v>221.7429870520005</v>
      </c>
      <c r="T136" s="59">
        <f t="shared" si="142"/>
        <v>182.2029938397186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0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5.2446581196581219</v>
      </c>
      <c r="AI136" s="13">
        <f>IF('Données projet'!$A$62&gt;35,AI135+AH136-AQ135,IF(A136&lt;'Données projet'!$A$62,$AF$205^A136,IF(A136='Données projet'!$A$62,'Données projet'!$B$62,AI135+AH136-AQ135)))</f>
        <v>272.09188034187991</v>
      </c>
      <c r="AJ136" s="13">
        <f>AI136*VLOOKUP('Données projet'!$B$10,Paramètres!$A$1:$I$89,3,0)*VLOOKUP('Données projet'!$B$10,Paramètres!$A$1:$I$89,5,0)</f>
        <v>246.18873333333292</v>
      </c>
      <c r="AK136" s="13">
        <f t="shared" si="143"/>
        <v>59.769087198438612</v>
      </c>
      <c r="AL136" s="20">
        <f t="shared" si="112"/>
        <v>532.87653742616862</v>
      </c>
      <c r="AM136" s="59">
        <f t="shared" si="113"/>
        <v>826.20987075950188</v>
      </c>
      <c r="AN136" s="59">
        <f ca="1">AVERAGE(OFFSET($AM$3,0,0,'Données projet'!$E$10+1,1))-AVERAGE(OFFSET($H$3,0,0,'Données projet'!$E$10+1,1))</f>
        <v>153.45079678708987</v>
      </c>
      <c r="AO136" s="59">
        <f t="shared" si="144"/>
        <v>115.4217868409637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0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3.4106051316484809E-13</v>
      </c>
      <c r="BE136" s="13">
        <f>BD136*VLOOKUP('Données projet'!$B$11,Paramètres!$A$1:$I$89,3,0)*VLOOKUP('Données projet'!$B$11,Paramètres!$A$1:$I$89,5,0)</f>
        <v>1.5961632016114892E-13</v>
      </c>
      <c r="BF136" s="13">
        <f t="shared" si="145"/>
        <v>2.2708641912150958E-12</v>
      </c>
      <c r="BG136" s="20">
        <f t="shared" si="115"/>
        <v>4.2330868906469593E-12</v>
      </c>
      <c r="BH136" s="59">
        <f t="shared" si="116"/>
        <v>293.33333333333752</v>
      </c>
      <c r="BI136" s="59">
        <f ca="1">AVERAGE(OFFSET($BH$3,0,0,'Données projet'!$E$11+1,1))-AVERAGE(OFFSET($H$3,0,0,'Données projet'!$E$11+1,1))</f>
        <v>158.58786357608489</v>
      </c>
      <c r="BJ136" s="59">
        <f t="shared" si="146"/>
        <v>163.20074068819849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0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>
        <f>BY136*VLOOKUP('Données projet'!$B$12,Paramètres!$A$1:$I$89,3,0)*VLOOKUP('Données projet'!$B$12,Paramètres!$A$1:$I$89,5,0)</f>
        <v>0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255.41017495879987</v>
      </c>
      <c r="CE136" s="59">
        <f t="shared" si="148"/>
        <v>297.50513563712764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1.0851385825514814</v>
      </c>
      <c r="CL136" s="21">
        <f>EXP(-LN(2)/25)*CL135+(1-EXP(-LN(2)/25))/(LN(2)/25)*Calculateur!CG136*Calculateur!CI136*VLOOKUP('Données projet'!$B$12,Paramètres!$A$1:$I$89,3,0)*0.475*44/12</f>
        <v>1.6028442556976013</v>
      </c>
      <c r="CM136" s="21">
        <f>EXP(-LN(2)/2)*CM135+(1-EXP(-LN(2)/2))/(LN(2)/2)*CG136*CJ136*VLOOKUP('Données projet'!$B$12,Paramètres!$A$1:$I$89,3,0)*0.475*44/12</f>
        <v>7.6624252373933427E-15</v>
      </c>
      <c r="CN136" s="22">
        <f t="shared" si="120"/>
        <v>2.68798283824909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-1.4210854715202004E-13</v>
      </c>
      <c r="CU136" s="17">
        <f>CT136*VLOOKUP('Données projet'!$B$13,Paramètres!$A$1:$I$89,3,0)*VLOOKUP('Données projet'!$B$13,Paramètres!$A$1:$I$89,5,0)</f>
        <v>-8.128608897095547E-14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134.70214882504786</v>
      </c>
      <c r="CZ136" s="59">
        <f t="shared" si="150"/>
        <v>102.18553029667771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0.13824330415779104</v>
      </c>
      <c r="DG136" s="21">
        <f>EXP(-LN(2)/25)*DG135+(1-EXP(-LN(2)/25))/(LN(2)/25)*Calculateur!DB136*Calculateur!DD136*VLOOKUP('Données projet'!$B$13,Paramètres!$A$1:$I$89,3,0)*0.475*44/12</f>
        <v>0.72175193919191361</v>
      </c>
      <c r="DH136" s="21">
        <f>EXP(-LN(2)/2)*DH135+(1-EXP(-LN(2)/2))/(LN(2)/2)*DB136*DE136*VLOOKUP('Données projet'!$B$13,Paramètres!$A$1:$I$89,3,0)*0.475*44/12</f>
        <v>2.4197939716088328E-15</v>
      </c>
      <c r="DI136" s="22">
        <f t="shared" si="123"/>
        <v>0.85999524334970712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-2.8421709430404007E-13</v>
      </c>
      <c r="DP136" s="17">
        <f>DO136*VLOOKUP('Données projet'!$B$14,Paramètres!$A$1:$I$89,3,0)*VLOOKUP('Données projet'!$B$14,Paramètres!$A$1:$I$89,5,0)</f>
        <v>-1.69961822393816E-13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179.32848817523677</v>
      </c>
      <c r="DU136" s="59">
        <f t="shared" si="152"/>
        <v>131.3292389103035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</v>
      </c>
      <c r="EB136" s="21">
        <f>EXP(-LN(2)/25)*EB135+(1-EXP(-LN(2)/25))/(LN(2)/25)*Calculateur!DW136*Calculateur!DY136*VLOOKUP('Données projet'!$B$14,Paramètres!$A$1:$I$89,3,0)*0.475*44/12</f>
        <v>0.75800909118894499</v>
      </c>
      <c r="EC136" s="21">
        <f>EXP(-LN(2)/2)*EC135+(1-EXP(-LN(2)/2))/(LN(2)/2)*DW136*DZ136*VLOOKUP('Données projet'!$B$14,Paramètres!$A$1:$I$89,3,0)*0.475*44/12</f>
        <v>1.6526383040501684E-15</v>
      </c>
      <c r="ED136" s="22">
        <f t="shared" si="126"/>
        <v>0.75800909118894666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-2.2737367544323206E-13</v>
      </c>
      <c r="EK136" s="17">
        <f>EJ136*VLOOKUP('Données projet'!$B$15,Paramètres!$A$1:$I$89,3,0)*VLOOKUP('Données projet'!$B$15,Paramètres!$A$1:$I$89,5,0)</f>
        <v>-1.0049916454590858E-13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191.932060106699</v>
      </c>
      <c r="EP136" s="59">
        <f t="shared" si="154"/>
        <v>260.28593152736903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0.31775062159744982</v>
      </c>
      <c r="EW136" s="21">
        <f>EXP(-LN(2)/25)*EW135+(1-EXP(-LN(2)/25))/(LN(2)/25)*Calculateur!ER136*Calculateur!ET136*VLOOKUP('Données projet'!$B$15,Paramètres!$A$1:$I$89,3,0)*0.475*44/12</f>
        <v>0.72578304358015788</v>
      </c>
      <c r="EX136" s="21">
        <f>EXP(-LN(2)/2)*EX135+(1-EXP(-LN(2)/2))/(LN(2)/2)*ER136*EU136*VLOOKUP('Données projet'!$B$15,Paramètres!$A$1:$I$89,3,0)*0.475*44/12</f>
        <v>4.2027483262461595E-16</v>
      </c>
      <c r="EY136" s="22">
        <f t="shared" si="129"/>
        <v>1.0435336651776081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181.00000000000009</v>
      </c>
      <c r="FF136" s="17">
        <f>FE136*VLOOKUP('Données projet'!$B$16,Paramètres!$A$1:$I$89,3,0)*VLOOKUP('Données projet'!$B$16,Paramètres!$A$1:$I$89,5,0)</f>
        <v>175.06320000000008</v>
      </c>
      <c r="FG136" s="13">
        <f t="shared" si="155"/>
        <v>44.222067746824763</v>
      </c>
      <c r="FH136" s="20">
        <f t="shared" si="130"/>
        <v>381.92184132571992</v>
      </c>
      <c r="FI136" s="59">
        <f t="shared" si="131"/>
        <v>675.25517465905318</v>
      </c>
      <c r="FJ136" s="59">
        <f ca="1">AVERAGE(OFFSET($FI$3,0,0,'Données projet'!$E$16+1,1))-AVERAGE(OFFSET($H$3,0,0,'Données projet'!$E$16+1,1))</f>
        <v>102.86738524979938</v>
      </c>
      <c r="FK136" s="59">
        <f t="shared" si="156"/>
        <v>56.347130462109817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0</v>
      </c>
      <c r="FR136" s="21">
        <f>EXP(-LN(2)/25)*FR135+(1-EXP(-LN(2)/25))/(LN(2)/25)*Calculateur!FM136*Calculateur!FO136*VLOOKUP('Données projet'!$B$16,Paramètres!$A$1:$I$89,3,0)*0.475*44/12</f>
        <v>0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0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300.00000000000068</v>
      </c>
      <c r="GA136" s="17">
        <f>FZ136*VLOOKUP('Données projet'!$B$17,Paramètres!$A$1:$I$89,3,0)*VLOOKUP('Données projet'!$B$17,Paramètres!$A$1:$I$89,5,0)</f>
        <v>201.24000000000046</v>
      </c>
      <c r="GB136" s="13">
        <f t="shared" si="157"/>
        <v>50.01658408633331</v>
      </c>
      <c r="GC136" s="20">
        <f t="shared" si="133"/>
        <v>437.60521728369798</v>
      </c>
      <c r="GD136" s="59">
        <f t="shared" si="134"/>
        <v>730.9385506170313</v>
      </c>
      <c r="GE136" s="59">
        <f ca="1">AVERAGE(OFFSET($GD$3,0,0,'Données projet'!$E$17+1,1))-AVERAGE(OFFSET($H$3,0,0,'Données projet'!$E$17+1,1))</f>
        <v>168.00454652899231</v>
      </c>
      <c r="GF136" s="59">
        <f t="shared" si="158"/>
        <v>135.31958994080446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0</v>
      </c>
      <c r="GM136" s="21">
        <f>EXP(-LN(2)/25)*GM135+(1-EXP(-LN(2)/25))/(LN(2)/25)*Calculateur!GH136*Calculateur!GJ136*VLOOKUP('Données projet'!$B$17,Paramètres!$A$1:$I$89,3,0)*0.475*44/12</f>
        <v>0</v>
      </c>
      <c r="GN136" s="21">
        <f>EXP(-LN(2)/2)*GN135+(1-EXP(-LN(2)/2))/(LN(2)/2)*GH136*GK136*VLOOKUP('Données projet'!$B$17,Paramètres!$A$1:$I$89,3,0)*0.475*44/12</f>
        <v>0</v>
      </c>
      <c r="GO136" s="21">
        <f t="shared" si="135"/>
        <v>0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4.5474735088646412E-13</v>
      </c>
      <c r="O137" s="13">
        <f>N137*VLOOKUP('Données projet'!$B$9,Paramètres!$A$1:$I$89,3,0)*VLOOKUP('Données projet'!$B$9,Paramètres!$A$1:$I$89,5,0)</f>
        <v>4.1145540308207271E-13</v>
      </c>
      <c r="P137" s="13">
        <f t="shared" si="141"/>
        <v>5.2428527960910789E-12</v>
      </c>
      <c r="Q137" s="20">
        <f t="shared" si="108"/>
        <v>9.8479201135599071E-12</v>
      </c>
      <c r="R137" s="59">
        <f t="shared" si="109"/>
        <v>293.33333333334315</v>
      </c>
      <c r="S137" s="59">
        <f ca="1">AVERAGE(OFFSET($R$3,0,0,'Données projet'!$E$9+1,1))-AVERAGE(OFFSET($H$3,0,0,'Données projet'!$E$9+1,1))</f>
        <v>221.7429870520005</v>
      </c>
      <c r="T137" s="59">
        <f t="shared" si="142"/>
        <v>182.2029938397186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0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5.2446581196581219</v>
      </c>
      <c r="AI137" s="13">
        <f>IF('Données projet'!$A$62&gt;35,AI136+AH137-AQ136,IF(A137&lt;'Données projet'!$A$62,$AF$205^A137,IF(A137='Données projet'!$A$62,'Données projet'!$B$62,AI136+AH137-AQ136)))</f>
        <v>277.33653846153805</v>
      </c>
      <c r="AJ137" s="13">
        <f>AI137*VLOOKUP('Données projet'!$B$10,Paramètres!$A$1:$I$89,3,0)*VLOOKUP('Données projet'!$B$10,Paramètres!$A$1:$I$89,5,0)</f>
        <v>250.9340999999996</v>
      </c>
      <c r="AK137" s="13">
        <f t="shared" si="143"/>
        <v>60.785920872094742</v>
      </c>
      <c r="AL137" s="20">
        <f t="shared" si="112"/>
        <v>542.91236968556427</v>
      </c>
      <c r="AM137" s="59">
        <f t="shared" si="113"/>
        <v>836.24570301889753</v>
      </c>
      <c r="AN137" s="59">
        <f ca="1">AVERAGE(OFFSET($AM$3,0,0,'Données projet'!$E$10+1,1))-AVERAGE(OFFSET($H$3,0,0,'Données projet'!$E$10+1,1))</f>
        <v>153.45079678708987</v>
      </c>
      <c r="AO137" s="59">
        <f t="shared" si="144"/>
        <v>115.4217868409637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0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3.4106051316484809E-13</v>
      </c>
      <c r="BE137" s="13">
        <f>BD137*VLOOKUP('Données projet'!$B$11,Paramètres!$A$1:$I$89,3,0)*VLOOKUP('Données projet'!$B$11,Paramètres!$A$1:$I$89,5,0)</f>
        <v>1.5961632016114892E-13</v>
      </c>
      <c r="BF137" s="13">
        <f t="shared" si="145"/>
        <v>2.2708641912150958E-12</v>
      </c>
      <c r="BG137" s="20">
        <f t="shared" si="115"/>
        <v>4.2330868906469593E-12</v>
      </c>
      <c r="BH137" s="59">
        <f t="shared" si="116"/>
        <v>293.33333333333752</v>
      </c>
      <c r="BI137" s="59">
        <f ca="1">AVERAGE(OFFSET($BH$3,0,0,'Données projet'!$E$11+1,1))-AVERAGE(OFFSET($H$3,0,0,'Données projet'!$E$11+1,1))</f>
        <v>158.58786357608489</v>
      </c>
      <c r="BJ137" s="59">
        <f t="shared" si="146"/>
        <v>163.20074068819849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0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>
        <f>BY137*VLOOKUP('Données projet'!$B$12,Paramètres!$A$1:$I$89,3,0)*VLOOKUP('Données projet'!$B$12,Paramètres!$A$1:$I$89,5,0)</f>
        <v>0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255.41017495879987</v>
      </c>
      <c r="CE137" s="59">
        <f t="shared" si="148"/>
        <v>297.50513563712764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1.063859676816828</v>
      </c>
      <c r="CL137" s="21">
        <f>EXP(-LN(2)/25)*CL136+(1-EXP(-LN(2)/25))/(LN(2)/25)*Calculateur!CG137*Calculateur!CI137*VLOOKUP('Données projet'!$B$12,Paramètres!$A$1:$I$89,3,0)*0.475*44/12</f>
        <v>1.5590143952356343</v>
      </c>
      <c r="CM137" s="21">
        <f>EXP(-LN(2)/2)*CM136+(1-EXP(-LN(2)/2))/(LN(2)/2)*CG137*CJ137*VLOOKUP('Données projet'!$B$12,Paramètres!$A$1:$I$89,3,0)*0.475*44/12</f>
        <v>5.4181528456957739E-15</v>
      </c>
      <c r="CN137" s="22">
        <f t="shared" si="120"/>
        <v>2.6228740720524675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-1.4210854715202004E-13</v>
      </c>
      <c r="CU137" s="17">
        <f>CT137*VLOOKUP('Données projet'!$B$13,Paramètres!$A$1:$I$89,3,0)*VLOOKUP('Données projet'!$B$13,Paramètres!$A$1:$I$89,5,0)</f>
        <v>-8.128608897095547E-14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134.70214882504786</v>
      </c>
      <c r="CZ137" s="59">
        <f t="shared" si="150"/>
        <v>102.18553029667771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0.13553243728334638</v>
      </c>
      <c r="DG137" s="21">
        <f>EXP(-LN(2)/25)*DG136+(1-EXP(-LN(2)/25))/(LN(2)/25)*Calculateur!DB137*Calculateur!DD137*VLOOKUP('Données projet'!$B$13,Paramètres!$A$1:$I$89,3,0)*0.475*44/12</f>
        <v>0.70201559445942585</v>
      </c>
      <c r="DH137" s="21">
        <f>EXP(-LN(2)/2)*DH136+(1-EXP(-LN(2)/2))/(LN(2)/2)*DB137*DE137*VLOOKUP('Données projet'!$B$13,Paramètres!$A$1:$I$89,3,0)*0.475*44/12</f>
        <v>1.7110527263989338E-15</v>
      </c>
      <c r="DI137" s="22">
        <f t="shared" si="123"/>
        <v>0.83754803174277392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-2.8421709430404007E-13</v>
      </c>
      <c r="DP137" s="17">
        <f>DO137*VLOOKUP('Données projet'!$B$14,Paramètres!$A$1:$I$89,3,0)*VLOOKUP('Données projet'!$B$14,Paramètres!$A$1:$I$89,5,0)</f>
        <v>-1.69961822393816E-13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179.32848817523677</v>
      </c>
      <c r="DU137" s="59">
        <f t="shared" si="152"/>
        <v>131.3292389103035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</v>
      </c>
      <c r="EB137" s="21">
        <f>EXP(-LN(2)/25)*EB136+(1-EXP(-LN(2)/25))/(LN(2)/25)*Calculateur!DW137*Calculateur!DY137*VLOOKUP('Données projet'!$B$14,Paramètres!$A$1:$I$89,3,0)*0.475*44/12</f>
        <v>0.73728129272841769</v>
      </c>
      <c r="EC137" s="21">
        <f>EXP(-LN(2)/2)*EC136+(1-EXP(-LN(2)/2))/(LN(2)/2)*DW137*DZ137*VLOOKUP('Données projet'!$B$14,Paramètres!$A$1:$I$89,3,0)*0.475*44/12</f>
        <v>1.1685917516425094E-15</v>
      </c>
      <c r="ED137" s="22">
        <f t="shared" si="126"/>
        <v>0.73728129272841891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-2.2737367544323206E-13</v>
      </c>
      <c r="EK137" s="17">
        <f>EJ137*VLOOKUP('Données projet'!$B$15,Paramètres!$A$1:$I$89,3,0)*VLOOKUP('Données projet'!$B$15,Paramètres!$A$1:$I$89,5,0)</f>
        <v>-1.0049916454590858E-13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191.932060106699</v>
      </c>
      <c r="EP137" s="59">
        <f t="shared" si="154"/>
        <v>260.28593152736903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0.31151972571666597</v>
      </c>
      <c r="EW137" s="21">
        <f>EXP(-LN(2)/25)*EW136+(1-EXP(-LN(2)/25))/(LN(2)/25)*Calculateur!ER137*Calculateur!ET137*VLOOKUP('Données projet'!$B$15,Paramètres!$A$1:$I$89,3,0)*0.475*44/12</f>
        <v>0.70593646808618704</v>
      </c>
      <c r="EX137" s="21">
        <f>EXP(-LN(2)/2)*EX136+(1-EXP(-LN(2)/2))/(LN(2)/2)*ER137*EU137*VLOOKUP('Données projet'!$B$15,Paramètres!$A$1:$I$89,3,0)*0.475*44/12</f>
        <v>2.971791841109072E-16</v>
      </c>
      <c r="EY137" s="22">
        <f t="shared" si="129"/>
        <v>1.0174561938028532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181.00000000000009</v>
      </c>
      <c r="FF137" s="17">
        <f>FE137*VLOOKUP('Données projet'!$B$16,Paramètres!$A$1:$I$89,3,0)*VLOOKUP('Données projet'!$B$16,Paramètres!$A$1:$I$89,5,0)</f>
        <v>175.06320000000008</v>
      </c>
      <c r="FG137" s="13">
        <f t="shared" si="155"/>
        <v>44.222067746824763</v>
      </c>
      <c r="FH137" s="20">
        <f t="shared" si="130"/>
        <v>381.92184132571992</v>
      </c>
      <c r="FI137" s="59">
        <f t="shared" si="131"/>
        <v>675.25517465905318</v>
      </c>
      <c r="FJ137" s="59">
        <f ca="1">AVERAGE(OFFSET($FI$3,0,0,'Données projet'!$E$16+1,1))-AVERAGE(OFFSET($H$3,0,0,'Données projet'!$E$16+1,1))</f>
        <v>102.86738524979938</v>
      </c>
      <c r="FK137" s="59">
        <f t="shared" si="156"/>
        <v>56.347130462109817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0</v>
      </c>
      <c r="FR137" s="21">
        <f>EXP(-LN(2)/25)*FR136+(1-EXP(-LN(2)/25))/(LN(2)/25)*Calculateur!FM137*Calculateur!FO137*VLOOKUP('Données projet'!$B$16,Paramètres!$A$1:$I$89,3,0)*0.475*44/12</f>
        <v>0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0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300.00000000000068</v>
      </c>
      <c r="GA137" s="17">
        <f>FZ137*VLOOKUP('Données projet'!$B$17,Paramètres!$A$1:$I$89,3,0)*VLOOKUP('Données projet'!$B$17,Paramètres!$A$1:$I$89,5,0)</f>
        <v>201.24000000000046</v>
      </c>
      <c r="GB137" s="13">
        <f t="shared" si="157"/>
        <v>50.01658408633331</v>
      </c>
      <c r="GC137" s="20">
        <f t="shared" si="133"/>
        <v>437.60521728369798</v>
      </c>
      <c r="GD137" s="59">
        <f t="shared" si="134"/>
        <v>730.9385506170313</v>
      </c>
      <c r="GE137" s="59">
        <f ca="1">AVERAGE(OFFSET($GD$3,0,0,'Données projet'!$E$17+1,1))-AVERAGE(OFFSET($H$3,0,0,'Données projet'!$E$17+1,1))</f>
        <v>168.00454652899231</v>
      </c>
      <c r="GF137" s="59">
        <f t="shared" si="158"/>
        <v>135.31958994080446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0</v>
      </c>
      <c r="GM137" s="21">
        <f>EXP(-LN(2)/25)*GM136+(1-EXP(-LN(2)/25))/(LN(2)/25)*Calculateur!GH137*Calculateur!GJ137*VLOOKUP('Données projet'!$B$17,Paramètres!$A$1:$I$89,3,0)*0.475*44/12</f>
        <v>0</v>
      </c>
      <c r="GN137" s="21">
        <f>EXP(-LN(2)/2)*GN136+(1-EXP(-LN(2)/2))/(LN(2)/2)*GH137*GK137*VLOOKUP('Données projet'!$B$17,Paramètres!$A$1:$I$89,3,0)*0.475*44/12</f>
        <v>0</v>
      </c>
      <c r="GO137" s="21">
        <f t="shared" si="135"/>
        <v>0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4.5474735088646412E-13</v>
      </c>
      <c r="O138" s="13">
        <f>N138*VLOOKUP('Données projet'!$B$9,Paramètres!$A$1:$I$89,3,0)*VLOOKUP('Données projet'!$B$9,Paramètres!$A$1:$I$89,5,0)</f>
        <v>4.1145540308207271E-13</v>
      </c>
      <c r="P138" s="13">
        <f t="shared" si="141"/>
        <v>5.2428527960910789E-12</v>
      </c>
      <c r="Q138" s="20">
        <f t="shared" si="108"/>
        <v>9.8479201135599071E-12</v>
      </c>
      <c r="R138" s="59">
        <f t="shared" si="109"/>
        <v>293.33333333334315</v>
      </c>
      <c r="S138" s="59">
        <f ca="1">AVERAGE(OFFSET($R$3,0,0,'Données projet'!$E$9+1,1))-AVERAGE(OFFSET($H$3,0,0,'Données projet'!$E$9+1,1))</f>
        <v>221.7429870520005</v>
      </c>
      <c r="T138" s="59">
        <f t="shared" si="142"/>
        <v>182.2029938397186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0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5.2446581196581219</v>
      </c>
      <c r="AI138" s="13">
        <f>IF('Données projet'!$A$62&gt;35,AI137+AH138-AQ137,IF(A138&lt;'Données projet'!$A$62,$AF$205^A138,IF(A138='Données projet'!$A$62,'Données projet'!$B$62,AI137+AH138-AQ137)))</f>
        <v>282.5811965811962</v>
      </c>
      <c r="AJ138" s="13">
        <f>AI138*VLOOKUP('Données projet'!$B$10,Paramètres!$A$1:$I$89,3,0)*VLOOKUP('Données projet'!$B$10,Paramètres!$A$1:$I$89,5,0)</f>
        <v>255.67946666666631</v>
      </c>
      <c r="AK138" s="13">
        <f t="shared" si="143"/>
        <v>61.800518593848722</v>
      </c>
      <c r="AL138" s="20">
        <f t="shared" si="112"/>
        <v>552.94430766206358</v>
      </c>
      <c r="AM138" s="59">
        <f t="shared" si="113"/>
        <v>846.27764099539695</v>
      </c>
      <c r="AN138" s="59">
        <f ca="1">AVERAGE(OFFSET($AM$3,0,0,'Données projet'!$E$10+1,1))-AVERAGE(OFFSET($H$3,0,0,'Données projet'!$E$10+1,1))</f>
        <v>153.45079678708987</v>
      </c>
      <c r="AO138" s="59">
        <f t="shared" si="144"/>
        <v>115.4217868409637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0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3.4106051316484809E-13</v>
      </c>
      <c r="BE138" s="13">
        <f>BD138*VLOOKUP('Données projet'!$B$11,Paramètres!$A$1:$I$89,3,0)*VLOOKUP('Données projet'!$B$11,Paramètres!$A$1:$I$89,5,0)</f>
        <v>1.5961632016114892E-13</v>
      </c>
      <c r="BF138" s="13">
        <f t="shared" si="145"/>
        <v>2.2708641912150958E-12</v>
      </c>
      <c r="BG138" s="20">
        <f t="shared" si="115"/>
        <v>4.2330868906469593E-12</v>
      </c>
      <c r="BH138" s="59">
        <f t="shared" si="116"/>
        <v>293.33333333333752</v>
      </c>
      <c r="BI138" s="59">
        <f ca="1">AVERAGE(OFFSET($BH$3,0,0,'Données projet'!$E$11+1,1))-AVERAGE(OFFSET($H$3,0,0,'Données projet'!$E$11+1,1))</f>
        <v>158.58786357608489</v>
      </c>
      <c r="BJ138" s="59">
        <f t="shared" si="146"/>
        <v>163.20074068819849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0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>
        <f>BY138*VLOOKUP('Données projet'!$B$12,Paramètres!$A$1:$I$89,3,0)*VLOOKUP('Données projet'!$B$12,Paramètres!$A$1:$I$89,5,0)</f>
        <v>0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255.41017495879987</v>
      </c>
      <c r="CE138" s="59">
        <f t="shared" si="148"/>
        <v>297.50513563712764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1.0429980374447803</v>
      </c>
      <c r="CL138" s="21">
        <f>EXP(-LN(2)/25)*CL137+(1-EXP(-LN(2)/25))/(LN(2)/25)*Calculateur!CG138*Calculateur!CI138*VLOOKUP('Données projet'!$B$12,Paramètres!$A$1:$I$89,3,0)*0.475*44/12</f>
        <v>1.5163830646129119</v>
      </c>
      <c r="CM138" s="21">
        <f>EXP(-LN(2)/2)*CM137+(1-EXP(-LN(2)/2))/(LN(2)/2)*CG138*CJ138*VLOOKUP('Données projet'!$B$12,Paramètres!$A$1:$I$89,3,0)*0.475*44/12</f>
        <v>3.8312126186966713E-15</v>
      </c>
      <c r="CN138" s="22">
        <f t="shared" si="120"/>
        <v>2.5593811020576962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-1.4210854715202004E-13</v>
      </c>
      <c r="CU138" s="17">
        <f>CT138*VLOOKUP('Données projet'!$B$13,Paramètres!$A$1:$I$89,3,0)*VLOOKUP('Données projet'!$B$13,Paramètres!$A$1:$I$89,5,0)</f>
        <v>-8.128608897095547E-14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134.70214882504786</v>
      </c>
      <c r="CZ138" s="59">
        <f t="shared" si="150"/>
        <v>102.18553029667771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0.13287472885484405</v>
      </c>
      <c r="DG138" s="21">
        <f>EXP(-LN(2)/25)*DG137+(1-EXP(-LN(2)/25))/(LN(2)/25)*Calculateur!DB138*Calculateur!DD138*VLOOKUP('Données projet'!$B$13,Paramètres!$A$1:$I$89,3,0)*0.475*44/12</f>
        <v>0.68281894111153718</v>
      </c>
      <c r="DH138" s="21">
        <f>EXP(-LN(2)/2)*DH137+(1-EXP(-LN(2)/2))/(LN(2)/2)*DB138*DE138*VLOOKUP('Données projet'!$B$13,Paramètres!$A$1:$I$89,3,0)*0.475*44/12</f>
        <v>1.2098969858044164E-15</v>
      </c>
      <c r="DI138" s="22">
        <f t="shared" si="123"/>
        <v>0.81569366996638248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-2.8421709430404007E-13</v>
      </c>
      <c r="DP138" s="17">
        <f>DO138*VLOOKUP('Données projet'!$B$14,Paramètres!$A$1:$I$89,3,0)*VLOOKUP('Données projet'!$B$14,Paramètres!$A$1:$I$89,5,0)</f>
        <v>-1.69961822393816E-13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179.32848817523677</v>
      </c>
      <c r="DU138" s="59">
        <f t="shared" si="152"/>
        <v>131.3292389103035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</v>
      </c>
      <c r="EB138" s="21">
        <f>EXP(-LN(2)/25)*EB137+(1-EXP(-LN(2)/25))/(LN(2)/25)*Calculateur!DW138*Calculateur!DY138*VLOOKUP('Données projet'!$B$14,Paramètres!$A$1:$I$89,3,0)*0.475*44/12</f>
        <v>0.71712029700682101</v>
      </c>
      <c r="EC138" s="21">
        <f>EXP(-LN(2)/2)*EC137+(1-EXP(-LN(2)/2))/(LN(2)/2)*DW138*DZ138*VLOOKUP('Données projet'!$B$14,Paramètres!$A$1:$I$89,3,0)*0.475*44/12</f>
        <v>8.2631915202508418E-16</v>
      </c>
      <c r="ED138" s="22">
        <f t="shared" si="126"/>
        <v>0.71712029700682178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-2.2737367544323206E-13</v>
      </c>
      <c r="EK138" s="17">
        <f>EJ138*VLOOKUP('Données projet'!$B$15,Paramètres!$A$1:$I$89,3,0)*VLOOKUP('Données projet'!$B$15,Paramètres!$A$1:$I$89,5,0)</f>
        <v>-1.0049916454590858E-13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191.932060106699</v>
      </c>
      <c r="EP138" s="59">
        <f t="shared" si="154"/>
        <v>260.28593152736903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0.30541101390363307</v>
      </c>
      <c r="EW138" s="21">
        <f>EXP(-LN(2)/25)*EW137+(1-EXP(-LN(2)/25))/(LN(2)/25)*Calculateur!ER138*Calculateur!ET138*VLOOKUP('Données projet'!$B$15,Paramètres!$A$1:$I$89,3,0)*0.475*44/12</f>
        <v>0.68663259824278489</v>
      </c>
      <c r="EX138" s="21">
        <f>EXP(-LN(2)/2)*EX137+(1-EXP(-LN(2)/2))/(LN(2)/2)*ER138*EU138*VLOOKUP('Données projet'!$B$15,Paramètres!$A$1:$I$89,3,0)*0.475*44/12</f>
        <v>2.1013741631230798E-16</v>
      </c>
      <c r="EY138" s="22">
        <f t="shared" si="129"/>
        <v>0.99204361214641823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181.00000000000009</v>
      </c>
      <c r="FF138" s="17">
        <f>FE138*VLOOKUP('Données projet'!$B$16,Paramètres!$A$1:$I$89,3,0)*VLOOKUP('Données projet'!$B$16,Paramètres!$A$1:$I$89,5,0)</f>
        <v>175.06320000000008</v>
      </c>
      <c r="FG138" s="13">
        <f t="shared" si="155"/>
        <v>44.222067746824763</v>
      </c>
      <c r="FH138" s="20">
        <f t="shared" si="130"/>
        <v>381.92184132571992</v>
      </c>
      <c r="FI138" s="59">
        <f t="shared" si="131"/>
        <v>675.25517465905318</v>
      </c>
      <c r="FJ138" s="59">
        <f ca="1">AVERAGE(OFFSET($FI$3,0,0,'Données projet'!$E$16+1,1))-AVERAGE(OFFSET($H$3,0,0,'Données projet'!$E$16+1,1))</f>
        <v>102.86738524979938</v>
      </c>
      <c r="FK138" s="59">
        <f t="shared" si="156"/>
        <v>56.347130462109817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0</v>
      </c>
      <c r="FR138" s="21">
        <f>EXP(-LN(2)/25)*FR137+(1-EXP(-LN(2)/25))/(LN(2)/25)*Calculateur!FM138*Calculateur!FO138*VLOOKUP('Données projet'!$B$16,Paramètres!$A$1:$I$89,3,0)*0.475*44/12</f>
        <v>0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0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300.00000000000068</v>
      </c>
      <c r="GA138" s="17">
        <f>FZ138*VLOOKUP('Données projet'!$B$17,Paramètres!$A$1:$I$89,3,0)*VLOOKUP('Données projet'!$B$17,Paramètres!$A$1:$I$89,5,0)</f>
        <v>201.24000000000046</v>
      </c>
      <c r="GB138" s="13">
        <f t="shared" si="157"/>
        <v>50.01658408633331</v>
      </c>
      <c r="GC138" s="20">
        <f t="shared" si="133"/>
        <v>437.60521728369798</v>
      </c>
      <c r="GD138" s="59">
        <f t="shared" si="134"/>
        <v>730.9385506170313</v>
      </c>
      <c r="GE138" s="59">
        <f ca="1">AVERAGE(OFFSET($GD$3,0,0,'Données projet'!$E$17+1,1))-AVERAGE(OFFSET($H$3,0,0,'Données projet'!$E$17+1,1))</f>
        <v>168.00454652899231</v>
      </c>
      <c r="GF138" s="59">
        <f t="shared" si="158"/>
        <v>135.31958994080446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0</v>
      </c>
      <c r="GM138" s="21">
        <f>EXP(-LN(2)/25)*GM137+(1-EXP(-LN(2)/25))/(LN(2)/25)*Calculateur!GH138*Calculateur!GJ138*VLOOKUP('Données projet'!$B$17,Paramètres!$A$1:$I$89,3,0)*0.475*44/12</f>
        <v>0</v>
      </c>
      <c r="GN138" s="21">
        <f>EXP(-LN(2)/2)*GN137+(1-EXP(-LN(2)/2))/(LN(2)/2)*GH138*GK138*VLOOKUP('Données projet'!$B$17,Paramètres!$A$1:$I$89,3,0)*0.475*44/12</f>
        <v>0</v>
      </c>
      <c r="GO138" s="21">
        <f t="shared" si="135"/>
        <v>0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4.5474735088646412E-13</v>
      </c>
      <c r="O139" s="13">
        <f>N139*VLOOKUP('Données projet'!$B$9,Paramètres!$A$1:$I$89,3,0)*VLOOKUP('Données projet'!$B$9,Paramètres!$A$1:$I$89,5,0)</f>
        <v>4.1145540308207271E-13</v>
      </c>
      <c r="P139" s="13">
        <f t="shared" si="141"/>
        <v>5.2428527960910789E-12</v>
      </c>
      <c r="Q139" s="20">
        <f t="shared" si="108"/>
        <v>9.8479201135599071E-12</v>
      </c>
      <c r="R139" s="59">
        <f t="shared" si="109"/>
        <v>293.33333333334315</v>
      </c>
      <c r="S139" s="59">
        <f ca="1">AVERAGE(OFFSET($R$3,0,0,'Données projet'!$E$9+1,1))-AVERAGE(OFFSET($H$3,0,0,'Données projet'!$E$9+1,1))</f>
        <v>221.7429870520005</v>
      </c>
      <c r="T139" s="59">
        <f t="shared" si="142"/>
        <v>182.2029938397186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0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5.2446581196581219</v>
      </c>
      <c r="AI139" s="13">
        <f>IF('Données projet'!$A$62&gt;35,AI138+AH139-AQ138,IF(A139&lt;'Données projet'!$A$62,$AF$205^A139,IF(A139='Données projet'!$A$62,'Données projet'!$B$62,AI138+AH139-AQ138)))</f>
        <v>287.82585470085434</v>
      </c>
      <c r="AJ139" s="13">
        <f>AI139*VLOOKUP('Données projet'!$B$10,Paramètres!$A$1:$I$89,3,0)*VLOOKUP('Données projet'!$B$10,Paramètres!$A$1:$I$89,5,0)</f>
        <v>260.42483333333297</v>
      </c>
      <c r="AK139" s="13">
        <f t="shared" si="143"/>
        <v>62.81292664840214</v>
      </c>
      <c r="AL139" s="20">
        <f t="shared" si="112"/>
        <v>562.97243196818863</v>
      </c>
      <c r="AM139" s="59">
        <f t="shared" si="113"/>
        <v>856.30576530152189</v>
      </c>
      <c r="AN139" s="59">
        <f ca="1">AVERAGE(OFFSET($AM$3,0,0,'Données projet'!$E$10+1,1))-AVERAGE(OFFSET($H$3,0,0,'Données projet'!$E$10+1,1))</f>
        <v>153.45079678708987</v>
      </c>
      <c r="AO139" s="59">
        <f t="shared" si="144"/>
        <v>115.4217868409637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0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3.4106051316484809E-13</v>
      </c>
      <c r="BE139" s="13">
        <f>BD139*VLOOKUP('Données projet'!$B$11,Paramètres!$A$1:$I$89,3,0)*VLOOKUP('Données projet'!$B$11,Paramètres!$A$1:$I$89,5,0)</f>
        <v>1.5961632016114892E-13</v>
      </c>
      <c r="BF139" s="13">
        <f t="shared" si="145"/>
        <v>2.2708641912150958E-12</v>
      </c>
      <c r="BG139" s="20">
        <f t="shared" si="115"/>
        <v>4.2330868906469593E-12</v>
      </c>
      <c r="BH139" s="59">
        <f t="shared" si="116"/>
        <v>293.33333333333752</v>
      </c>
      <c r="BI139" s="59">
        <f ca="1">AVERAGE(OFFSET($BH$3,0,0,'Données projet'!$E$11+1,1))-AVERAGE(OFFSET($H$3,0,0,'Données projet'!$E$11+1,1))</f>
        <v>158.58786357608489</v>
      </c>
      <c r="BJ139" s="59">
        <f t="shared" si="146"/>
        <v>163.20074068819849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0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>
        <f>BY139*VLOOKUP('Données projet'!$B$12,Paramètres!$A$1:$I$89,3,0)*VLOOKUP('Données projet'!$B$12,Paramètres!$A$1:$I$89,5,0)</f>
        <v>0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255.41017495879987</v>
      </c>
      <c r="CE139" s="59">
        <f t="shared" si="148"/>
        <v>297.50513563712764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1.0225454820964748</v>
      </c>
      <c r="CL139" s="21">
        <f>EXP(-LN(2)/25)*CL138+(1-EXP(-LN(2)/25))/(LN(2)/25)*Calculateur!CG139*Calculateur!CI139*VLOOKUP('Données projet'!$B$12,Paramètres!$A$1:$I$89,3,0)*0.475*44/12</f>
        <v>1.4749174899679522</v>
      </c>
      <c r="CM139" s="21">
        <f>EXP(-LN(2)/2)*CM138+(1-EXP(-LN(2)/2))/(LN(2)/2)*CG139*CJ139*VLOOKUP('Données projet'!$B$12,Paramètres!$A$1:$I$89,3,0)*0.475*44/12</f>
        <v>2.709076422847887E-15</v>
      </c>
      <c r="CN139" s="22">
        <f t="shared" si="120"/>
        <v>2.4974629720644295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-1.4210854715202004E-13</v>
      </c>
      <c r="CU139" s="17">
        <f>CT139*VLOOKUP('Données projet'!$B$13,Paramètres!$A$1:$I$89,3,0)*VLOOKUP('Données projet'!$B$13,Paramètres!$A$1:$I$89,5,0)</f>
        <v>-8.128608897095547E-14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134.70214882504786</v>
      </c>
      <c r="CZ139" s="59">
        <f t="shared" si="150"/>
        <v>102.18553029667771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0.13026913646758256</v>
      </c>
      <c r="DG139" s="21">
        <f>EXP(-LN(2)/25)*DG138+(1-EXP(-LN(2)/25))/(LN(2)/25)*Calculateur!DB139*Calculateur!DD139*VLOOKUP('Données projet'!$B$13,Paramètres!$A$1:$I$89,3,0)*0.475*44/12</f>
        <v>0.66414722125895465</v>
      </c>
      <c r="DH139" s="21">
        <f>EXP(-LN(2)/2)*DH138+(1-EXP(-LN(2)/2))/(LN(2)/2)*DB139*DE139*VLOOKUP('Données projet'!$B$13,Paramètres!$A$1:$I$89,3,0)*0.475*44/12</f>
        <v>8.5552636319946688E-16</v>
      </c>
      <c r="DI139" s="22">
        <f t="shared" si="123"/>
        <v>0.79441635772653807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-2.8421709430404007E-13</v>
      </c>
      <c r="DP139" s="17">
        <f>DO139*VLOOKUP('Données projet'!$B$14,Paramètres!$A$1:$I$89,3,0)*VLOOKUP('Données projet'!$B$14,Paramètres!$A$1:$I$89,5,0)</f>
        <v>-1.69961822393816E-13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179.32848817523677</v>
      </c>
      <c r="DU139" s="59">
        <f t="shared" si="152"/>
        <v>131.3292389103035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</v>
      </c>
      <c r="EB139" s="21">
        <f>EXP(-LN(2)/25)*EB138+(1-EXP(-LN(2)/25))/(LN(2)/25)*Calculateur!DW139*Calculateur!DY139*VLOOKUP('Données projet'!$B$14,Paramètres!$A$1:$I$89,3,0)*0.475*44/12</f>
        <v>0.69751060477345206</v>
      </c>
      <c r="EC139" s="21">
        <f>EXP(-LN(2)/2)*EC138+(1-EXP(-LN(2)/2))/(LN(2)/2)*DW139*DZ139*VLOOKUP('Données projet'!$B$14,Paramètres!$A$1:$I$89,3,0)*0.475*44/12</f>
        <v>5.8429587582125469E-16</v>
      </c>
      <c r="ED139" s="22">
        <f t="shared" si="126"/>
        <v>0.69751060477345261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-2.2737367544323206E-13</v>
      </c>
      <c r="EK139" s="17">
        <f>EJ139*VLOOKUP('Données projet'!$B$15,Paramètres!$A$1:$I$89,3,0)*VLOOKUP('Données projet'!$B$15,Paramètres!$A$1:$I$89,5,0)</f>
        <v>-1.0049916454590858E-13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191.932060106699</v>
      </c>
      <c r="EP139" s="59">
        <f t="shared" si="154"/>
        <v>260.28593152736903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0.29942209020330746</v>
      </c>
      <c r="EW139" s="21">
        <f>EXP(-LN(2)/25)*EW138+(1-EXP(-LN(2)/25))/(LN(2)/25)*Calculateur!ER139*Calculateur!ET139*VLOOKUP('Données projet'!$B$15,Paramètres!$A$1:$I$89,3,0)*0.475*44/12</f>
        <v>0.66785659373539696</v>
      </c>
      <c r="EX139" s="21">
        <f>EXP(-LN(2)/2)*EX138+(1-EXP(-LN(2)/2))/(LN(2)/2)*ER139*EU139*VLOOKUP('Données projet'!$B$15,Paramètres!$A$1:$I$89,3,0)*0.475*44/12</f>
        <v>1.485895920554536E-16</v>
      </c>
      <c r="EY139" s="22">
        <f t="shared" si="129"/>
        <v>0.96727868393870453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181.00000000000009</v>
      </c>
      <c r="FF139" s="17">
        <f>FE139*VLOOKUP('Données projet'!$B$16,Paramètres!$A$1:$I$89,3,0)*VLOOKUP('Données projet'!$B$16,Paramètres!$A$1:$I$89,5,0)</f>
        <v>175.06320000000008</v>
      </c>
      <c r="FG139" s="13">
        <f t="shared" si="155"/>
        <v>44.222067746824763</v>
      </c>
      <c r="FH139" s="20">
        <f t="shared" si="130"/>
        <v>381.92184132571992</v>
      </c>
      <c r="FI139" s="59">
        <f t="shared" si="131"/>
        <v>675.25517465905318</v>
      </c>
      <c r="FJ139" s="59">
        <f ca="1">AVERAGE(OFFSET($FI$3,0,0,'Données projet'!$E$16+1,1))-AVERAGE(OFFSET($H$3,0,0,'Données projet'!$E$16+1,1))</f>
        <v>102.86738524979938</v>
      </c>
      <c r="FK139" s="59">
        <f t="shared" si="156"/>
        <v>56.347130462109817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0</v>
      </c>
      <c r="FR139" s="21">
        <f>EXP(-LN(2)/25)*FR138+(1-EXP(-LN(2)/25))/(LN(2)/25)*Calculateur!FM139*Calculateur!FO139*VLOOKUP('Données projet'!$B$16,Paramètres!$A$1:$I$89,3,0)*0.475*44/12</f>
        <v>0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0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300.00000000000068</v>
      </c>
      <c r="GA139" s="17">
        <f>FZ139*VLOOKUP('Données projet'!$B$17,Paramètres!$A$1:$I$89,3,0)*VLOOKUP('Données projet'!$B$17,Paramètres!$A$1:$I$89,5,0)</f>
        <v>201.24000000000046</v>
      </c>
      <c r="GB139" s="13">
        <f t="shared" si="157"/>
        <v>50.01658408633331</v>
      </c>
      <c r="GC139" s="20">
        <f t="shared" si="133"/>
        <v>437.60521728369798</v>
      </c>
      <c r="GD139" s="59">
        <f t="shared" si="134"/>
        <v>730.9385506170313</v>
      </c>
      <c r="GE139" s="59">
        <f ca="1">AVERAGE(OFFSET($GD$3,0,0,'Données projet'!$E$17+1,1))-AVERAGE(OFFSET($H$3,0,0,'Données projet'!$E$17+1,1))</f>
        <v>168.00454652899231</v>
      </c>
      <c r="GF139" s="59">
        <f t="shared" si="158"/>
        <v>135.31958994080446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0</v>
      </c>
      <c r="GM139" s="21">
        <f>EXP(-LN(2)/25)*GM138+(1-EXP(-LN(2)/25))/(LN(2)/25)*Calculateur!GH139*Calculateur!GJ139*VLOOKUP('Données projet'!$B$17,Paramètres!$A$1:$I$89,3,0)*0.475*44/12</f>
        <v>0</v>
      </c>
      <c r="GN139" s="21">
        <f>EXP(-LN(2)/2)*GN138+(1-EXP(-LN(2)/2))/(LN(2)/2)*GH139*GK139*VLOOKUP('Données projet'!$B$17,Paramètres!$A$1:$I$89,3,0)*0.475*44/12</f>
        <v>0</v>
      </c>
      <c r="GO139" s="21">
        <f t="shared" si="135"/>
        <v>0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4.5474735088646412E-13</v>
      </c>
      <c r="O140" s="13">
        <f>N140*VLOOKUP('Données projet'!$B$9,Paramètres!$A$1:$I$89,3,0)*VLOOKUP('Données projet'!$B$9,Paramètres!$A$1:$I$89,5,0)</f>
        <v>4.1145540308207271E-13</v>
      </c>
      <c r="P140" s="13">
        <f t="shared" si="141"/>
        <v>5.2428527960910789E-12</v>
      </c>
      <c r="Q140" s="20">
        <f t="shared" si="108"/>
        <v>9.8479201135599071E-12</v>
      </c>
      <c r="R140" s="59">
        <f t="shared" si="109"/>
        <v>293.33333333334315</v>
      </c>
      <c r="S140" s="59">
        <f ca="1">AVERAGE(OFFSET($R$3,0,0,'Données projet'!$E$9+1,1))-AVERAGE(OFFSET($H$3,0,0,'Données projet'!$E$9+1,1))</f>
        <v>221.7429870520005</v>
      </c>
      <c r="T140" s="59">
        <f t="shared" si="142"/>
        <v>182.2029938397186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0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>
        <f>VLOOKUP(A140,'Données projet'!$A$61:$I$81,2,0)</f>
        <v>293.07051282051282</v>
      </c>
      <c r="AG140" s="12">
        <f>VLOOKUP(A140,'Données projet'!$A$61:$I$81,9,0)</f>
        <v>5.2446581196581219</v>
      </c>
      <c r="AH140" s="12">
        <f t="array" ref="AH140">INDEX(AG:AG,MIN(IF(ISNUMBER(AG140:AG336),ROW(AG140:AG336),"")))</f>
        <v>5.2446581196581219</v>
      </c>
      <c r="AI140" s="13">
        <f>IF('Données projet'!$A$62&gt;35,AI139+AH140-AQ139,IF(A140&lt;'Données projet'!$A$62,$AF$205^A140,IF(A140='Données projet'!$A$62,'Données projet'!$B$62,AI139+AH140-AQ139)))</f>
        <v>293.07051282051248</v>
      </c>
      <c r="AJ140" s="13">
        <f>AI140*VLOOKUP('Données projet'!$B$10,Paramètres!$A$1:$I$89,3,0)*VLOOKUP('Données projet'!$B$10,Paramètres!$A$1:$I$89,5,0)</f>
        <v>265.17019999999968</v>
      </c>
      <c r="AK140" s="13">
        <f t="shared" si="143"/>
        <v>63.823189537116463</v>
      </c>
      <c r="AL140" s="20">
        <f t="shared" si="112"/>
        <v>572.9968201104773</v>
      </c>
      <c r="AM140" s="59">
        <f t="shared" si="113"/>
        <v>866.33015344381056</v>
      </c>
      <c r="AN140" s="59">
        <f ca="1">AVERAGE(OFFSET($AM$3,0,0,'Données projet'!$E$10+1,1))-AVERAGE(OFFSET($H$3,0,0,'Données projet'!$E$10+1,1))</f>
        <v>153.45079678708987</v>
      </c>
      <c r="AO140" s="59">
        <f t="shared" si="144"/>
        <v>115.4217868409637</v>
      </c>
      <c r="AP140" s="15">
        <f>IF(ISNA(VLOOKUP(A140,'Données projet'!$A$61:$I$81,3,0)),0,VLOOKUP(A140,'Données projet'!$A$61:$I$81,3,0))</f>
        <v>11</v>
      </c>
      <c r="AQ140" s="15">
        <f>IF(ISNA(VLOOKUP(A140,'Données projet'!$A$61:$I$81,4,0)),0,VLOOKUP(A140,'Données projet'!$A$61:$I$81,4,0))</f>
        <v>51.160256410256409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0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3.4106051316484809E-13</v>
      </c>
      <c r="BE140" s="13">
        <f>BD140*VLOOKUP('Données projet'!$B$11,Paramètres!$A$1:$I$89,3,0)*VLOOKUP('Données projet'!$B$11,Paramètres!$A$1:$I$89,5,0)</f>
        <v>1.5961632016114892E-13</v>
      </c>
      <c r="BF140" s="13">
        <f t="shared" si="145"/>
        <v>2.2708641912150958E-12</v>
      </c>
      <c r="BG140" s="20">
        <f t="shared" si="115"/>
        <v>4.2330868906469593E-12</v>
      </c>
      <c r="BH140" s="59">
        <f t="shared" si="116"/>
        <v>293.33333333333752</v>
      </c>
      <c r="BI140" s="59">
        <f ca="1">AVERAGE(OFFSET($BH$3,0,0,'Données projet'!$E$11+1,1))-AVERAGE(OFFSET($H$3,0,0,'Données projet'!$E$11+1,1))</f>
        <v>158.58786357608489</v>
      </c>
      <c r="BJ140" s="59">
        <f t="shared" si="146"/>
        <v>163.20074068819849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0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>
        <f>BY140*VLOOKUP('Données projet'!$B$12,Paramètres!$A$1:$I$89,3,0)*VLOOKUP('Données projet'!$B$12,Paramètres!$A$1:$I$89,5,0)</f>
        <v>0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255.41017495879987</v>
      </c>
      <c r="CE140" s="59">
        <f t="shared" si="148"/>
        <v>297.50513563712764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1.0024939888837225</v>
      </c>
      <c r="CL140" s="21">
        <f>EXP(-LN(2)/25)*CL139+(1-EXP(-LN(2)/25))/(LN(2)/25)*Calculateur!CG140*Calculateur!CI140*VLOOKUP('Données projet'!$B$12,Paramètres!$A$1:$I$89,3,0)*0.475*44/12</f>
        <v>1.4345857936422388</v>
      </c>
      <c r="CM140" s="21">
        <f>EXP(-LN(2)/2)*CM139+(1-EXP(-LN(2)/2))/(LN(2)/2)*CG140*CJ140*VLOOKUP('Données projet'!$B$12,Paramètres!$A$1:$I$89,3,0)*0.475*44/12</f>
        <v>1.9156063093483357E-15</v>
      </c>
      <c r="CN140" s="22">
        <f t="shared" si="120"/>
        <v>2.4370797825259629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-1.4210854715202004E-13</v>
      </c>
      <c r="CU140" s="17">
        <f>CT140*VLOOKUP('Données projet'!$B$13,Paramètres!$A$1:$I$89,3,0)*VLOOKUP('Données projet'!$B$13,Paramètres!$A$1:$I$89,5,0)</f>
        <v>-8.128608897095547E-14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134.70214882504786</v>
      </c>
      <c r="CZ140" s="59">
        <f t="shared" si="150"/>
        <v>102.18553029667771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0.12771463815778086</v>
      </c>
      <c r="DG140" s="21">
        <f>EXP(-LN(2)/25)*DG139+(1-EXP(-LN(2)/25))/(LN(2)/25)*Calculateur!DB140*Calculateur!DD140*VLOOKUP('Données projet'!$B$13,Paramètres!$A$1:$I$89,3,0)*0.475*44/12</f>
        <v>0.64598608056764406</v>
      </c>
      <c r="DH140" s="21">
        <f>EXP(-LN(2)/2)*DH139+(1-EXP(-LN(2)/2))/(LN(2)/2)*DB140*DE140*VLOOKUP('Données projet'!$B$13,Paramètres!$A$1:$I$89,3,0)*0.475*44/12</f>
        <v>6.049484929022082E-16</v>
      </c>
      <c r="DI140" s="22">
        <f t="shared" si="123"/>
        <v>0.77370071872542545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-2.8421709430404007E-13</v>
      </c>
      <c r="DP140" s="17">
        <f>DO140*VLOOKUP('Données projet'!$B$14,Paramètres!$A$1:$I$89,3,0)*VLOOKUP('Données projet'!$B$14,Paramètres!$A$1:$I$89,5,0)</f>
        <v>-1.69961822393816E-13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179.32848817523677</v>
      </c>
      <c r="DU140" s="59">
        <f t="shared" si="152"/>
        <v>131.3292389103035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</v>
      </c>
      <c r="EB140" s="21">
        <f>EXP(-LN(2)/25)*EB139+(1-EXP(-LN(2)/25))/(LN(2)/25)*Calculateur!DW140*Calculateur!DY140*VLOOKUP('Données projet'!$B$14,Paramètres!$A$1:$I$89,3,0)*0.475*44/12</f>
        <v>0.67843714060543348</v>
      </c>
      <c r="EC140" s="21">
        <f>EXP(-LN(2)/2)*EC139+(1-EXP(-LN(2)/2))/(LN(2)/2)*DW140*DZ140*VLOOKUP('Données projet'!$B$14,Paramètres!$A$1:$I$89,3,0)*0.475*44/12</f>
        <v>4.1315957601254209E-16</v>
      </c>
      <c r="ED140" s="22">
        <f t="shared" si="126"/>
        <v>0.67843714060543392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-2.2737367544323206E-13</v>
      </c>
      <c r="EK140" s="17">
        <f>EJ140*VLOOKUP('Données projet'!$B$15,Paramètres!$A$1:$I$89,3,0)*VLOOKUP('Données projet'!$B$15,Paramètres!$A$1:$I$89,5,0)</f>
        <v>-1.0049916454590858E-13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191.932060106699</v>
      </c>
      <c r="EP140" s="59">
        <f t="shared" si="154"/>
        <v>260.28593152736903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0.29355060564386248</v>
      </c>
      <c r="EW140" s="21">
        <f>EXP(-LN(2)/25)*EW139+(1-EXP(-LN(2)/25))/(LN(2)/25)*Calculateur!ER140*Calculateur!ET140*VLOOKUP('Données projet'!$B$15,Paramètres!$A$1:$I$89,3,0)*0.475*44/12</f>
        <v>0.64959402005865063</v>
      </c>
      <c r="EX140" s="21">
        <f>EXP(-LN(2)/2)*EX139+(1-EXP(-LN(2)/2))/(LN(2)/2)*ER140*EU140*VLOOKUP('Données projet'!$B$15,Paramètres!$A$1:$I$89,3,0)*0.475*44/12</f>
        <v>1.0506870815615399E-16</v>
      </c>
      <c r="EY140" s="22">
        <f t="shared" si="129"/>
        <v>0.94314462570251323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181.00000000000009</v>
      </c>
      <c r="FF140" s="17">
        <f>FE140*VLOOKUP('Données projet'!$B$16,Paramètres!$A$1:$I$89,3,0)*VLOOKUP('Données projet'!$B$16,Paramètres!$A$1:$I$89,5,0)</f>
        <v>175.06320000000008</v>
      </c>
      <c r="FG140" s="13">
        <f t="shared" si="155"/>
        <v>44.222067746824763</v>
      </c>
      <c r="FH140" s="20">
        <f t="shared" si="130"/>
        <v>381.92184132571992</v>
      </c>
      <c r="FI140" s="59">
        <f t="shared" si="131"/>
        <v>675.25517465905318</v>
      </c>
      <c r="FJ140" s="59">
        <f ca="1">AVERAGE(OFFSET($FI$3,0,0,'Données projet'!$E$16+1,1))-AVERAGE(OFFSET($H$3,0,0,'Données projet'!$E$16+1,1))</f>
        <v>102.86738524979938</v>
      </c>
      <c r="FK140" s="59">
        <f t="shared" si="156"/>
        <v>56.347130462109817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0</v>
      </c>
      <c r="FR140" s="21">
        <f>EXP(-LN(2)/25)*FR139+(1-EXP(-LN(2)/25))/(LN(2)/25)*Calculateur!FM140*Calculateur!FO140*VLOOKUP('Données projet'!$B$16,Paramètres!$A$1:$I$89,3,0)*0.475*44/12</f>
        <v>0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0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300.00000000000068</v>
      </c>
      <c r="GA140" s="17">
        <f>FZ140*VLOOKUP('Données projet'!$B$17,Paramètres!$A$1:$I$89,3,0)*VLOOKUP('Données projet'!$B$17,Paramètres!$A$1:$I$89,5,0)</f>
        <v>201.24000000000046</v>
      </c>
      <c r="GB140" s="13">
        <f t="shared" si="157"/>
        <v>50.01658408633331</v>
      </c>
      <c r="GC140" s="20">
        <f t="shared" si="133"/>
        <v>437.60521728369798</v>
      </c>
      <c r="GD140" s="59">
        <f t="shared" si="134"/>
        <v>730.9385506170313</v>
      </c>
      <c r="GE140" s="59">
        <f ca="1">AVERAGE(OFFSET($GD$3,0,0,'Données projet'!$E$17+1,1))-AVERAGE(OFFSET($H$3,0,0,'Données projet'!$E$17+1,1))</f>
        <v>168.00454652899231</v>
      </c>
      <c r="GF140" s="59">
        <f t="shared" si="158"/>
        <v>135.31958994080446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0</v>
      </c>
      <c r="GM140" s="21">
        <f>EXP(-LN(2)/25)*GM139+(1-EXP(-LN(2)/25))/(LN(2)/25)*Calculateur!GH140*Calculateur!GJ140*VLOOKUP('Données projet'!$B$17,Paramètres!$A$1:$I$89,3,0)*0.475*44/12</f>
        <v>0</v>
      </c>
      <c r="GN140" s="21">
        <f>EXP(-LN(2)/2)*GN139+(1-EXP(-LN(2)/2))/(LN(2)/2)*GH140*GK140*VLOOKUP('Données projet'!$B$17,Paramètres!$A$1:$I$89,3,0)*0.475*44/12</f>
        <v>0</v>
      </c>
      <c r="GO140" s="21">
        <f t="shared" si="135"/>
        <v>0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4.5474735088646412E-13</v>
      </c>
      <c r="O141" s="13">
        <f>N141*VLOOKUP('Données projet'!$B$9,Paramètres!$A$1:$I$89,3,0)*VLOOKUP('Données projet'!$B$9,Paramètres!$A$1:$I$89,5,0)</f>
        <v>4.1145540308207271E-13</v>
      </c>
      <c r="P141" s="13">
        <f t="shared" si="141"/>
        <v>5.2428527960910789E-12</v>
      </c>
      <c r="Q141" s="20">
        <f t="shared" si="108"/>
        <v>9.8479201135599071E-12</v>
      </c>
      <c r="R141" s="59">
        <f t="shared" si="109"/>
        <v>293.33333333334315</v>
      </c>
      <c r="S141" s="59">
        <f ca="1">AVERAGE(OFFSET($R$3,0,0,'Données projet'!$E$9+1,1))-AVERAGE(OFFSET($H$3,0,0,'Données projet'!$E$9+1,1))</f>
        <v>221.7429870520005</v>
      </c>
      <c r="T141" s="59">
        <f t="shared" si="142"/>
        <v>182.2029938397186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0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5.1063034188034209</v>
      </c>
      <c r="AI141" s="13">
        <f>IF('Données projet'!$A$62&gt;35,AI140+AH141-AQ140,IF(A141&lt;'Données projet'!$A$62,$AF$205^A141,IF(A141='Données projet'!$A$62,'Données projet'!$B$62,AI140+AH141-AQ140)))</f>
        <v>247.01655982905947</v>
      </c>
      <c r="AJ141" s="13">
        <f>AI141*VLOOKUP('Données projet'!$B$10,Paramètres!$A$1:$I$89,3,0)*VLOOKUP('Données projet'!$B$10,Paramètres!$A$1:$I$89,5,0)</f>
        <v>223.500583333333</v>
      </c>
      <c r="AK141" s="13">
        <f t="shared" si="143"/>
        <v>54.875019768659023</v>
      </c>
      <c r="AL141" s="20">
        <f t="shared" si="112"/>
        <v>484.83750873596932</v>
      </c>
      <c r="AM141" s="59">
        <f t="shared" si="113"/>
        <v>778.17084206930258</v>
      </c>
      <c r="AN141" s="59">
        <f ca="1">AVERAGE(OFFSET($AM$3,0,0,'Données projet'!$E$10+1,1))-AVERAGE(OFFSET($H$3,0,0,'Données projet'!$E$10+1,1))</f>
        <v>153.45079678708987</v>
      </c>
      <c r="AO141" s="59">
        <f t="shared" si="144"/>
        <v>115.4217868409637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0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3.4106051316484809E-13</v>
      </c>
      <c r="BE141" s="13">
        <f>BD141*VLOOKUP('Données projet'!$B$11,Paramètres!$A$1:$I$89,3,0)*VLOOKUP('Données projet'!$B$11,Paramètres!$A$1:$I$89,5,0)</f>
        <v>1.5961632016114892E-13</v>
      </c>
      <c r="BF141" s="13">
        <f t="shared" si="145"/>
        <v>2.2708641912150958E-12</v>
      </c>
      <c r="BG141" s="20">
        <f t="shared" si="115"/>
        <v>4.2330868906469593E-12</v>
      </c>
      <c r="BH141" s="59">
        <f t="shared" si="116"/>
        <v>293.33333333333752</v>
      </c>
      <c r="BI141" s="59">
        <f ca="1">AVERAGE(OFFSET($BH$3,0,0,'Données projet'!$E$11+1,1))-AVERAGE(OFFSET($H$3,0,0,'Données projet'!$E$11+1,1))</f>
        <v>158.58786357608489</v>
      </c>
      <c r="BJ141" s="59">
        <f t="shared" si="146"/>
        <v>163.20074068819849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0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>
        <f>BY141*VLOOKUP('Données projet'!$B$12,Paramètres!$A$1:$I$89,3,0)*VLOOKUP('Données projet'!$B$12,Paramètres!$A$1:$I$89,5,0)</f>
        <v>0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255.41017495879987</v>
      </c>
      <c r="CE141" s="59">
        <f t="shared" si="148"/>
        <v>297.50513563712764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0.98283569322266917</v>
      </c>
      <c r="CL141" s="21">
        <f>EXP(-LN(2)/25)*CL140+(1-EXP(-LN(2)/25))/(LN(2)/25)*Calculateur!CG141*Calculateur!CI141*VLOOKUP('Données projet'!$B$12,Paramètres!$A$1:$I$89,3,0)*0.475*44/12</f>
        <v>1.3953569696735038</v>
      </c>
      <c r="CM141" s="21">
        <f>EXP(-LN(2)/2)*CM140+(1-EXP(-LN(2)/2))/(LN(2)/2)*CG141*CJ141*VLOOKUP('Données projet'!$B$12,Paramètres!$A$1:$I$89,3,0)*0.475*44/12</f>
        <v>1.3545382114239435E-15</v>
      </c>
      <c r="CN141" s="22">
        <f t="shared" si="120"/>
        <v>2.3781926628961743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-1.4210854715202004E-13</v>
      </c>
      <c r="CU141" s="17">
        <f>CT141*VLOOKUP('Données projet'!$B$13,Paramètres!$A$1:$I$89,3,0)*VLOOKUP('Données projet'!$B$13,Paramètres!$A$1:$I$89,5,0)</f>
        <v>-8.128608897095547E-14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134.70214882504786</v>
      </c>
      <c r="CZ141" s="59">
        <f t="shared" si="150"/>
        <v>102.18553029667771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0.12521023200174425</v>
      </c>
      <c r="DG141" s="21">
        <f>EXP(-LN(2)/25)*DG140+(1-EXP(-LN(2)/25))/(LN(2)/25)*Calculateur!DB141*Calculateur!DD141*VLOOKUP('Données projet'!$B$13,Paramètres!$A$1:$I$89,3,0)*0.475*44/12</f>
        <v>0.62832155722359029</v>
      </c>
      <c r="DH141" s="21">
        <f>EXP(-LN(2)/2)*DH140+(1-EXP(-LN(2)/2))/(LN(2)/2)*DB141*DE141*VLOOKUP('Données projet'!$B$13,Paramètres!$A$1:$I$89,3,0)*0.475*44/12</f>
        <v>4.2776318159973344E-16</v>
      </c>
      <c r="DI141" s="22">
        <f t="shared" si="123"/>
        <v>0.75353178922533504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-2.8421709430404007E-13</v>
      </c>
      <c r="DP141" s="17">
        <f>DO141*VLOOKUP('Données projet'!$B$14,Paramètres!$A$1:$I$89,3,0)*VLOOKUP('Données projet'!$B$14,Paramètres!$A$1:$I$89,5,0)</f>
        <v>-1.69961822393816E-13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179.32848817523677</v>
      </c>
      <c r="DU141" s="59">
        <f t="shared" si="152"/>
        <v>131.3292389103035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</v>
      </c>
      <c r="EB141" s="21">
        <f>EXP(-LN(2)/25)*EB140+(1-EXP(-LN(2)/25))/(LN(2)/25)*Calculateur!DW141*Calculateur!DY141*VLOOKUP('Données projet'!$B$14,Paramètres!$A$1:$I$89,3,0)*0.475*44/12</f>
        <v>0.65988524131811921</v>
      </c>
      <c r="EC141" s="21">
        <f>EXP(-LN(2)/2)*EC140+(1-EXP(-LN(2)/2))/(LN(2)/2)*DW141*DZ141*VLOOKUP('Données projet'!$B$14,Paramètres!$A$1:$I$89,3,0)*0.475*44/12</f>
        <v>2.9214793791062735E-16</v>
      </c>
      <c r="ED141" s="22">
        <f t="shared" si="126"/>
        <v>0.65988524131811954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-2.2737367544323206E-13</v>
      </c>
      <c r="EK141" s="17">
        <f>EJ141*VLOOKUP('Données projet'!$B$15,Paramètres!$A$1:$I$89,3,0)*VLOOKUP('Données projet'!$B$15,Paramètres!$A$1:$I$89,5,0)</f>
        <v>-1.0049916454590858E-13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191.932060106699</v>
      </c>
      <c r="EP141" s="59">
        <f t="shared" si="154"/>
        <v>260.28593152736903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0.28779425731537622</v>
      </c>
      <c r="EW141" s="21">
        <f>EXP(-LN(2)/25)*EW140+(1-EXP(-LN(2)/25))/(LN(2)/25)*Calculateur!ER141*Calculateur!ET141*VLOOKUP('Données projet'!$B$15,Paramètres!$A$1:$I$89,3,0)*0.475*44/12</f>
        <v>0.63183083741948198</v>
      </c>
      <c r="EX141" s="21">
        <f>EXP(-LN(2)/2)*EX140+(1-EXP(-LN(2)/2))/(LN(2)/2)*ER141*EU141*VLOOKUP('Données projet'!$B$15,Paramètres!$A$1:$I$89,3,0)*0.475*44/12</f>
        <v>7.4294796027726799E-17</v>
      </c>
      <c r="EY141" s="22">
        <f t="shared" si="129"/>
        <v>0.91962509473485832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181.00000000000009</v>
      </c>
      <c r="FF141" s="17">
        <f>FE141*VLOOKUP('Données projet'!$B$16,Paramètres!$A$1:$I$89,3,0)*VLOOKUP('Données projet'!$B$16,Paramètres!$A$1:$I$89,5,0)</f>
        <v>175.06320000000008</v>
      </c>
      <c r="FG141" s="13">
        <f t="shared" si="155"/>
        <v>44.222067746824763</v>
      </c>
      <c r="FH141" s="20">
        <f t="shared" si="130"/>
        <v>381.92184132571992</v>
      </c>
      <c r="FI141" s="59">
        <f t="shared" si="131"/>
        <v>675.25517465905318</v>
      </c>
      <c r="FJ141" s="59">
        <f ca="1">AVERAGE(OFFSET($FI$3,0,0,'Données projet'!$E$16+1,1))-AVERAGE(OFFSET($H$3,0,0,'Données projet'!$E$16+1,1))</f>
        <v>102.86738524979938</v>
      </c>
      <c r="FK141" s="59">
        <f t="shared" si="156"/>
        <v>56.347130462109817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0</v>
      </c>
      <c r="FR141" s="21">
        <f>EXP(-LN(2)/25)*FR140+(1-EXP(-LN(2)/25))/(LN(2)/25)*Calculateur!FM141*Calculateur!FO141*VLOOKUP('Données projet'!$B$16,Paramètres!$A$1:$I$89,3,0)*0.475*44/12</f>
        <v>0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0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300.00000000000068</v>
      </c>
      <c r="GA141" s="17">
        <f>FZ141*VLOOKUP('Données projet'!$B$17,Paramètres!$A$1:$I$89,3,0)*VLOOKUP('Données projet'!$B$17,Paramètres!$A$1:$I$89,5,0)</f>
        <v>201.24000000000046</v>
      </c>
      <c r="GB141" s="13">
        <f t="shared" si="157"/>
        <v>50.01658408633331</v>
      </c>
      <c r="GC141" s="20">
        <f t="shared" si="133"/>
        <v>437.60521728369798</v>
      </c>
      <c r="GD141" s="59">
        <f t="shared" si="134"/>
        <v>730.9385506170313</v>
      </c>
      <c r="GE141" s="59">
        <f ca="1">AVERAGE(OFFSET($GD$3,0,0,'Données projet'!$E$17+1,1))-AVERAGE(OFFSET($H$3,0,0,'Données projet'!$E$17+1,1))</f>
        <v>168.00454652899231</v>
      </c>
      <c r="GF141" s="59">
        <f t="shared" si="158"/>
        <v>135.31958994080446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0</v>
      </c>
      <c r="GM141" s="21">
        <f>EXP(-LN(2)/25)*GM140+(1-EXP(-LN(2)/25))/(LN(2)/25)*Calculateur!GH141*Calculateur!GJ141*VLOOKUP('Données projet'!$B$17,Paramètres!$A$1:$I$89,3,0)*0.475*44/12</f>
        <v>0</v>
      </c>
      <c r="GN141" s="21">
        <f>EXP(-LN(2)/2)*GN140+(1-EXP(-LN(2)/2))/(LN(2)/2)*GH141*GK141*VLOOKUP('Données projet'!$B$17,Paramètres!$A$1:$I$89,3,0)*0.475*44/12</f>
        <v>0</v>
      </c>
      <c r="GO141" s="21">
        <f t="shared" si="135"/>
        <v>0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4.5474735088646412E-13</v>
      </c>
      <c r="O142" s="13">
        <f>N142*VLOOKUP('Données projet'!$B$9,Paramètres!$A$1:$I$89,3,0)*VLOOKUP('Données projet'!$B$9,Paramètres!$A$1:$I$89,5,0)</f>
        <v>4.1145540308207271E-13</v>
      </c>
      <c r="P142" s="13">
        <f t="shared" si="141"/>
        <v>5.2428527960910789E-12</v>
      </c>
      <c r="Q142" s="20">
        <f t="shared" si="108"/>
        <v>9.8479201135599071E-12</v>
      </c>
      <c r="R142" s="59">
        <f t="shared" si="109"/>
        <v>293.33333333334315</v>
      </c>
      <c r="S142" s="59">
        <f ca="1">AVERAGE(OFFSET($R$3,0,0,'Données projet'!$E$9+1,1))-AVERAGE(OFFSET($H$3,0,0,'Données projet'!$E$9+1,1))</f>
        <v>221.7429870520005</v>
      </c>
      <c r="T142" s="59">
        <f t="shared" si="142"/>
        <v>182.2029938397186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0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5.1063034188034209</v>
      </c>
      <c r="AI142" s="13">
        <f>IF('Données projet'!$A$62&gt;35,AI141+AH142-AQ141,IF(A142&lt;'Données projet'!$A$62,$AF$205^A142,IF(A142='Données projet'!$A$62,'Données projet'!$B$62,AI141+AH142-AQ141)))</f>
        <v>252.12286324786288</v>
      </c>
      <c r="AJ142" s="13">
        <f>AI142*VLOOKUP('Données projet'!$B$10,Paramètres!$A$1:$I$89,3,0)*VLOOKUP('Données projet'!$B$10,Paramètres!$A$1:$I$89,5,0)</f>
        <v>228.12076666666633</v>
      </c>
      <c r="AK142" s="13">
        <f t="shared" si="143"/>
        <v>55.876153534759418</v>
      </c>
      <c r="AL142" s="20">
        <f t="shared" si="112"/>
        <v>494.62796935081639</v>
      </c>
      <c r="AM142" s="59">
        <f t="shared" si="113"/>
        <v>787.9613026841497</v>
      </c>
      <c r="AN142" s="59">
        <f ca="1">AVERAGE(OFFSET($AM$3,0,0,'Données projet'!$E$10+1,1))-AVERAGE(OFFSET($H$3,0,0,'Données projet'!$E$10+1,1))</f>
        <v>153.45079678708987</v>
      </c>
      <c r="AO142" s="59">
        <f t="shared" si="144"/>
        <v>115.4217868409637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0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3.4106051316484809E-13</v>
      </c>
      <c r="BE142" s="13">
        <f>BD142*VLOOKUP('Données projet'!$B$11,Paramètres!$A$1:$I$89,3,0)*VLOOKUP('Données projet'!$B$11,Paramètres!$A$1:$I$89,5,0)</f>
        <v>1.5961632016114892E-13</v>
      </c>
      <c r="BF142" s="13">
        <f t="shared" si="145"/>
        <v>2.2708641912150958E-12</v>
      </c>
      <c r="BG142" s="20">
        <f t="shared" si="115"/>
        <v>4.2330868906469593E-12</v>
      </c>
      <c r="BH142" s="59">
        <f t="shared" si="116"/>
        <v>293.33333333333752</v>
      </c>
      <c r="BI142" s="59">
        <f ca="1">AVERAGE(OFFSET($BH$3,0,0,'Données projet'!$E$11+1,1))-AVERAGE(OFFSET($H$3,0,0,'Données projet'!$E$11+1,1))</f>
        <v>158.58786357608489</v>
      </c>
      <c r="BJ142" s="59">
        <f t="shared" si="146"/>
        <v>163.20074068819849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0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>
        <f>BY142*VLOOKUP('Données projet'!$B$12,Paramètres!$A$1:$I$89,3,0)*VLOOKUP('Données projet'!$B$12,Paramètres!$A$1:$I$89,5,0)</f>
        <v>0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255.41017495879987</v>
      </c>
      <c r="CE142" s="59">
        <f t="shared" si="148"/>
        <v>297.50513563712764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0.96356288474915264</v>
      </c>
      <c r="CL142" s="21">
        <f>EXP(-LN(2)/25)*CL141+(1-EXP(-LN(2)/25))/(LN(2)/25)*Calculateur!CG142*Calculateur!CI142*VLOOKUP('Données projet'!$B$12,Paramètres!$A$1:$I$89,3,0)*0.475*44/12</f>
        <v>1.3572008599591479</v>
      </c>
      <c r="CM142" s="21">
        <f>EXP(-LN(2)/2)*CM141+(1-EXP(-LN(2)/2))/(LN(2)/2)*CG142*CJ142*VLOOKUP('Données projet'!$B$12,Paramètres!$A$1:$I$89,3,0)*0.475*44/12</f>
        <v>9.5780315467416783E-16</v>
      </c>
      <c r="CN142" s="22">
        <f t="shared" si="120"/>
        <v>2.3207637447083016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-1.4210854715202004E-13</v>
      </c>
      <c r="CU142" s="17">
        <f>CT142*VLOOKUP('Données projet'!$B$13,Paramètres!$A$1:$I$89,3,0)*VLOOKUP('Données projet'!$B$13,Paramètres!$A$1:$I$89,5,0)</f>
        <v>-8.128608897095547E-14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134.70214882504786</v>
      </c>
      <c r="CZ142" s="59">
        <f t="shared" si="150"/>
        <v>102.18553029667771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0.12275493572289059</v>
      </c>
      <c r="DG142" s="21">
        <f>EXP(-LN(2)/25)*DG141+(1-EXP(-LN(2)/25))/(LN(2)/25)*Calculateur!DB142*Calculateur!DD142*VLOOKUP('Données projet'!$B$13,Paramètres!$A$1:$I$89,3,0)*0.475*44/12</f>
        <v>0.61114007119931657</v>
      </c>
      <c r="DH142" s="21">
        <f>EXP(-LN(2)/2)*DH141+(1-EXP(-LN(2)/2))/(LN(2)/2)*DB142*DE142*VLOOKUP('Données projet'!$B$13,Paramètres!$A$1:$I$89,3,0)*0.475*44/12</f>
        <v>3.024742464511041E-16</v>
      </c>
      <c r="DI142" s="22">
        <f t="shared" si="123"/>
        <v>0.73389500692220755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-2.8421709430404007E-13</v>
      </c>
      <c r="DP142" s="17">
        <f>DO142*VLOOKUP('Données projet'!$B$14,Paramètres!$A$1:$I$89,3,0)*VLOOKUP('Données projet'!$B$14,Paramètres!$A$1:$I$89,5,0)</f>
        <v>-1.69961822393816E-13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179.32848817523677</v>
      </c>
      <c r="DU142" s="59">
        <f t="shared" si="152"/>
        <v>131.3292389103035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</v>
      </c>
      <c r="EB142" s="21">
        <f>EXP(-LN(2)/25)*EB141+(1-EXP(-LN(2)/25))/(LN(2)/25)*Calculateur!DW142*Calculateur!DY142*VLOOKUP('Données projet'!$B$14,Paramètres!$A$1:$I$89,3,0)*0.475*44/12</f>
        <v>0.64184064469241864</v>
      </c>
      <c r="EC142" s="21">
        <f>EXP(-LN(2)/2)*EC141+(1-EXP(-LN(2)/2))/(LN(2)/2)*DW142*DZ142*VLOOKUP('Données projet'!$B$14,Paramètres!$A$1:$I$89,3,0)*0.475*44/12</f>
        <v>2.0657978800627104E-16</v>
      </c>
      <c r="ED142" s="22">
        <f t="shared" si="126"/>
        <v>0.64184064469241886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-2.2737367544323206E-13</v>
      </c>
      <c r="EK142" s="17">
        <f>EJ142*VLOOKUP('Données projet'!$B$15,Paramètres!$A$1:$I$89,3,0)*VLOOKUP('Données projet'!$B$15,Paramètres!$A$1:$I$89,5,0)</f>
        <v>-1.0049916454590858E-13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191.932060106699</v>
      </c>
      <c r="EP142" s="59">
        <f t="shared" si="154"/>
        <v>260.28593152736903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0.28215078746658578</v>
      </c>
      <c r="EW142" s="21">
        <f>EXP(-LN(2)/25)*EW141+(1-EXP(-LN(2)/25))/(LN(2)/25)*Calculateur!ER142*Calculateur!ET142*VLOOKUP('Données projet'!$B$15,Paramètres!$A$1:$I$89,3,0)*0.475*44/12</f>
        <v>0.61455338994370656</v>
      </c>
      <c r="EX142" s="21">
        <f>EXP(-LN(2)/2)*EX141+(1-EXP(-LN(2)/2))/(LN(2)/2)*ER142*EU142*VLOOKUP('Données projet'!$B$15,Paramètres!$A$1:$I$89,3,0)*0.475*44/12</f>
        <v>5.2534354078076994E-17</v>
      </c>
      <c r="EY142" s="22">
        <f t="shared" si="129"/>
        <v>0.8967041774102924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181.00000000000009</v>
      </c>
      <c r="FF142" s="17">
        <f>FE142*VLOOKUP('Données projet'!$B$16,Paramètres!$A$1:$I$89,3,0)*VLOOKUP('Données projet'!$B$16,Paramètres!$A$1:$I$89,5,0)</f>
        <v>175.06320000000008</v>
      </c>
      <c r="FG142" s="13">
        <f t="shared" si="155"/>
        <v>44.222067746824763</v>
      </c>
      <c r="FH142" s="20">
        <f t="shared" si="130"/>
        <v>381.92184132571992</v>
      </c>
      <c r="FI142" s="59">
        <f t="shared" si="131"/>
        <v>675.25517465905318</v>
      </c>
      <c r="FJ142" s="59">
        <f ca="1">AVERAGE(OFFSET($FI$3,0,0,'Données projet'!$E$16+1,1))-AVERAGE(OFFSET($H$3,0,0,'Données projet'!$E$16+1,1))</f>
        <v>102.86738524979938</v>
      </c>
      <c r="FK142" s="59">
        <f t="shared" si="156"/>
        <v>56.347130462109817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0</v>
      </c>
      <c r="FR142" s="21">
        <f>EXP(-LN(2)/25)*FR141+(1-EXP(-LN(2)/25))/(LN(2)/25)*Calculateur!FM142*Calculateur!FO142*VLOOKUP('Données projet'!$B$16,Paramètres!$A$1:$I$89,3,0)*0.475*44/12</f>
        <v>0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0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300.00000000000068</v>
      </c>
      <c r="GA142" s="17">
        <f>FZ142*VLOOKUP('Données projet'!$B$17,Paramètres!$A$1:$I$89,3,0)*VLOOKUP('Données projet'!$B$17,Paramètres!$A$1:$I$89,5,0)</f>
        <v>201.24000000000046</v>
      </c>
      <c r="GB142" s="13">
        <f t="shared" si="157"/>
        <v>50.01658408633331</v>
      </c>
      <c r="GC142" s="20">
        <f t="shared" si="133"/>
        <v>437.60521728369798</v>
      </c>
      <c r="GD142" s="59">
        <f t="shared" si="134"/>
        <v>730.9385506170313</v>
      </c>
      <c r="GE142" s="59">
        <f ca="1">AVERAGE(OFFSET($GD$3,0,0,'Données projet'!$E$17+1,1))-AVERAGE(OFFSET($H$3,0,0,'Données projet'!$E$17+1,1))</f>
        <v>168.00454652899231</v>
      </c>
      <c r="GF142" s="59">
        <f t="shared" si="158"/>
        <v>135.31958994080446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0</v>
      </c>
      <c r="GM142" s="21">
        <f>EXP(-LN(2)/25)*GM141+(1-EXP(-LN(2)/25))/(LN(2)/25)*Calculateur!GH142*Calculateur!GJ142*VLOOKUP('Données projet'!$B$17,Paramètres!$A$1:$I$89,3,0)*0.475*44/12</f>
        <v>0</v>
      </c>
      <c r="GN142" s="21">
        <f>EXP(-LN(2)/2)*GN141+(1-EXP(-LN(2)/2))/(LN(2)/2)*GH142*GK142*VLOOKUP('Données projet'!$B$17,Paramètres!$A$1:$I$89,3,0)*0.475*44/12</f>
        <v>0</v>
      </c>
      <c r="GO142" s="21">
        <f t="shared" si="135"/>
        <v>0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4.5474735088646412E-13</v>
      </c>
      <c r="O143" s="13">
        <f>N143*VLOOKUP('Données projet'!$B$9,Paramètres!$A$1:$I$89,3,0)*VLOOKUP('Données projet'!$B$9,Paramètres!$A$1:$I$89,5,0)</f>
        <v>4.1145540308207271E-13</v>
      </c>
      <c r="P143" s="13">
        <f t="shared" si="141"/>
        <v>5.2428527960910789E-12</v>
      </c>
      <c r="Q143" s="20">
        <f t="shared" si="108"/>
        <v>9.8479201135599071E-12</v>
      </c>
      <c r="R143" s="59">
        <f t="shared" si="109"/>
        <v>293.33333333334315</v>
      </c>
      <c r="S143" s="59">
        <f ca="1">AVERAGE(OFFSET($R$3,0,0,'Données projet'!$E$9+1,1))-AVERAGE(OFFSET($H$3,0,0,'Données projet'!$E$9+1,1))</f>
        <v>221.7429870520005</v>
      </c>
      <c r="T143" s="59">
        <f t="shared" si="142"/>
        <v>182.2029938397186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0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5.1063034188034209</v>
      </c>
      <c r="AI143" s="13">
        <f>IF('Données projet'!$A$62&gt;35,AI142+AH143-AQ142,IF(A143&lt;'Données projet'!$A$62,$AF$205^A143,IF(A143='Données projet'!$A$62,'Données projet'!$B$62,AI142+AH143-AQ142)))</f>
        <v>257.22916666666629</v>
      </c>
      <c r="AJ143" s="13">
        <f>AI143*VLOOKUP('Données projet'!$B$10,Paramètres!$A$1:$I$89,3,0)*VLOOKUP('Données projet'!$B$10,Paramètres!$A$1:$I$89,5,0)</f>
        <v>232.74094999999966</v>
      </c>
      <c r="AK143" s="13">
        <f t="shared" si="143"/>
        <v>56.874929761004168</v>
      </c>
      <c r="AL143" s="20">
        <f t="shared" si="112"/>
        <v>504.41432391708167</v>
      </c>
      <c r="AM143" s="59">
        <f t="shared" si="113"/>
        <v>797.74765725041493</v>
      </c>
      <c r="AN143" s="59">
        <f ca="1">AVERAGE(OFFSET($AM$3,0,0,'Données projet'!$E$10+1,1))-AVERAGE(OFFSET($H$3,0,0,'Données projet'!$E$10+1,1))</f>
        <v>153.45079678708987</v>
      </c>
      <c r="AO143" s="59">
        <f t="shared" si="144"/>
        <v>115.4217868409637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0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3.4106051316484809E-13</v>
      </c>
      <c r="BE143" s="13">
        <f>BD143*VLOOKUP('Données projet'!$B$11,Paramètres!$A$1:$I$89,3,0)*VLOOKUP('Données projet'!$B$11,Paramètres!$A$1:$I$89,5,0)</f>
        <v>1.5961632016114892E-13</v>
      </c>
      <c r="BF143" s="13">
        <f t="shared" si="145"/>
        <v>2.2708641912150958E-12</v>
      </c>
      <c r="BG143" s="20">
        <f t="shared" si="115"/>
        <v>4.2330868906469593E-12</v>
      </c>
      <c r="BH143" s="59">
        <f t="shared" si="116"/>
        <v>293.33333333333752</v>
      </c>
      <c r="BI143" s="59">
        <f ca="1">AVERAGE(OFFSET($BH$3,0,0,'Données projet'!$E$11+1,1))-AVERAGE(OFFSET($H$3,0,0,'Données projet'!$E$11+1,1))</f>
        <v>158.58786357608489</v>
      </c>
      <c r="BJ143" s="59">
        <f t="shared" si="146"/>
        <v>163.20074068819849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0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>
        <f>BY143*VLOOKUP('Données projet'!$B$12,Paramètres!$A$1:$I$89,3,0)*VLOOKUP('Données projet'!$B$12,Paramètres!$A$1:$I$89,5,0)</f>
        <v>0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255.41017495879987</v>
      </c>
      <c r="CE143" s="59">
        <f t="shared" si="148"/>
        <v>297.50513563712764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0.94466800429454933</v>
      </c>
      <c r="CL143" s="21">
        <f>EXP(-LN(2)/25)*CL142+(1-EXP(-LN(2)/25))/(LN(2)/25)*Calculateur!CG143*Calculateur!CI143*VLOOKUP('Données projet'!$B$12,Paramètres!$A$1:$I$89,3,0)*0.475*44/12</f>
        <v>1.3200881310714736</v>
      </c>
      <c r="CM143" s="21">
        <f>EXP(-LN(2)/2)*CM142+(1-EXP(-LN(2)/2))/(LN(2)/2)*CG143*CJ143*VLOOKUP('Données projet'!$B$12,Paramètres!$A$1:$I$89,3,0)*0.475*44/12</f>
        <v>6.7726910571197174E-16</v>
      </c>
      <c r="CN143" s="22">
        <f t="shared" si="120"/>
        <v>2.2647561353660239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-1.4210854715202004E-13</v>
      </c>
      <c r="CU143" s="17">
        <f>CT143*VLOOKUP('Données projet'!$B$13,Paramètres!$A$1:$I$89,3,0)*VLOOKUP('Données projet'!$B$13,Paramètres!$A$1:$I$89,5,0)</f>
        <v>-8.128608897095547E-14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134.70214882504786</v>
      </c>
      <c r="CZ143" s="59">
        <f t="shared" si="150"/>
        <v>102.18553029667771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0.12034778630648239</v>
      </c>
      <c r="DG143" s="21">
        <f>EXP(-LN(2)/25)*DG142+(1-EXP(-LN(2)/25))/(LN(2)/25)*Calculateur!DB143*Calculateur!DD143*VLOOKUP('Données projet'!$B$13,Paramètres!$A$1:$I$89,3,0)*0.475*44/12</f>
        <v>0.59442841381391165</v>
      </c>
      <c r="DH143" s="21">
        <f>EXP(-LN(2)/2)*DH142+(1-EXP(-LN(2)/2))/(LN(2)/2)*DB143*DE143*VLOOKUP('Données projet'!$B$13,Paramètres!$A$1:$I$89,3,0)*0.475*44/12</f>
        <v>2.1388159079986672E-16</v>
      </c>
      <c r="DI143" s="22">
        <f t="shared" si="123"/>
        <v>0.71477620012039422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-2.8421709430404007E-13</v>
      </c>
      <c r="DP143" s="17">
        <f>DO143*VLOOKUP('Données projet'!$B$14,Paramètres!$A$1:$I$89,3,0)*VLOOKUP('Données projet'!$B$14,Paramètres!$A$1:$I$89,5,0)</f>
        <v>-1.69961822393816E-13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179.32848817523677</v>
      </c>
      <c r="DU143" s="59">
        <f t="shared" si="152"/>
        <v>131.3292389103035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</v>
      </c>
      <c r="EB143" s="21">
        <f>EXP(-LN(2)/25)*EB142+(1-EXP(-LN(2)/25))/(LN(2)/25)*Calculateur!DW143*Calculateur!DY143*VLOOKUP('Données projet'!$B$14,Paramètres!$A$1:$I$89,3,0)*0.475*44/12</f>
        <v>0.62428947851037186</v>
      </c>
      <c r="EC143" s="21">
        <f>EXP(-LN(2)/2)*EC142+(1-EXP(-LN(2)/2))/(LN(2)/2)*DW143*DZ143*VLOOKUP('Données projet'!$B$14,Paramètres!$A$1:$I$89,3,0)*0.475*44/12</f>
        <v>1.4607396895531367E-16</v>
      </c>
      <c r="ED143" s="22">
        <f t="shared" si="126"/>
        <v>0.62428947851037198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-2.2737367544323206E-13</v>
      </c>
      <c r="EK143" s="17">
        <f>EJ143*VLOOKUP('Données projet'!$B$15,Paramètres!$A$1:$I$89,3,0)*VLOOKUP('Données projet'!$B$15,Paramètres!$A$1:$I$89,5,0)</f>
        <v>-1.0049916454590858E-13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191.932060106699</v>
      </c>
      <c r="EP143" s="59">
        <f t="shared" si="154"/>
        <v>260.28593152736903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0.27661798261935344</v>
      </c>
      <c r="EW143" s="21">
        <f>EXP(-LN(2)/25)*EW142+(1-EXP(-LN(2)/25))/(LN(2)/25)*Calculateur!ER143*Calculateur!ET143*VLOOKUP('Données projet'!$B$15,Paramètres!$A$1:$I$89,3,0)*0.475*44/12</f>
        <v>0.5977483951777377</v>
      </c>
      <c r="EX143" s="21">
        <f>EXP(-LN(2)/2)*EX142+(1-EXP(-LN(2)/2))/(LN(2)/2)*ER143*EU143*VLOOKUP('Données projet'!$B$15,Paramètres!$A$1:$I$89,3,0)*0.475*44/12</f>
        <v>3.7147398013863399E-17</v>
      </c>
      <c r="EY143" s="22">
        <f t="shared" si="129"/>
        <v>0.87436637779709114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181.00000000000009</v>
      </c>
      <c r="FF143" s="17">
        <f>FE143*VLOOKUP('Données projet'!$B$16,Paramètres!$A$1:$I$89,3,0)*VLOOKUP('Données projet'!$B$16,Paramètres!$A$1:$I$89,5,0)</f>
        <v>175.06320000000008</v>
      </c>
      <c r="FG143" s="13">
        <f t="shared" si="155"/>
        <v>44.222067746824763</v>
      </c>
      <c r="FH143" s="20">
        <f t="shared" si="130"/>
        <v>381.92184132571992</v>
      </c>
      <c r="FI143" s="59">
        <f t="shared" si="131"/>
        <v>675.25517465905318</v>
      </c>
      <c r="FJ143" s="59">
        <f ca="1">AVERAGE(OFFSET($FI$3,0,0,'Données projet'!$E$16+1,1))-AVERAGE(OFFSET($H$3,0,0,'Données projet'!$E$16+1,1))</f>
        <v>102.86738524979938</v>
      </c>
      <c r="FK143" s="59">
        <f t="shared" si="156"/>
        <v>56.347130462109817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0</v>
      </c>
      <c r="FR143" s="21">
        <f>EXP(-LN(2)/25)*FR142+(1-EXP(-LN(2)/25))/(LN(2)/25)*Calculateur!FM143*Calculateur!FO143*VLOOKUP('Données projet'!$B$16,Paramètres!$A$1:$I$89,3,0)*0.475*44/12</f>
        <v>0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0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300.00000000000068</v>
      </c>
      <c r="GA143" s="17">
        <f>FZ143*VLOOKUP('Données projet'!$B$17,Paramètres!$A$1:$I$89,3,0)*VLOOKUP('Données projet'!$B$17,Paramètres!$A$1:$I$89,5,0)</f>
        <v>201.24000000000046</v>
      </c>
      <c r="GB143" s="13">
        <f t="shared" si="157"/>
        <v>50.01658408633331</v>
      </c>
      <c r="GC143" s="20">
        <f t="shared" si="133"/>
        <v>437.60521728369798</v>
      </c>
      <c r="GD143" s="59">
        <f t="shared" si="134"/>
        <v>730.9385506170313</v>
      </c>
      <c r="GE143" s="59">
        <f ca="1">AVERAGE(OFFSET($GD$3,0,0,'Données projet'!$E$17+1,1))-AVERAGE(OFFSET($H$3,0,0,'Données projet'!$E$17+1,1))</f>
        <v>168.00454652899231</v>
      </c>
      <c r="GF143" s="59">
        <f t="shared" si="158"/>
        <v>135.31958994080446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0</v>
      </c>
      <c r="GM143" s="21">
        <f>EXP(-LN(2)/25)*GM142+(1-EXP(-LN(2)/25))/(LN(2)/25)*Calculateur!GH143*Calculateur!GJ143*VLOOKUP('Données projet'!$B$17,Paramètres!$A$1:$I$89,3,0)*0.475*44/12</f>
        <v>0</v>
      </c>
      <c r="GN143" s="21">
        <f>EXP(-LN(2)/2)*GN142+(1-EXP(-LN(2)/2))/(LN(2)/2)*GH143*GK143*VLOOKUP('Données projet'!$B$17,Paramètres!$A$1:$I$89,3,0)*0.475*44/12</f>
        <v>0</v>
      </c>
      <c r="GO143" s="21">
        <f t="shared" si="135"/>
        <v>0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4.5474735088646412E-13</v>
      </c>
      <c r="O144" s="13">
        <f>N144*VLOOKUP('Données projet'!$B$9,Paramètres!$A$1:$I$89,3,0)*VLOOKUP('Données projet'!$B$9,Paramètres!$A$1:$I$89,5,0)</f>
        <v>4.1145540308207271E-13</v>
      </c>
      <c r="P144" s="13">
        <f t="shared" si="141"/>
        <v>5.2428527960910789E-12</v>
      </c>
      <c r="Q144" s="20">
        <f t="shared" si="108"/>
        <v>9.8479201135599071E-12</v>
      </c>
      <c r="R144" s="59">
        <f t="shared" si="109"/>
        <v>293.33333333334315</v>
      </c>
      <c r="S144" s="59">
        <f ca="1">AVERAGE(OFFSET($R$3,0,0,'Données projet'!$E$9+1,1))-AVERAGE(OFFSET($H$3,0,0,'Données projet'!$E$9+1,1))</f>
        <v>221.7429870520005</v>
      </c>
      <c r="T144" s="59">
        <f t="shared" si="142"/>
        <v>182.2029938397186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0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5.1063034188034209</v>
      </c>
      <c r="AI144" s="13">
        <f>IF('Données projet'!$A$62&gt;35,AI143+AH144-AQ143,IF(A144&lt;'Données projet'!$A$62,$AF$205^A144,IF(A144='Données projet'!$A$62,'Données projet'!$B$62,AI143+AH144-AQ143)))</f>
        <v>262.33547008546969</v>
      </c>
      <c r="AJ144" s="13">
        <f>AI144*VLOOKUP('Données projet'!$B$10,Paramètres!$A$1:$I$89,3,0)*VLOOKUP('Données projet'!$B$10,Paramètres!$A$1:$I$89,5,0)</f>
        <v>237.36113333333296</v>
      </c>
      <c r="AK144" s="13">
        <f t="shared" si="143"/>
        <v>57.871400641465833</v>
      </c>
      <c r="AL144" s="20">
        <f t="shared" si="112"/>
        <v>514.19666333944122</v>
      </c>
      <c r="AM144" s="59">
        <f t="shared" si="113"/>
        <v>807.52999667277459</v>
      </c>
      <c r="AN144" s="59">
        <f ca="1">AVERAGE(OFFSET($AM$3,0,0,'Données projet'!$E$10+1,1))-AVERAGE(OFFSET($H$3,0,0,'Données projet'!$E$10+1,1))</f>
        <v>153.45079678708987</v>
      </c>
      <c r="AO144" s="59">
        <f t="shared" si="144"/>
        <v>115.4217868409637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0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3.4106051316484809E-13</v>
      </c>
      <c r="BE144" s="13">
        <f>BD144*VLOOKUP('Données projet'!$B$11,Paramètres!$A$1:$I$89,3,0)*VLOOKUP('Données projet'!$B$11,Paramètres!$A$1:$I$89,5,0)</f>
        <v>1.5961632016114892E-13</v>
      </c>
      <c r="BF144" s="13">
        <f t="shared" si="145"/>
        <v>2.2708641912150958E-12</v>
      </c>
      <c r="BG144" s="20">
        <f t="shared" si="115"/>
        <v>4.2330868906469593E-12</v>
      </c>
      <c r="BH144" s="59">
        <f t="shared" si="116"/>
        <v>293.33333333333752</v>
      </c>
      <c r="BI144" s="59">
        <f ca="1">AVERAGE(OFFSET($BH$3,0,0,'Données projet'!$E$11+1,1))-AVERAGE(OFFSET($H$3,0,0,'Données projet'!$E$11+1,1))</f>
        <v>158.58786357608489</v>
      </c>
      <c r="BJ144" s="59">
        <f t="shared" si="146"/>
        <v>163.20074068819849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0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>
        <f>BY144*VLOOKUP('Données projet'!$B$12,Paramètres!$A$1:$I$89,3,0)*VLOOKUP('Données projet'!$B$12,Paramètres!$A$1:$I$89,5,0)</f>
        <v>0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255.41017495879987</v>
      </c>
      <c r="CE144" s="59">
        <f t="shared" si="148"/>
        <v>297.50513563712764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0.92614364092092172</v>
      </c>
      <c r="CL144" s="21">
        <f>EXP(-LN(2)/25)*CL143+(1-EXP(-LN(2)/25))/(LN(2)/25)*Calculateur!CG144*Calculateur!CI144*VLOOKUP('Données projet'!$B$12,Paramètres!$A$1:$I$89,3,0)*0.475*44/12</f>
        <v>1.2839902517069064</v>
      </c>
      <c r="CM144" s="21">
        <f>EXP(-LN(2)/2)*CM143+(1-EXP(-LN(2)/2))/(LN(2)/2)*CG144*CJ144*VLOOKUP('Données projet'!$B$12,Paramètres!$A$1:$I$89,3,0)*0.475*44/12</f>
        <v>4.7890157733708392E-16</v>
      </c>
      <c r="CN144" s="22">
        <f t="shared" si="120"/>
        <v>2.2101338926278284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-1.4210854715202004E-13</v>
      </c>
      <c r="CU144" s="17">
        <f>CT144*VLOOKUP('Données projet'!$B$13,Paramètres!$A$1:$I$89,3,0)*VLOOKUP('Données projet'!$B$13,Paramètres!$A$1:$I$89,5,0)</f>
        <v>-8.128608897095547E-14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134.70214882504786</v>
      </c>
      <c r="CZ144" s="59">
        <f t="shared" si="150"/>
        <v>102.18553029667771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0.1179878396219138</v>
      </c>
      <c r="DG144" s="21">
        <f>EXP(-LN(2)/25)*DG143+(1-EXP(-LN(2)/25))/(LN(2)/25)*Calculateur!DB144*Calculateur!DD144*VLOOKUP('Données projet'!$B$13,Paramètres!$A$1:$I$89,3,0)*0.475*44/12</f>
        <v>0.57817373757853852</v>
      </c>
      <c r="DH144" s="21">
        <f>EXP(-LN(2)/2)*DH143+(1-EXP(-LN(2)/2))/(LN(2)/2)*DB144*DE144*VLOOKUP('Données projet'!$B$13,Paramètres!$A$1:$I$89,3,0)*0.475*44/12</f>
        <v>1.5123712322555205E-16</v>
      </c>
      <c r="DI144" s="22">
        <f t="shared" si="123"/>
        <v>0.69616157720045246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-2.8421709430404007E-13</v>
      </c>
      <c r="DP144" s="17">
        <f>DO144*VLOOKUP('Données projet'!$B$14,Paramètres!$A$1:$I$89,3,0)*VLOOKUP('Données projet'!$B$14,Paramètres!$A$1:$I$89,5,0)</f>
        <v>-1.69961822393816E-13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179.32848817523677</v>
      </c>
      <c r="DU144" s="59">
        <f t="shared" si="152"/>
        <v>131.3292389103035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</v>
      </c>
      <c r="EB144" s="21">
        <f>EXP(-LN(2)/25)*EB143+(1-EXP(-LN(2)/25))/(LN(2)/25)*Calculateur!DW144*Calculateur!DY144*VLOOKUP('Données projet'!$B$14,Paramètres!$A$1:$I$89,3,0)*0.475*44/12</f>
        <v>0.60721824989054896</v>
      </c>
      <c r="EC144" s="21">
        <f>EXP(-LN(2)/2)*EC143+(1-EXP(-LN(2)/2))/(LN(2)/2)*DW144*DZ144*VLOOKUP('Données projet'!$B$14,Paramètres!$A$1:$I$89,3,0)*0.475*44/12</f>
        <v>1.0328989400313552E-16</v>
      </c>
      <c r="ED144" s="22">
        <f t="shared" si="126"/>
        <v>0.60721824989054907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-2.2737367544323206E-13</v>
      </c>
      <c r="EK144" s="17">
        <f>EJ144*VLOOKUP('Données projet'!$B$15,Paramètres!$A$1:$I$89,3,0)*VLOOKUP('Données projet'!$B$15,Paramètres!$A$1:$I$89,5,0)</f>
        <v>-1.0049916454590858E-13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191.932060106699</v>
      </c>
      <c r="EP144" s="59">
        <f t="shared" si="154"/>
        <v>260.28593152736903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0.27119367270049755</v>
      </c>
      <c r="EW144" s="21">
        <f>EXP(-LN(2)/25)*EW143+(1-EXP(-LN(2)/25))/(LN(2)/25)*Calculateur!ER144*Calculateur!ET144*VLOOKUP('Données projet'!$B$15,Paramètres!$A$1:$I$89,3,0)*0.475*44/12</f>
        <v>0.58140293387738051</v>
      </c>
      <c r="EX144" s="21">
        <f>EXP(-LN(2)/2)*EX143+(1-EXP(-LN(2)/2))/(LN(2)/2)*ER144*EU144*VLOOKUP('Données projet'!$B$15,Paramètres!$A$1:$I$89,3,0)*0.475*44/12</f>
        <v>2.6267177039038497E-17</v>
      </c>
      <c r="EY144" s="22">
        <f t="shared" si="129"/>
        <v>0.85259660657787806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181.00000000000009</v>
      </c>
      <c r="FF144" s="17">
        <f>FE144*VLOOKUP('Données projet'!$B$16,Paramètres!$A$1:$I$89,3,0)*VLOOKUP('Données projet'!$B$16,Paramètres!$A$1:$I$89,5,0)</f>
        <v>175.06320000000008</v>
      </c>
      <c r="FG144" s="13">
        <f t="shared" si="155"/>
        <v>44.222067746824763</v>
      </c>
      <c r="FH144" s="20">
        <f t="shared" si="130"/>
        <v>381.92184132571992</v>
      </c>
      <c r="FI144" s="59">
        <f t="shared" si="131"/>
        <v>675.25517465905318</v>
      </c>
      <c r="FJ144" s="59">
        <f ca="1">AVERAGE(OFFSET($FI$3,0,0,'Données projet'!$E$16+1,1))-AVERAGE(OFFSET($H$3,0,0,'Données projet'!$E$16+1,1))</f>
        <v>102.86738524979938</v>
      </c>
      <c r="FK144" s="59">
        <f t="shared" si="156"/>
        <v>56.347130462109817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0</v>
      </c>
      <c r="FR144" s="21">
        <f>EXP(-LN(2)/25)*FR143+(1-EXP(-LN(2)/25))/(LN(2)/25)*Calculateur!FM144*Calculateur!FO144*VLOOKUP('Données projet'!$B$16,Paramètres!$A$1:$I$89,3,0)*0.475*44/12</f>
        <v>0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0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300.00000000000068</v>
      </c>
      <c r="GA144" s="17">
        <f>FZ144*VLOOKUP('Données projet'!$B$17,Paramètres!$A$1:$I$89,3,0)*VLOOKUP('Données projet'!$B$17,Paramètres!$A$1:$I$89,5,0)</f>
        <v>201.24000000000046</v>
      </c>
      <c r="GB144" s="13">
        <f t="shared" si="157"/>
        <v>50.01658408633331</v>
      </c>
      <c r="GC144" s="20">
        <f t="shared" si="133"/>
        <v>437.60521728369798</v>
      </c>
      <c r="GD144" s="59">
        <f t="shared" si="134"/>
        <v>730.9385506170313</v>
      </c>
      <c r="GE144" s="59">
        <f ca="1">AVERAGE(OFFSET($GD$3,0,0,'Données projet'!$E$17+1,1))-AVERAGE(OFFSET($H$3,0,0,'Données projet'!$E$17+1,1))</f>
        <v>168.00454652899231</v>
      </c>
      <c r="GF144" s="59">
        <f t="shared" si="158"/>
        <v>135.31958994080446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0</v>
      </c>
      <c r="GM144" s="21">
        <f>EXP(-LN(2)/25)*GM143+(1-EXP(-LN(2)/25))/(LN(2)/25)*Calculateur!GH144*Calculateur!GJ144*VLOOKUP('Données projet'!$B$17,Paramètres!$A$1:$I$89,3,0)*0.475*44/12</f>
        <v>0</v>
      </c>
      <c r="GN144" s="21">
        <f>EXP(-LN(2)/2)*GN143+(1-EXP(-LN(2)/2))/(LN(2)/2)*GH144*GK144*VLOOKUP('Données projet'!$B$17,Paramètres!$A$1:$I$89,3,0)*0.475*44/12</f>
        <v>0</v>
      </c>
      <c r="GO144" s="21">
        <f t="shared" si="135"/>
        <v>0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4.5474735088646412E-13</v>
      </c>
      <c r="O145" s="13">
        <f>N145*VLOOKUP('Données projet'!$B$9,Paramètres!$A$1:$I$89,3,0)*VLOOKUP('Données projet'!$B$9,Paramètres!$A$1:$I$89,5,0)</f>
        <v>4.1145540308207271E-13</v>
      </c>
      <c r="P145" s="13">
        <f t="shared" si="141"/>
        <v>5.2428527960910789E-12</v>
      </c>
      <c r="Q145" s="20">
        <f t="shared" si="108"/>
        <v>9.8479201135599071E-12</v>
      </c>
      <c r="R145" s="59">
        <f t="shared" si="109"/>
        <v>293.33333333334315</v>
      </c>
      <c r="S145" s="59">
        <f ca="1">AVERAGE(OFFSET($R$3,0,0,'Données projet'!$E$9+1,1))-AVERAGE(OFFSET($H$3,0,0,'Données projet'!$E$9+1,1))</f>
        <v>221.7429870520005</v>
      </c>
      <c r="T145" s="59">
        <f t="shared" si="142"/>
        <v>182.2029938397186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0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5.1063034188034209</v>
      </c>
      <c r="AI145" s="13">
        <f>IF('Données projet'!$A$62&gt;35,AI144+AH145-AQ144,IF(A145&lt;'Données projet'!$A$62,$AF$205^A145,IF(A145='Données projet'!$A$62,'Données projet'!$B$62,AI144+AH145-AQ144)))</f>
        <v>267.4417735042731</v>
      </c>
      <c r="AJ145" s="13">
        <f>AI145*VLOOKUP('Données projet'!$B$10,Paramètres!$A$1:$I$89,3,0)*VLOOKUP('Données projet'!$B$10,Paramètres!$A$1:$I$89,5,0)</f>
        <v>241.98131666666632</v>
      </c>
      <c r="AK145" s="13">
        <f t="shared" si="143"/>
        <v>58.865616222095206</v>
      </c>
      <c r="AL145" s="20">
        <f t="shared" si="112"/>
        <v>523.97507478125954</v>
      </c>
      <c r="AM145" s="59">
        <f t="shared" si="113"/>
        <v>817.30840811459279</v>
      </c>
      <c r="AN145" s="59">
        <f ca="1">AVERAGE(OFFSET($AM$3,0,0,'Données projet'!$E$10+1,1))-AVERAGE(OFFSET($H$3,0,0,'Données projet'!$E$10+1,1))</f>
        <v>153.45079678708987</v>
      </c>
      <c r="AO145" s="59">
        <f t="shared" si="144"/>
        <v>115.4217868409637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0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3.4106051316484809E-13</v>
      </c>
      <c r="BE145" s="13">
        <f>BD145*VLOOKUP('Données projet'!$B$11,Paramètres!$A$1:$I$89,3,0)*VLOOKUP('Données projet'!$B$11,Paramètres!$A$1:$I$89,5,0)</f>
        <v>1.5961632016114892E-13</v>
      </c>
      <c r="BF145" s="13">
        <f t="shared" si="145"/>
        <v>2.2708641912150958E-12</v>
      </c>
      <c r="BG145" s="20">
        <f t="shared" si="115"/>
        <v>4.2330868906469593E-12</v>
      </c>
      <c r="BH145" s="59">
        <f t="shared" si="116"/>
        <v>293.33333333333752</v>
      </c>
      <c r="BI145" s="59">
        <f ca="1">AVERAGE(OFFSET($BH$3,0,0,'Données projet'!$E$11+1,1))-AVERAGE(OFFSET($H$3,0,0,'Données projet'!$E$11+1,1))</f>
        <v>158.58786357608489</v>
      </c>
      <c r="BJ145" s="59">
        <f t="shared" si="146"/>
        <v>163.20074068819849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0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>
        <f>BY145*VLOOKUP('Données projet'!$B$12,Paramètres!$A$1:$I$89,3,0)*VLOOKUP('Données projet'!$B$12,Paramètres!$A$1:$I$89,5,0)</f>
        <v>0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255.41017495879987</v>
      </c>
      <c r="CE145" s="59">
        <f t="shared" si="148"/>
        <v>297.50513563712764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0.90798252901430498</v>
      </c>
      <c r="CL145" s="21">
        <f>EXP(-LN(2)/25)*CL144+(1-EXP(-LN(2)/25))/(LN(2)/25)*Calculateur!CG145*Calculateur!CI145*VLOOKUP('Données projet'!$B$12,Paramètres!$A$1:$I$89,3,0)*0.475*44/12</f>
        <v>1.2488794707518682</v>
      </c>
      <c r="CM145" s="21">
        <f>EXP(-LN(2)/2)*CM144+(1-EXP(-LN(2)/2))/(LN(2)/2)*CG145*CJ145*VLOOKUP('Données projet'!$B$12,Paramètres!$A$1:$I$89,3,0)*0.475*44/12</f>
        <v>3.3863455285598587E-16</v>
      </c>
      <c r="CN145" s="22">
        <f t="shared" si="120"/>
        <v>2.1568619997661735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-1.4210854715202004E-13</v>
      </c>
      <c r="CU145" s="17">
        <f>CT145*VLOOKUP('Données projet'!$B$13,Paramètres!$A$1:$I$89,3,0)*VLOOKUP('Données projet'!$B$13,Paramètres!$A$1:$I$89,5,0)</f>
        <v>-8.128608897095547E-14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134.70214882504786</v>
      </c>
      <c r="CZ145" s="59">
        <f t="shared" si="150"/>
        <v>102.18553029667771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0.11567417005240424</v>
      </c>
      <c r="DG145" s="21">
        <f>EXP(-LN(2)/25)*DG144+(1-EXP(-LN(2)/25))/(LN(2)/25)*Calculateur!DB145*Calculateur!DD145*VLOOKUP('Données projet'!$B$13,Paramètres!$A$1:$I$89,3,0)*0.475*44/12</f>
        <v>0.56236354631961794</v>
      </c>
      <c r="DH145" s="21">
        <f>EXP(-LN(2)/2)*DH144+(1-EXP(-LN(2)/2))/(LN(2)/2)*DB145*DE145*VLOOKUP('Données projet'!$B$13,Paramètres!$A$1:$I$89,3,0)*0.475*44/12</f>
        <v>1.0694079539993336E-16</v>
      </c>
      <c r="DI145" s="22">
        <f t="shared" si="123"/>
        <v>0.67803771637202226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-2.8421709430404007E-13</v>
      </c>
      <c r="DP145" s="17">
        <f>DO145*VLOOKUP('Données projet'!$B$14,Paramètres!$A$1:$I$89,3,0)*VLOOKUP('Données projet'!$B$14,Paramètres!$A$1:$I$89,5,0)</f>
        <v>-1.69961822393816E-13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179.32848817523677</v>
      </c>
      <c r="DU145" s="59">
        <f t="shared" si="152"/>
        <v>131.3292389103035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</v>
      </c>
      <c r="EB145" s="21">
        <f>EXP(-LN(2)/25)*EB144+(1-EXP(-LN(2)/25))/(LN(2)/25)*Calculateur!DW145*Calculateur!DY145*VLOOKUP('Données projet'!$B$14,Paramètres!$A$1:$I$89,3,0)*0.475*44/12</f>
        <v>0.59061383491507191</v>
      </c>
      <c r="EC145" s="21">
        <f>EXP(-LN(2)/2)*EC144+(1-EXP(-LN(2)/2))/(LN(2)/2)*DW145*DZ145*VLOOKUP('Données projet'!$B$14,Paramètres!$A$1:$I$89,3,0)*0.475*44/12</f>
        <v>7.3036984477656836E-17</v>
      </c>
      <c r="ED145" s="22">
        <f t="shared" si="126"/>
        <v>0.59061383491507202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-2.2737367544323206E-13</v>
      </c>
      <c r="EK145" s="17">
        <f>EJ145*VLOOKUP('Données projet'!$B$15,Paramètres!$A$1:$I$89,3,0)*VLOOKUP('Données projet'!$B$15,Paramètres!$A$1:$I$89,5,0)</f>
        <v>-1.0049916454590858E-13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191.932060106699</v>
      </c>
      <c r="EP145" s="59">
        <f t="shared" si="154"/>
        <v>260.28593152736903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0.26587573019064809</v>
      </c>
      <c r="EW145" s="21">
        <f>EXP(-LN(2)/25)*EW144+(1-EXP(-LN(2)/25))/(LN(2)/25)*Calculateur!ER145*Calculateur!ET145*VLOOKUP('Données projet'!$B$15,Paramètres!$A$1:$I$89,3,0)*0.475*44/12</f>
        <v>0.5655044400758521</v>
      </c>
      <c r="EX145" s="21">
        <f>EXP(-LN(2)/2)*EX144+(1-EXP(-LN(2)/2))/(LN(2)/2)*ER145*EU145*VLOOKUP('Données projet'!$B$15,Paramètres!$A$1:$I$89,3,0)*0.475*44/12</f>
        <v>1.85736990069317E-17</v>
      </c>
      <c r="EY145" s="22">
        <f t="shared" si="129"/>
        <v>0.83138017026650024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181.00000000000009</v>
      </c>
      <c r="FF145" s="17">
        <f>FE145*VLOOKUP('Données projet'!$B$16,Paramètres!$A$1:$I$89,3,0)*VLOOKUP('Données projet'!$B$16,Paramètres!$A$1:$I$89,5,0)</f>
        <v>175.06320000000008</v>
      </c>
      <c r="FG145" s="13">
        <f t="shared" si="155"/>
        <v>44.222067746824763</v>
      </c>
      <c r="FH145" s="20">
        <f t="shared" si="130"/>
        <v>381.92184132571992</v>
      </c>
      <c r="FI145" s="59">
        <f t="shared" si="131"/>
        <v>675.25517465905318</v>
      </c>
      <c r="FJ145" s="59">
        <f ca="1">AVERAGE(OFFSET($FI$3,0,0,'Données projet'!$E$16+1,1))-AVERAGE(OFFSET($H$3,0,0,'Données projet'!$E$16+1,1))</f>
        <v>102.86738524979938</v>
      </c>
      <c r="FK145" s="59">
        <f t="shared" si="156"/>
        <v>56.347130462109817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0</v>
      </c>
      <c r="FR145" s="21">
        <f>EXP(-LN(2)/25)*FR144+(1-EXP(-LN(2)/25))/(LN(2)/25)*Calculateur!FM145*Calculateur!FO145*VLOOKUP('Données projet'!$B$16,Paramètres!$A$1:$I$89,3,0)*0.475*44/12</f>
        <v>0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0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300.00000000000068</v>
      </c>
      <c r="GA145" s="17">
        <f>FZ145*VLOOKUP('Données projet'!$B$17,Paramètres!$A$1:$I$89,3,0)*VLOOKUP('Données projet'!$B$17,Paramètres!$A$1:$I$89,5,0)</f>
        <v>201.24000000000046</v>
      </c>
      <c r="GB145" s="13">
        <f t="shared" si="157"/>
        <v>50.01658408633331</v>
      </c>
      <c r="GC145" s="20">
        <f t="shared" si="133"/>
        <v>437.60521728369798</v>
      </c>
      <c r="GD145" s="59">
        <f t="shared" si="134"/>
        <v>730.9385506170313</v>
      </c>
      <c r="GE145" s="59">
        <f ca="1">AVERAGE(OFFSET($GD$3,0,0,'Données projet'!$E$17+1,1))-AVERAGE(OFFSET($H$3,0,0,'Données projet'!$E$17+1,1))</f>
        <v>168.00454652899231</v>
      </c>
      <c r="GF145" s="59">
        <f t="shared" si="158"/>
        <v>135.31958994080446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0</v>
      </c>
      <c r="GM145" s="21">
        <f>EXP(-LN(2)/25)*GM144+(1-EXP(-LN(2)/25))/(LN(2)/25)*Calculateur!GH145*Calculateur!GJ145*VLOOKUP('Données projet'!$B$17,Paramètres!$A$1:$I$89,3,0)*0.475*44/12</f>
        <v>0</v>
      </c>
      <c r="GN145" s="21">
        <f>EXP(-LN(2)/2)*GN144+(1-EXP(-LN(2)/2))/(LN(2)/2)*GH145*GK145*VLOOKUP('Données projet'!$B$17,Paramètres!$A$1:$I$89,3,0)*0.475*44/12</f>
        <v>0</v>
      </c>
      <c r="GO145" s="21">
        <f t="shared" si="135"/>
        <v>0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4.5474735088646412E-13</v>
      </c>
      <c r="O146" s="13">
        <f>N146*VLOOKUP('Données projet'!$B$9,Paramètres!$A$1:$I$89,3,0)*VLOOKUP('Données projet'!$B$9,Paramètres!$A$1:$I$89,5,0)</f>
        <v>4.1145540308207271E-13</v>
      </c>
      <c r="P146" s="13">
        <f t="shared" si="141"/>
        <v>5.2428527960910789E-12</v>
      </c>
      <c r="Q146" s="20">
        <f t="shared" si="108"/>
        <v>9.8479201135599071E-12</v>
      </c>
      <c r="R146" s="59">
        <f t="shared" si="109"/>
        <v>293.33333333334315</v>
      </c>
      <c r="S146" s="59">
        <f ca="1">AVERAGE(OFFSET($R$3,0,0,'Données projet'!$E$9+1,1))-AVERAGE(OFFSET($H$3,0,0,'Données projet'!$E$9+1,1))</f>
        <v>221.7429870520005</v>
      </c>
      <c r="T146" s="59">
        <f t="shared" si="142"/>
        <v>182.2029938397186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0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5.1063034188034209</v>
      </c>
      <c r="AI146" s="13">
        <f>IF('Données projet'!$A$62&gt;35,AI145+AH146-AQ145,IF(A146&lt;'Données projet'!$A$62,$AF$205^A146,IF(A146='Données projet'!$A$62,'Données projet'!$B$62,AI145+AH146-AQ145)))</f>
        <v>272.54807692307651</v>
      </c>
      <c r="AJ146" s="13">
        <f>AI146*VLOOKUP('Données projet'!$B$10,Paramètres!$A$1:$I$89,3,0)*VLOOKUP('Données projet'!$B$10,Paramètres!$A$1:$I$89,5,0)</f>
        <v>246.60149999999962</v>
      </c>
      <c r="AK146" s="13">
        <f t="shared" si="143"/>
        <v>59.857624528428133</v>
      </c>
      <c r="AL146" s="20">
        <f t="shared" si="112"/>
        <v>533.74964188701165</v>
      </c>
      <c r="AM146" s="59">
        <f t="shared" si="113"/>
        <v>827.08297522034491</v>
      </c>
      <c r="AN146" s="59">
        <f ca="1">AVERAGE(OFFSET($AM$3,0,0,'Données projet'!$E$10+1,1))-AVERAGE(OFFSET($H$3,0,0,'Données projet'!$E$10+1,1))</f>
        <v>153.45079678708987</v>
      </c>
      <c r="AO146" s="59">
        <f t="shared" si="144"/>
        <v>115.4217868409637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0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3.4106051316484809E-13</v>
      </c>
      <c r="BE146" s="13">
        <f>BD146*VLOOKUP('Données projet'!$B$11,Paramètres!$A$1:$I$89,3,0)*VLOOKUP('Données projet'!$B$11,Paramètres!$A$1:$I$89,5,0)</f>
        <v>1.5961632016114892E-13</v>
      </c>
      <c r="BF146" s="13">
        <f t="shared" si="145"/>
        <v>2.2708641912150958E-12</v>
      </c>
      <c r="BG146" s="20">
        <f t="shared" si="115"/>
        <v>4.2330868906469593E-12</v>
      </c>
      <c r="BH146" s="59">
        <f t="shared" si="116"/>
        <v>293.33333333333752</v>
      </c>
      <c r="BI146" s="59">
        <f ca="1">AVERAGE(OFFSET($BH$3,0,0,'Données projet'!$E$11+1,1))-AVERAGE(OFFSET($H$3,0,0,'Données projet'!$E$11+1,1))</f>
        <v>158.58786357608489</v>
      </c>
      <c r="BJ146" s="59">
        <f t="shared" si="146"/>
        <v>163.20074068819849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0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>
        <f>BY146*VLOOKUP('Données projet'!$B$12,Paramètres!$A$1:$I$89,3,0)*VLOOKUP('Données projet'!$B$12,Paramètres!$A$1:$I$89,5,0)</f>
        <v>0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255.41017495879987</v>
      </c>
      <c r="CE146" s="59">
        <f t="shared" si="148"/>
        <v>297.50513563712764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0.8901775454349925</v>
      </c>
      <c r="CL146" s="21">
        <f>EXP(-LN(2)/25)*CL145+(1-EXP(-LN(2)/25))/(LN(2)/25)*Calculateur!CG146*Calculateur!CI146*VLOOKUP('Données projet'!$B$12,Paramètres!$A$1:$I$89,3,0)*0.475*44/12</f>
        <v>1.2147287959484414</v>
      </c>
      <c r="CM146" s="21">
        <f>EXP(-LN(2)/2)*CM145+(1-EXP(-LN(2)/2))/(LN(2)/2)*CG146*CJ146*VLOOKUP('Données projet'!$B$12,Paramètres!$A$1:$I$89,3,0)*0.475*44/12</f>
        <v>2.3945078866854196E-16</v>
      </c>
      <c r="CN146" s="22">
        <f t="shared" si="120"/>
        <v>2.1049063413834346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-1.4210854715202004E-13</v>
      </c>
      <c r="CU146" s="17">
        <f>CT146*VLOOKUP('Données projet'!$B$13,Paramètres!$A$1:$I$89,3,0)*VLOOKUP('Données projet'!$B$13,Paramètres!$A$1:$I$89,5,0)</f>
        <v>-8.128608897095547E-14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134.70214882504786</v>
      </c>
      <c r="CZ146" s="59">
        <f t="shared" si="150"/>
        <v>102.18553029667771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0.11340587013195366</v>
      </c>
      <c r="DG146" s="21">
        <f>EXP(-LN(2)/25)*DG145+(1-EXP(-LN(2)/25))/(LN(2)/25)*Calculateur!DB146*Calculateur!DD146*VLOOKUP('Données projet'!$B$13,Paramètres!$A$1:$I$89,3,0)*0.475*44/12</f>
        <v>0.54698568557209437</v>
      </c>
      <c r="DH146" s="21">
        <f>EXP(-LN(2)/2)*DH145+(1-EXP(-LN(2)/2))/(LN(2)/2)*DB146*DE146*VLOOKUP('Données projet'!$B$13,Paramètres!$A$1:$I$89,3,0)*0.475*44/12</f>
        <v>7.5618561612776025E-17</v>
      </c>
      <c r="DI146" s="22">
        <f t="shared" si="123"/>
        <v>0.66039155570404817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-2.8421709430404007E-13</v>
      </c>
      <c r="DP146" s="17">
        <f>DO146*VLOOKUP('Données projet'!$B$14,Paramètres!$A$1:$I$89,3,0)*VLOOKUP('Données projet'!$B$14,Paramètres!$A$1:$I$89,5,0)</f>
        <v>-1.69961822393816E-13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179.32848817523677</v>
      </c>
      <c r="DU146" s="59">
        <f t="shared" si="152"/>
        <v>131.3292389103035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</v>
      </c>
      <c r="EB146" s="21">
        <f>EXP(-LN(2)/25)*EB145+(1-EXP(-LN(2)/25))/(LN(2)/25)*Calculateur!DW146*Calculateur!DY146*VLOOKUP('Données projet'!$B$14,Paramètres!$A$1:$I$89,3,0)*0.475*44/12</f>
        <v>0.57446346854028751</v>
      </c>
      <c r="EC146" s="21">
        <f>EXP(-LN(2)/2)*EC145+(1-EXP(-LN(2)/2))/(LN(2)/2)*DW146*DZ146*VLOOKUP('Données projet'!$B$14,Paramètres!$A$1:$I$89,3,0)*0.475*44/12</f>
        <v>5.1644947001567761E-17</v>
      </c>
      <c r="ED146" s="22">
        <f t="shared" si="126"/>
        <v>0.57446346854028751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-2.2737367544323206E-13</v>
      </c>
      <c r="EK146" s="17">
        <f>EJ146*VLOOKUP('Données projet'!$B$15,Paramètres!$A$1:$I$89,3,0)*VLOOKUP('Données projet'!$B$15,Paramètres!$A$1:$I$89,5,0)</f>
        <v>-1.0049916454590858E-13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191.932060106699</v>
      </c>
      <c r="EP146" s="59">
        <f t="shared" si="154"/>
        <v>260.28593152736903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0.26066206928979213</v>
      </c>
      <c r="EW146" s="21">
        <f>EXP(-LN(2)/25)*EW145+(1-EXP(-LN(2)/25))/(LN(2)/25)*Calculateur!ER146*Calculateur!ET146*VLOOKUP('Données projet'!$B$15,Paramètres!$A$1:$I$89,3,0)*0.475*44/12</f>
        <v>0.55004069142339185</v>
      </c>
      <c r="EX146" s="21">
        <f>EXP(-LN(2)/2)*EX145+(1-EXP(-LN(2)/2))/(LN(2)/2)*ER146*EU146*VLOOKUP('Données projet'!$B$15,Paramètres!$A$1:$I$89,3,0)*0.475*44/12</f>
        <v>1.3133588519519249E-17</v>
      </c>
      <c r="EY146" s="22">
        <f t="shared" si="129"/>
        <v>0.81070276071318403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181.00000000000009</v>
      </c>
      <c r="FF146" s="17">
        <f>FE146*VLOOKUP('Données projet'!$B$16,Paramètres!$A$1:$I$89,3,0)*VLOOKUP('Données projet'!$B$16,Paramètres!$A$1:$I$89,5,0)</f>
        <v>175.06320000000008</v>
      </c>
      <c r="FG146" s="13">
        <f t="shared" si="155"/>
        <v>44.222067746824763</v>
      </c>
      <c r="FH146" s="20">
        <f t="shared" si="130"/>
        <v>381.92184132571992</v>
      </c>
      <c r="FI146" s="59">
        <f t="shared" si="131"/>
        <v>675.25517465905318</v>
      </c>
      <c r="FJ146" s="59">
        <f ca="1">AVERAGE(OFFSET($FI$3,0,0,'Données projet'!$E$16+1,1))-AVERAGE(OFFSET($H$3,0,0,'Données projet'!$E$16+1,1))</f>
        <v>102.86738524979938</v>
      </c>
      <c r="FK146" s="59">
        <f t="shared" si="156"/>
        <v>56.347130462109817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0</v>
      </c>
      <c r="FR146" s="21">
        <f>EXP(-LN(2)/25)*FR145+(1-EXP(-LN(2)/25))/(LN(2)/25)*Calculateur!FM146*Calculateur!FO146*VLOOKUP('Données projet'!$B$16,Paramètres!$A$1:$I$89,3,0)*0.475*44/12</f>
        <v>0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0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300.00000000000068</v>
      </c>
      <c r="GA146" s="17">
        <f>FZ146*VLOOKUP('Données projet'!$B$17,Paramètres!$A$1:$I$89,3,0)*VLOOKUP('Données projet'!$B$17,Paramètres!$A$1:$I$89,5,0)</f>
        <v>201.24000000000046</v>
      </c>
      <c r="GB146" s="13">
        <f t="shared" si="157"/>
        <v>50.01658408633331</v>
      </c>
      <c r="GC146" s="20">
        <f t="shared" si="133"/>
        <v>437.60521728369798</v>
      </c>
      <c r="GD146" s="59">
        <f t="shared" si="134"/>
        <v>730.9385506170313</v>
      </c>
      <c r="GE146" s="59">
        <f ca="1">AVERAGE(OFFSET($GD$3,0,0,'Données projet'!$E$17+1,1))-AVERAGE(OFFSET($H$3,0,0,'Données projet'!$E$17+1,1))</f>
        <v>168.00454652899231</v>
      </c>
      <c r="GF146" s="59">
        <f t="shared" si="158"/>
        <v>135.31958994080446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0</v>
      </c>
      <c r="GM146" s="21">
        <f>EXP(-LN(2)/25)*GM145+(1-EXP(-LN(2)/25))/(LN(2)/25)*Calculateur!GH146*Calculateur!GJ146*VLOOKUP('Données projet'!$B$17,Paramètres!$A$1:$I$89,3,0)*0.475*44/12</f>
        <v>0</v>
      </c>
      <c r="GN146" s="21">
        <f>EXP(-LN(2)/2)*GN145+(1-EXP(-LN(2)/2))/(LN(2)/2)*GH146*GK146*VLOOKUP('Données projet'!$B$17,Paramètres!$A$1:$I$89,3,0)*0.475*44/12</f>
        <v>0</v>
      </c>
      <c r="GO146" s="21">
        <f t="shared" si="135"/>
        <v>0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4.5474735088646412E-13</v>
      </c>
      <c r="O147" s="13">
        <f>N147*VLOOKUP('Données projet'!$B$9,Paramètres!$A$1:$I$89,3,0)*VLOOKUP('Données projet'!$B$9,Paramètres!$A$1:$I$89,5,0)</f>
        <v>4.1145540308207271E-13</v>
      </c>
      <c r="P147" s="13">
        <f t="shared" si="141"/>
        <v>5.2428527960910789E-12</v>
      </c>
      <c r="Q147" s="20">
        <f t="shared" si="108"/>
        <v>9.8479201135599071E-12</v>
      </c>
      <c r="R147" s="59">
        <f t="shared" si="109"/>
        <v>293.33333333334315</v>
      </c>
      <c r="S147" s="59">
        <f ca="1">AVERAGE(OFFSET($R$3,0,0,'Données projet'!$E$9+1,1))-AVERAGE(OFFSET($H$3,0,0,'Données projet'!$E$9+1,1))</f>
        <v>221.7429870520005</v>
      </c>
      <c r="T147" s="59">
        <f t="shared" si="142"/>
        <v>182.2029938397186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0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5.1063034188034209</v>
      </c>
      <c r="AI147" s="13">
        <f>IF('Données projet'!$A$62&gt;35,AI146+AH147-AQ146,IF(A147&lt;'Données projet'!$A$62,$AF$205^A147,IF(A147='Données projet'!$A$62,'Données projet'!$B$62,AI146+AH147-AQ146)))</f>
        <v>277.65438034187991</v>
      </c>
      <c r="AJ147" s="13">
        <f>AI147*VLOOKUP('Données projet'!$B$10,Paramètres!$A$1:$I$89,3,0)*VLOOKUP('Données projet'!$B$10,Paramètres!$A$1:$I$89,5,0)</f>
        <v>251.22168333333292</v>
      </c>
      <c r="AK147" s="13">
        <f t="shared" si="143"/>
        <v>60.847471683449903</v>
      </c>
      <c r="AL147" s="20">
        <f t="shared" si="112"/>
        <v>543.52044498756334</v>
      </c>
      <c r="AM147" s="59">
        <f t="shared" si="113"/>
        <v>836.85377832089671</v>
      </c>
      <c r="AN147" s="59">
        <f ca="1">AVERAGE(OFFSET($AM$3,0,0,'Données projet'!$E$10+1,1))-AVERAGE(OFFSET($H$3,0,0,'Données projet'!$E$10+1,1))</f>
        <v>153.45079678708987</v>
      </c>
      <c r="AO147" s="59">
        <f t="shared" si="144"/>
        <v>115.4217868409637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0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3.4106051316484809E-13</v>
      </c>
      <c r="BE147" s="13">
        <f>BD147*VLOOKUP('Données projet'!$B$11,Paramètres!$A$1:$I$89,3,0)*VLOOKUP('Données projet'!$B$11,Paramètres!$A$1:$I$89,5,0)</f>
        <v>1.5961632016114892E-13</v>
      </c>
      <c r="BF147" s="13">
        <f t="shared" si="145"/>
        <v>2.2708641912150958E-12</v>
      </c>
      <c r="BG147" s="20">
        <f t="shared" si="115"/>
        <v>4.2330868906469593E-12</v>
      </c>
      <c r="BH147" s="59">
        <f t="shared" si="116"/>
        <v>293.33333333333752</v>
      </c>
      <c r="BI147" s="59">
        <f ca="1">AVERAGE(OFFSET($BH$3,0,0,'Données projet'!$E$11+1,1))-AVERAGE(OFFSET($H$3,0,0,'Données projet'!$E$11+1,1))</f>
        <v>158.58786357608489</v>
      </c>
      <c r="BJ147" s="59">
        <f t="shared" si="146"/>
        <v>163.20074068819849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0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>
        <f>BY147*VLOOKUP('Données projet'!$B$12,Paramètres!$A$1:$I$89,3,0)*VLOOKUP('Données projet'!$B$12,Paramètres!$A$1:$I$89,5,0)</f>
        <v>0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255.41017495879987</v>
      </c>
      <c r="CE147" s="59">
        <f t="shared" si="148"/>
        <v>297.50513563712764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0.87272170672370264</v>
      </c>
      <c r="CL147" s="21">
        <f>EXP(-LN(2)/25)*CL146+(1-EXP(-LN(2)/25))/(LN(2)/25)*Calculateur!CG147*Calculateur!CI147*VLOOKUP('Données projet'!$B$12,Paramètres!$A$1:$I$89,3,0)*0.475*44/12</f>
        <v>1.1815119731434203</v>
      </c>
      <c r="CM147" s="21">
        <f>EXP(-LN(2)/2)*CM146+(1-EXP(-LN(2)/2))/(LN(2)/2)*CG147*CJ147*VLOOKUP('Données projet'!$B$12,Paramètres!$A$1:$I$89,3,0)*0.475*44/12</f>
        <v>1.6931727642799293E-16</v>
      </c>
      <c r="CN147" s="22">
        <f t="shared" si="120"/>
        <v>2.054233679867123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-1.4210854715202004E-13</v>
      </c>
      <c r="CU147" s="17">
        <f>CT147*VLOOKUP('Données projet'!$B$13,Paramètres!$A$1:$I$89,3,0)*VLOOKUP('Données projet'!$B$13,Paramètres!$A$1:$I$89,5,0)</f>
        <v>-8.128608897095547E-14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134.70214882504786</v>
      </c>
      <c r="CZ147" s="59">
        <f t="shared" si="150"/>
        <v>102.18553029667771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0.11118205018941679</v>
      </c>
      <c r="DG147" s="21">
        <f>EXP(-LN(2)/25)*DG146+(1-EXP(-LN(2)/25))/(LN(2)/25)*Calculateur!DB147*Calculateur!DD147*VLOOKUP('Données projet'!$B$13,Paramètres!$A$1:$I$89,3,0)*0.475*44/12</f>
        <v>0.53202833323539844</v>
      </c>
      <c r="DH147" s="21">
        <f>EXP(-LN(2)/2)*DH146+(1-EXP(-LN(2)/2))/(LN(2)/2)*DB147*DE147*VLOOKUP('Données projet'!$B$13,Paramètres!$A$1:$I$89,3,0)*0.475*44/12</f>
        <v>5.347039769996668E-17</v>
      </c>
      <c r="DI147" s="22">
        <f t="shared" si="123"/>
        <v>0.64321038342481529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-2.8421709430404007E-13</v>
      </c>
      <c r="DP147" s="17">
        <f>DO147*VLOOKUP('Données projet'!$B$14,Paramètres!$A$1:$I$89,3,0)*VLOOKUP('Données projet'!$B$14,Paramètres!$A$1:$I$89,5,0)</f>
        <v>-1.69961822393816E-13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179.32848817523677</v>
      </c>
      <c r="DU147" s="59">
        <f t="shared" si="152"/>
        <v>131.3292389103035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</v>
      </c>
      <c r="EB147" s="21">
        <f>EXP(-LN(2)/25)*EB146+(1-EXP(-LN(2)/25))/(LN(2)/25)*Calculateur!DW147*Calculateur!DY147*VLOOKUP('Données projet'!$B$14,Paramètres!$A$1:$I$89,3,0)*0.475*44/12</f>
        <v>0.55875473478333249</v>
      </c>
      <c r="EC147" s="21">
        <f>EXP(-LN(2)/2)*EC146+(1-EXP(-LN(2)/2))/(LN(2)/2)*DW147*DZ147*VLOOKUP('Données projet'!$B$14,Paramètres!$A$1:$I$89,3,0)*0.475*44/12</f>
        <v>3.6518492238828418E-17</v>
      </c>
      <c r="ED147" s="22">
        <f t="shared" si="126"/>
        <v>0.55875473478333249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-2.2737367544323206E-13</v>
      </c>
      <c r="EK147" s="17">
        <f>EJ147*VLOOKUP('Données projet'!$B$15,Paramètres!$A$1:$I$89,3,0)*VLOOKUP('Données projet'!$B$15,Paramètres!$A$1:$I$89,5,0)</f>
        <v>-1.0049916454590858E-13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191.932060106699</v>
      </c>
      <c r="EP147" s="59">
        <f t="shared" si="154"/>
        <v>260.28593152736903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0.25555064509918279</v>
      </c>
      <c r="EW147" s="21">
        <f>EXP(-LN(2)/25)*EW146+(1-EXP(-LN(2)/25))/(LN(2)/25)*Calculateur!ER147*Calculateur!ET147*VLOOKUP('Données projet'!$B$15,Paramètres!$A$1:$I$89,3,0)*0.475*44/12</f>
        <v>0.5349997997910364</v>
      </c>
      <c r="EX147" s="21">
        <f>EXP(-LN(2)/2)*EX146+(1-EXP(-LN(2)/2))/(LN(2)/2)*ER147*EU147*VLOOKUP('Données projet'!$B$15,Paramètres!$A$1:$I$89,3,0)*0.475*44/12</f>
        <v>9.2868495034658499E-18</v>
      </c>
      <c r="EY147" s="22">
        <f t="shared" si="129"/>
        <v>0.79055044489021919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181.00000000000009</v>
      </c>
      <c r="FF147" s="17">
        <f>FE147*VLOOKUP('Données projet'!$B$16,Paramètres!$A$1:$I$89,3,0)*VLOOKUP('Données projet'!$B$16,Paramètres!$A$1:$I$89,5,0)</f>
        <v>175.06320000000008</v>
      </c>
      <c r="FG147" s="13">
        <f t="shared" si="155"/>
        <v>44.222067746824763</v>
      </c>
      <c r="FH147" s="20">
        <f t="shared" si="130"/>
        <v>381.92184132571992</v>
      </c>
      <c r="FI147" s="59">
        <f t="shared" si="131"/>
        <v>675.25517465905318</v>
      </c>
      <c r="FJ147" s="59">
        <f ca="1">AVERAGE(OFFSET($FI$3,0,0,'Données projet'!$E$16+1,1))-AVERAGE(OFFSET($H$3,0,0,'Données projet'!$E$16+1,1))</f>
        <v>102.86738524979938</v>
      </c>
      <c r="FK147" s="59">
        <f t="shared" si="156"/>
        <v>56.347130462109817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0</v>
      </c>
      <c r="FR147" s="21">
        <f>EXP(-LN(2)/25)*FR146+(1-EXP(-LN(2)/25))/(LN(2)/25)*Calculateur!FM147*Calculateur!FO147*VLOOKUP('Données projet'!$B$16,Paramètres!$A$1:$I$89,3,0)*0.475*44/12</f>
        <v>0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0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300.00000000000068</v>
      </c>
      <c r="GA147" s="17">
        <f>FZ147*VLOOKUP('Données projet'!$B$17,Paramètres!$A$1:$I$89,3,0)*VLOOKUP('Données projet'!$B$17,Paramètres!$A$1:$I$89,5,0)</f>
        <v>201.24000000000046</v>
      </c>
      <c r="GB147" s="13">
        <f t="shared" si="157"/>
        <v>50.01658408633331</v>
      </c>
      <c r="GC147" s="20">
        <f t="shared" si="133"/>
        <v>437.60521728369798</v>
      </c>
      <c r="GD147" s="59">
        <f t="shared" si="134"/>
        <v>730.9385506170313</v>
      </c>
      <c r="GE147" s="59">
        <f ca="1">AVERAGE(OFFSET($GD$3,0,0,'Données projet'!$E$17+1,1))-AVERAGE(OFFSET($H$3,0,0,'Données projet'!$E$17+1,1))</f>
        <v>168.00454652899231</v>
      </c>
      <c r="GF147" s="59">
        <f t="shared" si="158"/>
        <v>135.31958994080446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0</v>
      </c>
      <c r="GM147" s="21">
        <f>EXP(-LN(2)/25)*GM146+(1-EXP(-LN(2)/25))/(LN(2)/25)*Calculateur!GH147*Calculateur!GJ147*VLOOKUP('Données projet'!$B$17,Paramètres!$A$1:$I$89,3,0)*0.475*44/12</f>
        <v>0</v>
      </c>
      <c r="GN147" s="21">
        <f>EXP(-LN(2)/2)*GN146+(1-EXP(-LN(2)/2))/(LN(2)/2)*GH147*GK147*VLOOKUP('Données projet'!$B$17,Paramètres!$A$1:$I$89,3,0)*0.475*44/12</f>
        <v>0</v>
      </c>
      <c r="GO147" s="21">
        <f t="shared" si="135"/>
        <v>0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4.5474735088646412E-13</v>
      </c>
      <c r="O148" s="13">
        <f>N148*VLOOKUP('Données projet'!$B$9,Paramètres!$A$1:$I$89,3,0)*VLOOKUP('Données projet'!$B$9,Paramètres!$A$1:$I$89,5,0)</f>
        <v>4.1145540308207271E-13</v>
      </c>
      <c r="P148" s="13">
        <f t="shared" si="141"/>
        <v>5.2428527960910789E-12</v>
      </c>
      <c r="Q148" s="20">
        <f t="shared" si="108"/>
        <v>9.8479201135599071E-12</v>
      </c>
      <c r="R148" s="59">
        <f t="shared" si="109"/>
        <v>293.33333333334315</v>
      </c>
      <c r="S148" s="59">
        <f ca="1">AVERAGE(OFFSET($R$3,0,0,'Données projet'!$E$9+1,1))-AVERAGE(OFFSET($H$3,0,0,'Données projet'!$E$9+1,1))</f>
        <v>221.7429870520005</v>
      </c>
      <c r="T148" s="59">
        <f t="shared" si="142"/>
        <v>182.2029938397186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0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5.1063034188034209</v>
      </c>
      <c r="AI148" s="13">
        <f>IF('Données projet'!$A$62&gt;35,AI147+AH148-AQ147,IF(A148&lt;'Données projet'!$A$62,$AF$205^A148,IF(A148='Données projet'!$A$62,'Données projet'!$B$62,AI147+AH148-AQ147)))</f>
        <v>282.76068376068332</v>
      </c>
      <c r="AJ148" s="13">
        <f>AI148*VLOOKUP('Données projet'!$B$10,Paramètres!$A$1:$I$89,3,0)*VLOOKUP('Données projet'!$B$10,Paramètres!$A$1:$I$89,5,0)</f>
        <v>255.84186666666628</v>
      </c>
      <c r="AK148" s="13">
        <f t="shared" si="143"/>
        <v>61.83520201654526</v>
      </c>
      <c r="AL148" s="20">
        <f t="shared" si="112"/>
        <v>553.28756128992666</v>
      </c>
      <c r="AM148" s="59">
        <f t="shared" si="113"/>
        <v>846.62089462326003</v>
      </c>
      <c r="AN148" s="59">
        <f ca="1">AVERAGE(OFFSET($AM$3,0,0,'Données projet'!$E$10+1,1))-AVERAGE(OFFSET($H$3,0,0,'Données projet'!$E$10+1,1))</f>
        <v>153.45079678708987</v>
      </c>
      <c r="AO148" s="59">
        <f t="shared" si="144"/>
        <v>115.4217868409637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0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3.4106051316484809E-13</v>
      </c>
      <c r="BE148" s="13">
        <f>BD148*VLOOKUP('Données projet'!$B$11,Paramètres!$A$1:$I$89,3,0)*VLOOKUP('Données projet'!$B$11,Paramètres!$A$1:$I$89,5,0)</f>
        <v>1.5961632016114892E-13</v>
      </c>
      <c r="BF148" s="13">
        <f t="shared" si="145"/>
        <v>2.2708641912150958E-12</v>
      </c>
      <c r="BG148" s="20">
        <f t="shared" si="115"/>
        <v>4.2330868906469593E-12</v>
      </c>
      <c r="BH148" s="59">
        <f t="shared" si="116"/>
        <v>293.33333333333752</v>
      </c>
      <c r="BI148" s="59">
        <f ca="1">AVERAGE(OFFSET($BH$3,0,0,'Données projet'!$E$11+1,1))-AVERAGE(OFFSET($H$3,0,0,'Données projet'!$E$11+1,1))</f>
        <v>158.58786357608489</v>
      </c>
      <c r="BJ148" s="59">
        <f t="shared" si="146"/>
        <v>163.20074068819849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0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>
        <f>BY148*VLOOKUP('Données projet'!$B$12,Paramètres!$A$1:$I$89,3,0)*VLOOKUP('Données projet'!$B$12,Paramètres!$A$1:$I$89,5,0)</f>
        <v>0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255.41017495879987</v>
      </c>
      <c r="CE148" s="59">
        <f t="shared" si="148"/>
        <v>297.50513563712764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0.8556081663625309</v>
      </c>
      <c r="CL148" s="21">
        <f>EXP(-LN(2)/25)*CL147+(1-EXP(-LN(2)/25))/(LN(2)/25)*Calculateur!CG148*Calculateur!CI148*VLOOKUP('Données projet'!$B$12,Paramètres!$A$1:$I$89,3,0)*0.475*44/12</f>
        <v>1.1492034661047992</v>
      </c>
      <c r="CM148" s="21">
        <f>EXP(-LN(2)/2)*CM147+(1-EXP(-LN(2)/2))/(LN(2)/2)*CG148*CJ148*VLOOKUP('Données projet'!$B$12,Paramètres!$A$1:$I$89,3,0)*0.475*44/12</f>
        <v>1.1972539433427098E-16</v>
      </c>
      <c r="CN148" s="22">
        <f t="shared" si="120"/>
        <v>2.0048116324673302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-1.4210854715202004E-13</v>
      </c>
      <c r="CU148" s="17">
        <f>CT148*VLOOKUP('Données projet'!$B$13,Paramètres!$A$1:$I$89,3,0)*VLOOKUP('Données projet'!$B$13,Paramètres!$A$1:$I$89,5,0)</f>
        <v>-8.128608897095547E-14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134.70214882504786</v>
      </c>
      <c r="CZ148" s="59">
        <f t="shared" si="150"/>
        <v>102.18553029667771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0.10900183799955683</v>
      </c>
      <c r="DG148" s="21">
        <f>EXP(-LN(2)/25)*DG147+(1-EXP(-LN(2)/25))/(LN(2)/25)*Calculateur!DB148*Calculateur!DD148*VLOOKUP('Données projet'!$B$13,Paramètres!$A$1:$I$89,3,0)*0.475*44/12</f>
        <v>0.51747999048492244</v>
      </c>
      <c r="DH148" s="21">
        <f>EXP(-LN(2)/2)*DH147+(1-EXP(-LN(2)/2))/(LN(2)/2)*DB148*DE148*VLOOKUP('Données projet'!$B$13,Paramètres!$A$1:$I$89,3,0)*0.475*44/12</f>
        <v>3.7809280806388013E-17</v>
      </c>
      <c r="DI148" s="22">
        <f t="shared" si="123"/>
        <v>0.62648182848447931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-2.8421709430404007E-13</v>
      </c>
      <c r="DP148" s="17">
        <f>DO148*VLOOKUP('Données projet'!$B$14,Paramètres!$A$1:$I$89,3,0)*VLOOKUP('Données projet'!$B$14,Paramètres!$A$1:$I$89,5,0)</f>
        <v>-1.69961822393816E-13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179.32848817523677</v>
      </c>
      <c r="DU148" s="59">
        <f t="shared" si="152"/>
        <v>131.3292389103035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</v>
      </c>
      <c r="EB148" s="21">
        <f>EXP(-LN(2)/25)*EB147+(1-EXP(-LN(2)/25))/(LN(2)/25)*Calculateur!DW148*Calculateur!DY148*VLOOKUP('Données projet'!$B$14,Paramètres!$A$1:$I$89,3,0)*0.475*44/12</f>
        <v>0.54347555717704776</v>
      </c>
      <c r="EC148" s="21">
        <f>EXP(-LN(2)/2)*EC147+(1-EXP(-LN(2)/2))/(LN(2)/2)*DW148*DZ148*VLOOKUP('Données projet'!$B$14,Paramètres!$A$1:$I$89,3,0)*0.475*44/12</f>
        <v>2.5822473500783881E-17</v>
      </c>
      <c r="ED148" s="22">
        <f t="shared" si="126"/>
        <v>0.54347555717704776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-2.2737367544323206E-13</v>
      </c>
      <c r="EK148" s="17">
        <f>EJ148*VLOOKUP('Données projet'!$B$15,Paramètres!$A$1:$I$89,3,0)*VLOOKUP('Données projet'!$B$15,Paramètres!$A$1:$I$89,5,0)</f>
        <v>-1.0049916454590858E-13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191.932060106699</v>
      </c>
      <c r="EP148" s="59">
        <f t="shared" si="154"/>
        <v>260.28593152736903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0.25053945281929041</v>
      </c>
      <c r="EW148" s="21">
        <f>EXP(-LN(2)/25)*EW147+(1-EXP(-LN(2)/25))/(LN(2)/25)*Calculateur!ER148*Calculateur!ET148*VLOOKUP('Données projet'!$B$15,Paramètres!$A$1:$I$89,3,0)*0.475*44/12</f>
        <v>0.52037020213133378</v>
      </c>
      <c r="EX148" s="21">
        <f>EXP(-LN(2)/2)*EX147+(1-EXP(-LN(2)/2))/(LN(2)/2)*ER148*EU148*VLOOKUP('Données projet'!$B$15,Paramètres!$A$1:$I$89,3,0)*0.475*44/12</f>
        <v>6.5667942597596243E-18</v>
      </c>
      <c r="EY148" s="22">
        <f t="shared" si="129"/>
        <v>0.77090965495062425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181.00000000000009</v>
      </c>
      <c r="FF148" s="17">
        <f>FE148*VLOOKUP('Données projet'!$B$16,Paramètres!$A$1:$I$89,3,0)*VLOOKUP('Données projet'!$B$16,Paramètres!$A$1:$I$89,5,0)</f>
        <v>175.06320000000008</v>
      </c>
      <c r="FG148" s="13">
        <f t="shared" si="155"/>
        <v>44.222067746824763</v>
      </c>
      <c r="FH148" s="20">
        <f t="shared" si="130"/>
        <v>381.92184132571992</v>
      </c>
      <c r="FI148" s="59">
        <f t="shared" si="131"/>
        <v>675.25517465905318</v>
      </c>
      <c r="FJ148" s="59">
        <f ca="1">AVERAGE(OFFSET($FI$3,0,0,'Données projet'!$E$16+1,1))-AVERAGE(OFFSET($H$3,0,0,'Données projet'!$E$16+1,1))</f>
        <v>102.86738524979938</v>
      </c>
      <c r="FK148" s="59">
        <f t="shared" si="156"/>
        <v>56.347130462109817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0</v>
      </c>
      <c r="FR148" s="21">
        <f>EXP(-LN(2)/25)*FR147+(1-EXP(-LN(2)/25))/(LN(2)/25)*Calculateur!FM148*Calculateur!FO148*VLOOKUP('Données projet'!$B$16,Paramètres!$A$1:$I$89,3,0)*0.475*44/12</f>
        <v>0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0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300.00000000000068</v>
      </c>
      <c r="GA148" s="17">
        <f>FZ148*VLOOKUP('Données projet'!$B$17,Paramètres!$A$1:$I$89,3,0)*VLOOKUP('Données projet'!$B$17,Paramètres!$A$1:$I$89,5,0)</f>
        <v>201.24000000000046</v>
      </c>
      <c r="GB148" s="13">
        <f t="shared" si="157"/>
        <v>50.01658408633331</v>
      </c>
      <c r="GC148" s="20">
        <f t="shared" si="133"/>
        <v>437.60521728369798</v>
      </c>
      <c r="GD148" s="59">
        <f t="shared" si="134"/>
        <v>730.9385506170313</v>
      </c>
      <c r="GE148" s="59">
        <f ca="1">AVERAGE(OFFSET($GD$3,0,0,'Données projet'!$E$17+1,1))-AVERAGE(OFFSET($H$3,0,0,'Données projet'!$E$17+1,1))</f>
        <v>168.00454652899231</v>
      </c>
      <c r="GF148" s="59">
        <f t="shared" si="158"/>
        <v>135.31958994080446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0</v>
      </c>
      <c r="GM148" s="21">
        <f>EXP(-LN(2)/25)*GM147+(1-EXP(-LN(2)/25))/(LN(2)/25)*Calculateur!GH148*Calculateur!GJ148*VLOOKUP('Données projet'!$B$17,Paramètres!$A$1:$I$89,3,0)*0.475*44/12</f>
        <v>0</v>
      </c>
      <c r="GN148" s="21">
        <f>EXP(-LN(2)/2)*GN147+(1-EXP(-LN(2)/2))/(LN(2)/2)*GH148*GK148*VLOOKUP('Données projet'!$B$17,Paramètres!$A$1:$I$89,3,0)*0.475*44/12</f>
        <v>0</v>
      </c>
      <c r="GO148" s="21">
        <f t="shared" si="135"/>
        <v>0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4.5474735088646412E-13</v>
      </c>
      <c r="O149" s="13">
        <f>N149*VLOOKUP('Données projet'!$B$9,Paramètres!$A$1:$I$89,3,0)*VLOOKUP('Données projet'!$B$9,Paramètres!$A$1:$I$89,5,0)</f>
        <v>4.1145540308207271E-13</v>
      </c>
      <c r="P149" s="13">
        <f t="shared" si="141"/>
        <v>5.2428527960910789E-12</v>
      </c>
      <c r="Q149" s="20">
        <f t="shared" si="108"/>
        <v>9.8479201135599071E-12</v>
      </c>
      <c r="R149" s="59">
        <f t="shared" si="109"/>
        <v>293.33333333334315</v>
      </c>
      <c r="S149" s="59">
        <f ca="1">AVERAGE(OFFSET($R$3,0,0,'Données projet'!$E$9+1,1))-AVERAGE(OFFSET($H$3,0,0,'Données projet'!$E$9+1,1))</f>
        <v>221.7429870520005</v>
      </c>
      <c r="T149" s="59">
        <f t="shared" si="142"/>
        <v>182.2029938397186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0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5.1063034188034209</v>
      </c>
      <c r="AI149" s="13">
        <f>IF('Données projet'!$A$62&gt;35,AI148+AH149-AQ148,IF(A149&lt;'Données projet'!$A$62,$AF$205^A149,IF(A149='Données projet'!$A$62,'Données projet'!$B$62,AI148+AH149-AQ148)))</f>
        <v>287.86698717948673</v>
      </c>
      <c r="AJ149" s="13">
        <f>AI149*VLOOKUP('Données projet'!$B$10,Paramètres!$A$1:$I$89,3,0)*VLOOKUP('Données projet'!$B$10,Paramètres!$A$1:$I$89,5,0)</f>
        <v>260.46204999999958</v>
      </c>
      <c r="AK149" s="13">
        <f t="shared" si="143"/>
        <v>62.820858164354384</v>
      </c>
      <c r="AL149" s="20">
        <f t="shared" si="112"/>
        <v>563.05106505291644</v>
      </c>
      <c r="AM149" s="59">
        <f t="shared" si="113"/>
        <v>856.38439838624981</v>
      </c>
      <c r="AN149" s="59">
        <f ca="1">AVERAGE(OFFSET($AM$3,0,0,'Données projet'!$E$10+1,1))-AVERAGE(OFFSET($H$3,0,0,'Données projet'!$E$10+1,1))</f>
        <v>153.45079678708987</v>
      </c>
      <c r="AO149" s="59">
        <f t="shared" si="144"/>
        <v>115.4217868409637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0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3.4106051316484809E-13</v>
      </c>
      <c r="BE149" s="13">
        <f>BD149*VLOOKUP('Données projet'!$B$11,Paramètres!$A$1:$I$89,3,0)*VLOOKUP('Données projet'!$B$11,Paramètres!$A$1:$I$89,5,0)</f>
        <v>1.5961632016114892E-13</v>
      </c>
      <c r="BF149" s="13">
        <f t="shared" si="145"/>
        <v>2.2708641912150958E-12</v>
      </c>
      <c r="BG149" s="20">
        <f t="shared" si="115"/>
        <v>4.2330868906469593E-12</v>
      </c>
      <c r="BH149" s="59">
        <f t="shared" si="116"/>
        <v>293.33333333333752</v>
      </c>
      <c r="BI149" s="59">
        <f ca="1">AVERAGE(OFFSET($BH$3,0,0,'Données projet'!$E$11+1,1))-AVERAGE(OFFSET($H$3,0,0,'Données projet'!$E$11+1,1))</f>
        <v>158.58786357608489</v>
      </c>
      <c r="BJ149" s="59">
        <f t="shared" si="146"/>
        <v>163.20074068819849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0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>
        <f>BY149*VLOOKUP('Données projet'!$B$12,Paramètres!$A$1:$I$89,3,0)*VLOOKUP('Données projet'!$B$12,Paramètres!$A$1:$I$89,5,0)</f>
        <v>0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255.41017495879987</v>
      </c>
      <c r="CE149" s="59">
        <f t="shared" si="148"/>
        <v>297.50513563712764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0.83883021208961284</v>
      </c>
      <c r="CL149" s="21">
        <f>EXP(-LN(2)/25)*CL148+(1-EXP(-LN(2)/25))/(LN(2)/25)*Calculateur!CG149*Calculateur!CI149*VLOOKUP('Données projet'!$B$12,Paramètres!$A$1:$I$89,3,0)*0.475*44/12</f>
        <v>1.1177784368901797</v>
      </c>
      <c r="CM149" s="21">
        <f>EXP(-LN(2)/2)*CM148+(1-EXP(-LN(2)/2))/(LN(2)/2)*CG149*CJ149*VLOOKUP('Données projet'!$B$12,Paramètres!$A$1:$I$89,3,0)*0.475*44/12</f>
        <v>8.4658638213996467E-17</v>
      </c>
      <c r="CN149" s="22">
        <f t="shared" si="120"/>
        <v>1.9566086489797927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-1.4210854715202004E-13</v>
      </c>
      <c r="CU149" s="17">
        <f>CT149*VLOOKUP('Données projet'!$B$13,Paramètres!$A$1:$I$89,3,0)*VLOOKUP('Données projet'!$B$13,Paramètres!$A$1:$I$89,5,0)</f>
        <v>-8.128608897095547E-14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134.70214882504786</v>
      </c>
      <c r="CZ149" s="59">
        <f t="shared" si="150"/>
        <v>102.18553029667771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0.10686437844094189</v>
      </c>
      <c r="DG149" s="21">
        <f>EXP(-LN(2)/25)*DG148+(1-EXP(-LN(2)/25))/(LN(2)/25)*Calculateur!DB149*Calculateur!DD149*VLOOKUP('Données projet'!$B$13,Paramètres!$A$1:$I$89,3,0)*0.475*44/12</f>
        <v>0.50332947293202224</v>
      </c>
      <c r="DH149" s="21">
        <f>EXP(-LN(2)/2)*DH148+(1-EXP(-LN(2)/2))/(LN(2)/2)*DB149*DE149*VLOOKUP('Données projet'!$B$13,Paramètres!$A$1:$I$89,3,0)*0.475*44/12</f>
        <v>2.673519884998334E-17</v>
      </c>
      <c r="DI149" s="22">
        <f t="shared" si="123"/>
        <v>0.61019385137296411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-2.8421709430404007E-13</v>
      </c>
      <c r="DP149" s="17">
        <f>DO149*VLOOKUP('Données projet'!$B$14,Paramètres!$A$1:$I$89,3,0)*VLOOKUP('Données projet'!$B$14,Paramètres!$A$1:$I$89,5,0)</f>
        <v>-1.69961822393816E-13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179.32848817523677</v>
      </c>
      <c r="DU149" s="59">
        <f t="shared" si="152"/>
        <v>131.3292389103035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</v>
      </c>
      <c r="EB149" s="21">
        <f>EXP(-LN(2)/25)*EB148+(1-EXP(-LN(2)/25))/(LN(2)/25)*Calculateur!DW149*Calculateur!DY149*VLOOKUP('Données projet'!$B$14,Paramètres!$A$1:$I$89,3,0)*0.475*44/12</f>
        <v>0.528614189485904</v>
      </c>
      <c r="EC149" s="21">
        <f>EXP(-LN(2)/2)*EC148+(1-EXP(-LN(2)/2))/(LN(2)/2)*DW149*DZ149*VLOOKUP('Données projet'!$B$14,Paramètres!$A$1:$I$89,3,0)*0.475*44/12</f>
        <v>1.8259246119414209E-17</v>
      </c>
      <c r="ED149" s="22">
        <f t="shared" si="126"/>
        <v>0.528614189485904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-2.2737367544323206E-13</v>
      </c>
      <c r="EK149" s="17">
        <f>EJ149*VLOOKUP('Données projet'!$B$15,Paramètres!$A$1:$I$89,3,0)*VLOOKUP('Données projet'!$B$15,Paramètres!$A$1:$I$89,5,0)</f>
        <v>-1.0049916454590858E-13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191.932060106699</v>
      </c>
      <c r="EP149" s="59">
        <f t="shared" si="154"/>
        <v>260.28593152736903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0.24562652696348122</v>
      </c>
      <c r="EW149" s="21">
        <f>EXP(-LN(2)/25)*EW148+(1-EXP(-LN(2)/25))/(LN(2)/25)*Calculateur!ER149*Calculateur!ET149*VLOOKUP('Données projet'!$B$15,Paramètres!$A$1:$I$89,3,0)*0.475*44/12</f>
        <v>0.50614065158897281</v>
      </c>
      <c r="EX149" s="21">
        <f>EXP(-LN(2)/2)*EX148+(1-EXP(-LN(2)/2))/(LN(2)/2)*ER149*EU149*VLOOKUP('Données projet'!$B$15,Paramètres!$A$1:$I$89,3,0)*0.475*44/12</f>
        <v>4.6434247517329249E-18</v>
      </c>
      <c r="EY149" s="22">
        <f t="shared" si="129"/>
        <v>0.75176717855245401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181.00000000000009</v>
      </c>
      <c r="FF149" s="17">
        <f>FE149*VLOOKUP('Données projet'!$B$16,Paramètres!$A$1:$I$89,3,0)*VLOOKUP('Données projet'!$B$16,Paramètres!$A$1:$I$89,5,0)</f>
        <v>175.06320000000008</v>
      </c>
      <c r="FG149" s="13">
        <f t="shared" si="155"/>
        <v>44.222067746824763</v>
      </c>
      <c r="FH149" s="20">
        <f t="shared" si="130"/>
        <v>381.92184132571992</v>
      </c>
      <c r="FI149" s="59">
        <f t="shared" si="131"/>
        <v>675.25517465905318</v>
      </c>
      <c r="FJ149" s="59">
        <f ca="1">AVERAGE(OFFSET($FI$3,0,0,'Données projet'!$E$16+1,1))-AVERAGE(OFFSET($H$3,0,0,'Données projet'!$E$16+1,1))</f>
        <v>102.86738524979938</v>
      </c>
      <c r="FK149" s="59">
        <f t="shared" si="156"/>
        <v>56.347130462109817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0</v>
      </c>
      <c r="FR149" s="21">
        <f>EXP(-LN(2)/25)*FR148+(1-EXP(-LN(2)/25))/(LN(2)/25)*Calculateur!FM149*Calculateur!FO149*VLOOKUP('Données projet'!$B$16,Paramètres!$A$1:$I$89,3,0)*0.475*44/12</f>
        <v>0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0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300.00000000000068</v>
      </c>
      <c r="GA149" s="17">
        <f>FZ149*VLOOKUP('Données projet'!$B$17,Paramètres!$A$1:$I$89,3,0)*VLOOKUP('Données projet'!$B$17,Paramètres!$A$1:$I$89,5,0)</f>
        <v>201.24000000000046</v>
      </c>
      <c r="GB149" s="13">
        <f t="shared" si="157"/>
        <v>50.01658408633331</v>
      </c>
      <c r="GC149" s="20">
        <f t="shared" si="133"/>
        <v>437.60521728369798</v>
      </c>
      <c r="GD149" s="59">
        <f t="shared" si="134"/>
        <v>730.9385506170313</v>
      </c>
      <c r="GE149" s="59">
        <f ca="1">AVERAGE(OFFSET($GD$3,0,0,'Données projet'!$E$17+1,1))-AVERAGE(OFFSET($H$3,0,0,'Données projet'!$E$17+1,1))</f>
        <v>168.00454652899231</v>
      </c>
      <c r="GF149" s="59">
        <f t="shared" si="158"/>
        <v>135.31958994080446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0</v>
      </c>
      <c r="GM149" s="21">
        <f>EXP(-LN(2)/25)*GM148+(1-EXP(-LN(2)/25))/(LN(2)/25)*Calculateur!GH149*Calculateur!GJ149*VLOOKUP('Données projet'!$B$17,Paramètres!$A$1:$I$89,3,0)*0.475*44/12</f>
        <v>0</v>
      </c>
      <c r="GN149" s="21">
        <f>EXP(-LN(2)/2)*GN148+(1-EXP(-LN(2)/2))/(LN(2)/2)*GH149*GK149*VLOOKUP('Données projet'!$B$17,Paramètres!$A$1:$I$89,3,0)*0.475*44/12</f>
        <v>0</v>
      </c>
      <c r="GO149" s="21">
        <f t="shared" si="135"/>
        <v>0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4.5474735088646412E-13</v>
      </c>
      <c r="O150" s="13">
        <f>N150*VLOOKUP('Données projet'!$B$9,Paramètres!$A$1:$I$89,3,0)*VLOOKUP('Données projet'!$B$9,Paramètres!$A$1:$I$89,5,0)</f>
        <v>4.1145540308207271E-13</v>
      </c>
      <c r="P150" s="13">
        <f t="shared" si="141"/>
        <v>5.2428527960910789E-12</v>
      </c>
      <c r="Q150" s="20">
        <f t="shared" si="108"/>
        <v>9.8479201135599071E-12</v>
      </c>
      <c r="R150" s="59">
        <f t="shared" si="109"/>
        <v>293.33333333334315</v>
      </c>
      <c r="S150" s="59">
        <f ca="1">AVERAGE(OFFSET($R$3,0,0,'Données projet'!$E$9+1,1))-AVERAGE(OFFSET($H$3,0,0,'Données projet'!$E$9+1,1))</f>
        <v>221.7429870520005</v>
      </c>
      <c r="T150" s="59">
        <f t="shared" si="142"/>
        <v>182.2029938397186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0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5.1063034188034209</v>
      </c>
      <c r="AI150" s="13">
        <f>IF('Données projet'!$A$62&gt;35,AI149+AH150-AQ149,IF(A150&lt;'Données projet'!$A$62,$AF$205^A150,IF(A150='Données projet'!$A$62,'Données projet'!$B$62,AI149+AH150-AQ149)))</f>
        <v>292.97329059829013</v>
      </c>
      <c r="AJ150" s="13">
        <f>AI150*VLOOKUP('Données projet'!$B$10,Paramètres!$A$1:$I$89,3,0)*VLOOKUP('Données projet'!$B$10,Paramètres!$A$1:$I$89,5,0)</f>
        <v>265.08223333333291</v>
      </c>
      <c r="AK150" s="13">
        <f t="shared" si="143"/>
        <v>63.804481164271408</v>
      </c>
      <c r="AL150" s="20">
        <f t="shared" si="112"/>
        <v>572.8110277499942</v>
      </c>
      <c r="AM150" s="59">
        <f t="shared" si="113"/>
        <v>866.14436108332757</v>
      </c>
      <c r="AN150" s="59">
        <f ca="1">AVERAGE(OFFSET($AM$3,0,0,'Données projet'!$E$10+1,1))-AVERAGE(OFFSET($H$3,0,0,'Données projet'!$E$10+1,1))</f>
        <v>153.45079678708987</v>
      </c>
      <c r="AO150" s="59">
        <f t="shared" si="144"/>
        <v>115.4217868409637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0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3.4106051316484809E-13</v>
      </c>
      <c r="BE150" s="13">
        <f>BD150*VLOOKUP('Données projet'!$B$11,Paramètres!$A$1:$I$89,3,0)*VLOOKUP('Données projet'!$B$11,Paramètres!$A$1:$I$89,5,0)</f>
        <v>1.5961632016114892E-13</v>
      </c>
      <c r="BF150" s="13">
        <f t="shared" si="145"/>
        <v>2.2708641912150958E-12</v>
      </c>
      <c r="BG150" s="20">
        <f t="shared" si="115"/>
        <v>4.2330868906469593E-12</v>
      </c>
      <c r="BH150" s="59">
        <f t="shared" si="116"/>
        <v>293.33333333333752</v>
      </c>
      <c r="BI150" s="59">
        <f ca="1">AVERAGE(OFFSET($BH$3,0,0,'Données projet'!$E$11+1,1))-AVERAGE(OFFSET($H$3,0,0,'Données projet'!$E$11+1,1))</f>
        <v>158.58786357608489</v>
      </c>
      <c r="BJ150" s="59">
        <f t="shared" si="146"/>
        <v>163.20074068819849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0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>
        <f>BY150*VLOOKUP('Données projet'!$B$12,Paramètres!$A$1:$I$89,3,0)*VLOOKUP('Données projet'!$B$12,Paramètres!$A$1:$I$89,5,0)</f>
        <v>0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255.41017495879987</v>
      </c>
      <c r="CE150" s="59">
        <f t="shared" si="148"/>
        <v>297.50513563712764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0.82238126326644501</v>
      </c>
      <c r="CL150" s="21">
        <f>EXP(-LN(2)/25)*CL149+(1-EXP(-LN(2)/25))/(LN(2)/25)*Calculateur!CG150*Calculateur!CI150*VLOOKUP('Données projet'!$B$12,Paramètres!$A$1:$I$89,3,0)*0.475*44/12</f>
        <v>1.0872127267520044</v>
      </c>
      <c r="CM150" s="21">
        <f>EXP(-LN(2)/2)*CM149+(1-EXP(-LN(2)/2))/(LN(2)/2)*CG150*CJ150*VLOOKUP('Données projet'!$B$12,Paramètres!$A$1:$I$89,3,0)*0.475*44/12</f>
        <v>5.986269716713549E-17</v>
      </c>
      <c r="CN150" s="22">
        <f t="shared" si="120"/>
        <v>1.9095939900184495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-1.4210854715202004E-13</v>
      </c>
      <c r="CU150" s="17">
        <f>CT150*VLOOKUP('Données projet'!$B$13,Paramètres!$A$1:$I$89,3,0)*VLOOKUP('Données projet'!$B$13,Paramètres!$A$1:$I$89,5,0)</f>
        <v>-8.128608897095547E-14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134.70214882504786</v>
      </c>
      <c r="CZ150" s="59">
        <f t="shared" si="150"/>
        <v>102.18553029667771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0.1047688331605498</v>
      </c>
      <c r="DG150" s="21">
        <f>EXP(-LN(2)/25)*DG149+(1-EXP(-LN(2)/25))/(LN(2)/25)*Calculateur!DB150*Calculateur!DD150*VLOOKUP('Données projet'!$B$13,Paramètres!$A$1:$I$89,3,0)*0.475*44/12</f>
        <v>0.48956590202574946</v>
      </c>
      <c r="DH150" s="21">
        <f>EXP(-LN(2)/2)*DH149+(1-EXP(-LN(2)/2))/(LN(2)/2)*DB150*DE150*VLOOKUP('Données projet'!$B$13,Paramètres!$A$1:$I$89,3,0)*0.475*44/12</f>
        <v>1.8904640403194006E-17</v>
      </c>
      <c r="DI150" s="22">
        <f t="shared" si="123"/>
        <v>0.59433473518629931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-2.8421709430404007E-13</v>
      </c>
      <c r="DP150" s="17">
        <f>DO150*VLOOKUP('Données projet'!$B$14,Paramètres!$A$1:$I$89,3,0)*VLOOKUP('Données projet'!$B$14,Paramètres!$A$1:$I$89,5,0)</f>
        <v>-1.69961822393816E-13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179.32848817523677</v>
      </c>
      <c r="DU150" s="59">
        <f t="shared" si="152"/>
        <v>131.3292389103035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</v>
      </c>
      <c r="EB150" s="21">
        <f>EXP(-LN(2)/25)*EB149+(1-EXP(-LN(2)/25))/(LN(2)/25)*Calculateur!DW150*Calculateur!DY150*VLOOKUP('Données projet'!$B$14,Paramètres!$A$1:$I$89,3,0)*0.475*44/12</f>
        <v>0.51415920667579984</v>
      </c>
      <c r="EC150" s="21">
        <f>EXP(-LN(2)/2)*EC149+(1-EXP(-LN(2)/2))/(LN(2)/2)*DW150*DZ150*VLOOKUP('Données projet'!$B$14,Paramètres!$A$1:$I$89,3,0)*0.475*44/12</f>
        <v>1.291123675039194E-17</v>
      </c>
      <c r="ED150" s="22">
        <f t="shared" si="126"/>
        <v>0.51415920667579984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-2.2737367544323206E-13</v>
      </c>
      <c r="EK150" s="17">
        <f>EJ150*VLOOKUP('Données projet'!$B$15,Paramètres!$A$1:$I$89,3,0)*VLOOKUP('Données projet'!$B$15,Paramètres!$A$1:$I$89,5,0)</f>
        <v>-1.0049916454590858E-13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191.932060106699</v>
      </c>
      <c r="EP150" s="59">
        <f t="shared" si="154"/>
        <v>260.28593152736903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0.24080994058711558</v>
      </c>
      <c r="EW150" s="21">
        <f>EXP(-LN(2)/25)*EW149+(1-EXP(-LN(2)/25))/(LN(2)/25)*Calculateur!ER150*Calculateur!ET150*VLOOKUP('Données projet'!$B$15,Paramètres!$A$1:$I$89,3,0)*0.475*44/12</f>
        <v>0.49230020885449227</v>
      </c>
      <c r="EX150" s="21">
        <f>EXP(-LN(2)/2)*EX149+(1-EXP(-LN(2)/2))/(LN(2)/2)*ER150*EU150*VLOOKUP('Données projet'!$B$15,Paramètres!$A$1:$I$89,3,0)*0.475*44/12</f>
        <v>3.2833971298798121E-18</v>
      </c>
      <c r="EY150" s="22">
        <f t="shared" si="129"/>
        <v>0.73311014944160791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181.00000000000009</v>
      </c>
      <c r="FF150" s="17">
        <f>FE150*VLOOKUP('Données projet'!$B$16,Paramètres!$A$1:$I$89,3,0)*VLOOKUP('Données projet'!$B$16,Paramètres!$A$1:$I$89,5,0)</f>
        <v>175.06320000000008</v>
      </c>
      <c r="FG150" s="13">
        <f t="shared" si="155"/>
        <v>44.222067746824763</v>
      </c>
      <c r="FH150" s="20">
        <f t="shared" si="130"/>
        <v>381.92184132571992</v>
      </c>
      <c r="FI150" s="59">
        <f t="shared" si="131"/>
        <v>675.25517465905318</v>
      </c>
      <c r="FJ150" s="59">
        <f ca="1">AVERAGE(OFFSET($FI$3,0,0,'Données projet'!$E$16+1,1))-AVERAGE(OFFSET($H$3,0,0,'Données projet'!$E$16+1,1))</f>
        <v>102.86738524979938</v>
      </c>
      <c r="FK150" s="59">
        <f t="shared" si="156"/>
        <v>56.347130462109817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0</v>
      </c>
      <c r="FR150" s="21">
        <f>EXP(-LN(2)/25)*FR149+(1-EXP(-LN(2)/25))/(LN(2)/25)*Calculateur!FM150*Calculateur!FO150*VLOOKUP('Données projet'!$B$16,Paramètres!$A$1:$I$89,3,0)*0.475*44/12</f>
        <v>0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0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300.00000000000068</v>
      </c>
      <c r="GA150" s="17">
        <f>FZ150*VLOOKUP('Données projet'!$B$17,Paramètres!$A$1:$I$89,3,0)*VLOOKUP('Données projet'!$B$17,Paramètres!$A$1:$I$89,5,0)</f>
        <v>201.24000000000046</v>
      </c>
      <c r="GB150" s="13">
        <f t="shared" si="157"/>
        <v>50.01658408633331</v>
      </c>
      <c r="GC150" s="20">
        <f t="shared" si="133"/>
        <v>437.60521728369798</v>
      </c>
      <c r="GD150" s="59">
        <f t="shared" si="134"/>
        <v>730.9385506170313</v>
      </c>
      <c r="GE150" s="59">
        <f ca="1">AVERAGE(OFFSET($GD$3,0,0,'Données projet'!$E$17+1,1))-AVERAGE(OFFSET($H$3,0,0,'Données projet'!$E$17+1,1))</f>
        <v>168.00454652899231</v>
      </c>
      <c r="GF150" s="59">
        <f t="shared" si="158"/>
        <v>135.31958994080446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0</v>
      </c>
      <c r="GM150" s="21">
        <f>EXP(-LN(2)/25)*GM149+(1-EXP(-LN(2)/25))/(LN(2)/25)*Calculateur!GH150*Calculateur!GJ150*VLOOKUP('Données projet'!$B$17,Paramètres!$A$1:$I$89,3,0)*0.475*44/12</f>
        <v>0</v>
      </c>
      <c r="GN150" s="21">
        <f>EXP(-LN(2)/2)*GN149+(1-EXP(-LN(2)/2))/(LN(2)/2)*GH150*GK150*VLOOKUP('Données projet'!$B$17,Paramètres!$A$1:$I$89,3,0)*0.475*44/12</f>
        <v>0</v>
      </c>
      <c r="GO150" s="21">
        <f t="shared" si="135"/>
        <v>0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4.5474735088646412E-13</v>
      </c>
      <c r="O151" s="13">
        <f>N151*VLOOKUP('Données projet'!$B$9,Paramètres!$A$1:$I$89,3,0)*VLOOKUP('Données projet'!$B$9,Paramètres!$A$1:$I$89,5,0)</f>
        <v>4.1145540308207271E-13</v>
      </c>
      <c r="P151" s="13">
        <f t="shared" si="141"/>
        <v>5.2428527960910789E-12</v>
      </c>
      <c r="Q151" s="20">
        <f t="shared" si="108"/>
        <v>9.8479201135599071E-12</v>
      </c>
      <c r="R151" s="59">
        <f t="shared" si="109"/>
        <v>293.33333333334315</v>
      </c>
      <c r="S151" s="59">
        <f ca="1">AVERAGE(OFFSET($R$3,0,0,'Données projet'!$E$9+1,1))-AVERAGE(OFFSET($H$3,0,0,'Données projet'!$E$9+1,1))</f>
        <v>221.7429870520005</v>
      </c>
      <c r="T151" s="59">
        <f t="shared" si="142"/>
        <v>182.2029938397186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0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5.1063034188034209</v>
      </c>
      <c r="AI151" s="13">
        <f>IF('Données projet'!$A$62&gt;35,AI150+AH151-AQ150,IF(A151&lt;'Données projet'!$A$62,$AF$205^A151,IF(A151='Données projet'!$A$62,'Données projet'!$B$62,AI150+AH151-AQ150)))</f>
        <v>298.07959401709354</v>
      </c>
      <c r="AJ151" s="13">
        <f>AI151*VLOOKUP('Données projet'!$B$10,Paramètres!$A$1:$I$89,3,0)*VLOOKUP('Données projet'!$B$10,Paramètres!$A$1:$I$89,5,0)</f>
        <v>269.70241666666624</v>
      </c>
      <c r="AK151" s="13">
        <f t="shared" si="143"/>
        <v>64.786110541238813</v>
      </c>
      <c r="AL151" s="20">
        <f t="shared" si="112"/>
        <v>582.56751822043464</v>
      </c>
      <c r="AM151" s="59">
        <f t="shared" si="113"/>
        <v>875.90085155376801</v>
      </c>
      <c r="AN151" s="59">
        <f ca="1">AVERAGE(OFFSET($AM$3,0,0,'Données projet'!$E$10+1,1))-AVERAGE(OFFSET($H$3,0,0,'Données projet'!$E$10+1,1))</f>
        <v>153.45079678708987</v>
      </c>
      <c r="AO151" s="59">
        <f t="shared" si="144"/>
        <v>115.4217868409637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0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3.4106051316484809E-13</v>
      </c>
      <c r="BE151" s="13">
        <f>BD151*VLOOKUP('Données projet'!$B$11,Paramètres!$A$1:$I$89,3,0)*VLOOKUP('Données projet'!$B$11,Paramètres!$A$1:$I$89,5,0)</f>
        <v>1.5961632016114892E-13</v>
      </c>
      <c r="BF151" s="13">
        <f t="shared" si="145"/>
        <v>2.2708641912150958E-12</v>
      </c>
      <c r="BG151" s="20">
        <f t="shared" si="115"/>
        <v>4.2330868906469593E-12</v>
      </c>
      <c r="BH151" s="59">
        <f t="shared" si="116"/>
        <v>293.33333333333752</v>
      </c>
      <c r="BI151" s="59">
        <f ca="1">AVERAGE(OFFSET($BH$3,0,0,'Données projet'!$E$11+1,1))-AVERAGE(OFFSET($H$3,0,0,'Données projet'!$E$11+1,1))</f>
        <v>158.58786357608489</v>
      </c>
      <c r="BJ151" s="59">
        <f t="shared" si="146"/>
        <v>163.20074068819849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0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>
        <f>BY151*VLOOKUP('Données projet'!$B$12,Paramètres!$A$1:$I$89,3,0)*VLOOKUP('Données projet'!$B$12,Paramètres!$A$1:$I$89,5,0)</f>
        <v>0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255.41017495879987</v>
      </c>
      <c r="CE151" s="59">
        <f t="shared" si="148"/>
        <v>297.50513563712764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0.80625486829683146</v>
      </c>
      <c r="CL151" s="21">
        <f>EXP(-LN(2)/25)*CL150+(1-EXP(-LN(2)/25))/(LN(2)/25)*Calculateur!CG151*Calculateur!CI151*VLOOKUP('Données projet'!$B$12,Paramètres!$A$1:$I$89,3,0)*0.475*44/12</f>
        <v>1.0574828375649383</v>
      </c>
      <c r="CM151" s="21">
        <f>EXP(-LN(2)/2)*CM150+(1-EXP(-LN(2)/2))/(LN(2)/2)*CG151*CJ151*VLOOKUP('Données projet'!$B$12,Paramètres!$A$1:$I$89,3,0)*0.475*44/12</f>
        <v>4.2329319106998234E-17</v>
      </c>
      <c r="CN151" s="22">
        <f t="shared" si="120"/>
        <v>1.8637377058617699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-1.4210854715202004E-13</v>
      </c>
      <c r="CU151" s="17">
        <f>CT151*VLOOKUP('Données projet'!$B$13,Paramètres!$A$1:$I$89,3,0)*VLOOKUP('Données projet'!$B$13,Paramètres!$A$1:$I$89,5,0)</f>
        <v>-8.128608897095547E-14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134.70214882504786</v>
      </c>
      <c r="CZ151" s="59">
        <f t="shared" si="150"/>
        <v>102.18553029667771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0.10271438024494978</v>
      </c>
      <c r="DG151" s="21">
        <f>EXP(-LN(2)/25)*DG150+(1-EXP(-LN(2)/25))/(LN(2)/25)*Calculateur!DB151*Calculateur!DD151*VLOOKUP('Données projet'!$B$13,Paramètres!$A$1:$I$89,3,0)*0.475*44/12</f>
        <v>0.47617869668970347</v>
      </c>
      <c r="DH151" s="21">
        <f>EXP(-LN(2)/2)*DH150+(1-EXP(-LN(2)/2))/(LN(2)/2)*DB151*DE151*VLOOKUP('Données projet'!$B$13,Paramètres!$A$1:$I$89,3,0)*0.475*44/12</f>
        <v>1.336759942499167E-17</v>
      </c>
      <c r="DI151" s="22">
        <f t="shared" si="123"/>
        <v>0.57889307693465319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-2.8421709430404007E-13</v>
      </c>
      <c r="DP151" s="17">
        <f>DO151*VLOOKUP('Données projet'!$B$14,Paramètres!$A$1:$I$89,3,0)*VLOOKUP('Données projet'!$B$14,Paramètres!$A$1:$I$89,5,0)</f>
        <v>-1.69961822393816E-13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179.32848817523677</v>
      </c>
      <c r="DU151" s="59">
        <f t="shared" si="152"/>
        <v>131.3292389103035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</v>
      </c>
      <c r="EB151" s="21">
        <f>EXP(-LN(2)/25)*EB150+(1-EXP(-LN(2)/25))/(LN(2)/25)*Calculateur!DW151*Calculateur!DY151*VLOOKUP('Données projet'!$B$14,Paramètres!$A$1:$I$89,3,0)*0.475*44/12</f>
        <v>0.50009949613079252</v>
      </c>
      <c r="EC151" s="21">
        <f>EXP(-LN(2)/2)*EC150+(1-EXP(-LN(2)/2))/(LN(2)/2)*DW151*DZ151*VLOOKUP('Données projet'!$B$14,Paramètres!$A$1:$I$89,3,0)*0.475*44/12</f>
        <v>9.1296230597071045E-18</v>
      </c>
      <c r="ED151" s="22">
        <f t="shared" si="126"/>
        <v>0.50009949613079252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-2.2737367544323206E-13</v>
      </c>
      <c r="EK151" s="17">
        <f>EJ151*VLOOKUP('Données projet'!$B$15,Paramètres!$A$1:$I$89,3,0)*VLOOKUP('Données projet'!$B$15,Paramètres!$A$1:$I$89,5,0)</f>
        <v>-1.0049916454590858E-13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191.932060106699</v>
      </c>
      <c r="EP151" s="59">
        <f t="shared" si="154"/>
        <v>260.28593152736903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0.23608780453176284</v>
      </c>
      <c r="EW151" s="21">
        <f>EXP(-LN(2)/25)*EW150+(1-EXP(-LN(2)/25))/(LN(2)/25)*Calculateur!ER151*Calculateur!ET151*VLOOKUP('Données projet'!$B$15,Paramètres!$A$1:$I$89,3,0)*0.475*44/12</f>
        <v>0.47883823375442336</v>
      </c>
      <c r="EX151" s="21">
        <f>EXP(-LN(2)/2)*EX150+(1-EXP(-LN(2)/2))/(LN(2)/2)*ER151*EU151*VLOOKUP('Données projet'!$B$15,Paramètres!$A$1:$I$89,3,0)*0.475*44/12</f>
        <v>2.3217123758664625E-18</v>
      </c>
      <c r="EY151" s="22">
        <f t="shared" si="129"/>
        <v>0.71492603828618617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181.00000000000009</v>
      </c>
      <c r="FF151" s="17">
        <f>FE151*VLOOKUP('Données projet'!$B$16,Paramètres!$A$1:$I$89,3,0)*VLOOKUP('Données projet'!$B$16,Paramètres!$A$1:$I$89,5,0)</f>
        <v>175.06320000000008</v>
      </c>
      <c r="FG151" s="13">
        <f t="shared" si="155"/>
        <v>44.222067746824763</v>
      </c>
      <c r="FH151" s="20">
        <f t="shared" si="130"/>
        <v>381.92184132571992</v>
      </c>
      <c r="FI151" s="59">
        <f t="shared" si="131"/>
        <v>675.25517465905318</v>
      </c>
      <c r="FJ151" s="59">
        <f ca="1">AVERAGE(OFFSET($FI$3,0,0,'Données projet'!$E$16+1,1))-AVERAGE(OFFSET($H$3,0,0,'Données projet'!$E$16+1,1))</f>
        <v>102.86738524979938</v>
      </c>
      <c r="FK151" s="59">
        <f t="shared" si="156"/>
        <v>56.347130462109817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0</v>
      </c>
      <c r="FR151" s="21">
        <f>EXP(-LN(2)/25)*FR150+(1-EXP(-LN(2)/25))/(LN(2)/25)*Calculateur!FM151*Calculateur!FO151*VLOOKUP('Données projet'!$B$16,Paramètres!$A$1:$I$89,3,0)*0.475*44/12</f>
        <v>0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0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300.00000000000068</v>
      </c>
      <c r="GA151" s="17">
        <f>FZ151*VLOOKUP('Données projet'!$B$17,Paramètres!$A$1:$I$89,3,0)*VLOOKUP('Données projet'!$B$17,Paramètres!$A$1:$I$89,5,0)</f>
        <v>201.24000000000046</v>
      </c>
      <c r="GB151" s="13">
        <f t="shared" si="157"/>
        <v>50.01658408633331</v>
      </c>
      <c r="GC151" s="20">
        <f t="shared" si="133"/>
        <v>437.60521728369798</v>
      </c>
      <c r="GD151" s="59">
        <f t="shared" si="134"/>
        <v>730.9385506170313</v>
      </c>
      <c r="GE151" s="59">
        <f ca="1">AVERAGE(OFFSET($GD$3,0,0,'Données projet'!$E$17+1,1))-AVERAGE(OFFSET($H$3,0,0,'Données projet'!$E$17+1,1))</f>
        <v>168.00454652899231</v>
      </c>
      <c r="GF151" s="59">
        <f t="shared" si="158"/>
        <v>135.31958994080446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0</v>
      </c>
      <c r="GM151" s="21">
        <f>EXP(-LN(2)/25)*GM150+(1-EXP(-LN(2)/25))/(LN(2)/25)*Calculateur!GH151*Calculateur!GJ151*VLOOKUP('Données projet'!$B$17,Paramètres!$A$1:$I$89,3,0)*0.475*44/12</f>
        <v>0</v>
      </c>
      <c r="GN151" s="21">
        <f>EXP(-LN(2)/2)*GN150+(1-EXP(-LN(2)/2))/(LN(2)/2)*GH151*GK151*VLOOKUP('Données projet'!$B$17,Paramètres!$A$1:$I$89,3,0)*0.475*44/12</f>
        <v>0</v>
      </c>
      <c r="GO151" s="21">
        <f t="shared" si="135"/>
        <v>0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4.5474735088646412E-13</v>
      </c>
      <c r="O152" s="13">
        <f>N152*VLOOKUP('Données projet'!$B$9,Paramètres!$A$1:$I$89,3,0)*VLOOKUP('Données projet'!$B$9,Paramètres!$A$1:$I$89,5,0)</f>
        <v>4.1145540308207271E-13</v>
      </c>
      <c r="P152" s="13">
        <f t="shared" si="141"/>
        <v>5.2428527960910789E-12</v>
      </c>
      <c r="Q152" s="20">
        <f t="shared" si="108"/>
        <v>9.8479201135599071E-12</v>
      </c>
      <c r="R152" s="59">
        <f t="shared" si="109"/>
        <v>293.33333333334315</v>
      </c>
      <c r="S152" s="59">
        <f ca="1">AVERAGE(OFFSET($R$3,0,0,'Données projet'!$E$9+1,1))-AVERAGE(OFFSET($H$3,0,0,'Données projet'!$E$9+1,1))</f>
        <v>221.7429870520005</v>
      </c>
      <c r="T152" s="59">
        <f t="shared" si="142"/>
        <v>182.2029938397186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0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>
        <f>VLOOKUP(A152,'Données projet'!$A$61:$I$81,2,0)</f>
        <v>303.18589743589746</v>
      </c>
      <c r="AG152" s="12">
        <f>VLOOKUP(A152,'Données projet'!$A$61:$I$81,9,0)</f>
        <v>5.1063034188034209</v>
      </c>
      <c r="AH152" s="12">
        <f t="array" ref="AH152">INDEX(AG:AG,MIN(IF(ISNUMBER(AG152:AG348),ROW(AG152:AG348),"")))</f>
        <v>5.1063034188034209</v>
      </c>
      <c r="AI152" s="13">
        <f>IF('Données projet'!$A$62&gt;35,AI151+AH152-AQ151,IF(A152&lt;'Données projet'!$A$62,$AF$205^A152,IF(A152='Données projet'!$A$62,'Données projet'!$B$62,AI151+AH152-AQ151)))</f>
        <v>303.18589743589695</v>
      </c>
      <c r="AJ152" s="13">
        <f>AI152*VLOOKUP('Données projet'!$B$10,Paramètres!$A$1:$I$89,3,0)*VLOOKUP('Données projet'!$B$10,Paramètres!$A$1:$I$89,5,0)</f>
        <v>274.32259999999957</v>
      </c>
      <c r="AK152" s="13">
        <f t="shared" si="143"/>
        <v>65.765784388426695</v>
      </c>
      <c r="AL152" s="20">
        <f t="shared" si="112"/>
        <v>592.3206028098424</v>
      </c>
      <c r="AM152" s="59">
        <f t="shared" si="113"/>
        <v>885.65393614317577</v>
      </c>
      <c r="AN152" s="59">
        <f ca="1">AVERAGE(OFFSET($AM$3,0,0,'Données projet'!$E$10+1,1))-AVERAGE(OFFSET($H$3,0,0,'Données projet'!$E$10+1,1))</f>
        <v>153.45079678708987</v>
      </c>
      <c r="AO152" s="59">
        <f t="shared" si="144"/>
        <v>115.4217868409637</v>
      </c>
      <c r="AP152" s="15">
        <f>IF(ISNA(VLOOKUP(A152,'Données projet'!$A$61:$I$81,3,0)),0,VLOOKUP(A152,'Données projet'!$A$61:$I$81,3,0))</f>
        <v>12</v>
      </c>
      <c r="AQ152" s="15">
        <f>IF(ISNA(VLOOKUP(A152,'Données projet'!$A$61:$I$81,4,0)),0,VLOOKUP(A152,'Données projet'!$A$61:$I$81,4,0))</f>
        <v>120.50641025641026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0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3.4106051316484809E-13</v>
      </c>
      <c r="BE152" s="13">
        <f>BD152*VLOOKUP('Données projet'!$B$11,Paramètres!$A$1:$I$89,3,0)*VLOOKUP('Données projet'!$B$11,Paramètres!$A$1:$I$89,5,0)</f>
        <v>1.5961632016114892E-13</v>
      </c>
      <c r="BF152" s="13">
        <f t="shared" si="145"/>
        <v>2.2708641912150958E-12</v>
      </c>
      <c r="BG152" s="20">
        <f t="shared" si="115"/>
        <v>4.2330868906469593E-12</v>
      </c>
      <c r="BH152" s="59">
        <f t="shared" si="116"/>
        <v>293.33333333333752</v>
      </c>
      <c r="BI152" s="59">
        <f ca="1">AVERAGE(OFFSET($BH$3,0,0,'Données projet'!$E$11+1,1))-AVERAGE(OFFSET($H$3,0,0,'Données projet'!$E$11+1,1))</f>
        <v>158.58786357608489</v>
      </c>
      <c r="BJ152" s="59">
        <f t="shared" si="146"/>
        <v>163.20074068819849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0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>
        <f>BY152*VLOOKUP('Données projet'!$B$12,Paramètres!$A$1:$I$89,3,0)*VLOOKUP('Données projet'!$B$12,Paramètres!$A$1:$I$89,5,0)</f>
        <v>0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255.41017495879987</v>
      </c>
      <c r="CE152" s="59">
        <f t="shared" si="148"/>
        <v>297.50513563712764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0.79044470209644235</v>
      </c>
      <c r="CL152" s="21">
        <f>EXP(-LN(2)/25)*CL151+(1-EXP(-LN(2)/25))/(LN(2)/25)*Calculateur!CG152*Calculateur!CI152*VLOOKUP('Données projet'!$B$12,Paramètres!$A$1:$I$89,3,0)*0.475*44/12</f>
        <v>1.0285659137611196</v>
      </c>
      <c r="CM152" s="21">
        <f>EXP(-LN(2)/2)*CM151+(1-EXP(-LN(2)/2))/(LN(2)/2)*CG152*CJ152*VLOOKUP('Données projet'!$B$12,Paramètres!$A$1:$I$89,3,0)*0.475*44/12</f>
        <v>2.9931348583567745E-17</v>
      </c>
      <c r="CN152" s="22">
        <f t="shared" si="120"/>
        <v>1.8190106158575619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-1.4210854715202004E-13</v>
      </c>
      <c r="CU152" s="17">
        <f>CT152*VLOOKUP('Données projet'!$B$13,Paramètres!$A$1:$I$89,3,0)*VLOOKUP('Données projet'!$B$13,Paramètres!$A$1:$I$89,5,0)</f>
        <v>-8.128608897095547E-14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134.70214882504786</v>
      </c>
      <c r="CZ152" s="59">
        <f t="shared" si="150"/>
        <v>102.18553029667771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0.10070021389793213</v>
      </c>
      <c r="DG152" s="21">
        <f>EXP(-LN(2)/25)*DG151+(1-EXP(-LN(2)/25))/(LN(2)/25)*Calculateur!DB152*Calculateur!DD152*VLOOKUP('Données projet'!$B$13,Paramètres!$A$1:$I$89,3,0)*0.475*44/12</f>
        <v>0.46315756518757417</v>
      </c>
      <c r="DH152" s="21">
        <f>EXP(-LN(2)/2)*DH151+(1-EXP(-LN(2)/2))/(LN(2)/2)*DB152*DE152*VLOOKUP('Données projet'!$B$13,Paramètres!$A$1:$I$89,3,0)*0.475*44/12</f>
        <v>9.4523202015970031E-18</v>
      </c>
      <c r="DI152" s="22">
        <f t="shared" si="123"/>
        <v>0.56385777908550627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-2.8421709430404007E-13</v>
      </c>
      <c r="DP152" s="17">
        <f>DO152*VLOOKUP('Données projet'!$B$14,Paramètres!$A$1:$I$89,3,0)*VLOOKUP('Données projet'!$B$14,Paramètres!$A$1:$I$89,5,0)</f>
        <v>-1.69961822393816E-13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179.32848817523677</v>
      </c>
      <c r="DU152" s="59">
        <f t="shared" si="152"/>
        <v>131.3292389103035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</v>
      </c>
      <c r="EB152" s="21">
        <f>EXP(-LN(2)/25)*EB151+(1-EXP(-LN(2)/25))/(LN(2)/25)*Calculateur!DW152*Calculateur!DY152*VLOOKUP('Données projet'!$B$14,Paramètres!$A$1:$I$89,3,0)*0.475*44/12</f>
        <v>0.48642424911000648</v>
      </c>
      <c r="EC152" s="21">
        <f>EXP(-LN(2)/2)*EC151+(1-EXP(-LN(2)/2))/(LN(2)/2)*DW152*DZ152*VLOOKUP('Données projet'!$B$14,Paramètres!$A$1:$I$89,3,0)*0.475*44/12</f>
        <v>6.4556183751959701E-18</v>
      </c>
      <c r="ED152" s="22">
        <f t="shared" si="126"/>
        <v>0.48642424911000648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-2.2737367544323206E-13</v>
      </c>
      <c r="EK152" s="17">
        <f>EJ152*VLOOKUP('Données projet'!$B$15,Paramètres!$A$1:$I$89,3,0)*VLOOKUP('Données projet'!$B$15,Paramètres!$A$1:$I$89,5,0)</f>
        <v>-1.0049916454590858E-13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191.932060106699</v>
      </c>
      <c r="EP152" s="59">
        <f t="shared" si="154"/>
        <v>260.28593152736903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0.23145826668423697</v>
      </c>
      <c r="EW152" s="21">
        <f>EXP(-LN(2)/25)*EW151+(1-EXP(-LN(2)/25))/(LN(2)/25)*Calculateur!ER152*Calculateur!ET152*VLOOKUP('Données projet'!$B$15,Paramètres!$A$1:$I$89,3,0)*0.475*44/12</f>
        <v>0.46574437707140032</v>
      </c>
      <c r="EX152" s="21">
        <f>EXP(-LN(2)/2)*EX151+(1-EXP(-LN(2)/2))/(LN(2)/2)*ER152*EU152*VLOOKUP('Données projet'!$B$15,Paramètres!$A$1:$I$89,3,0)*0.475*44/12</f>
        <v>1.6416985649399061E-18</v>
      </c>
      <c r="EY152" s="22">
        <f t="shared" si="129"/>
        <v>0.69720264375563734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181.00000000000009</v>
      </c>
      <c r="FF152" s="17">
        <f>FE152*VLOOKUP('Données projet'!$B$16,Paramètres!$A$1:$I$89,3,0)*VLOOKUP('Données projet'!$B$16,Paramètres!$A$1:$I$89,5,0)</f>
        <v>175.06320000000008</v>
      </c>
      <c r="FG152" s="13">
        <f t="shared" si="155"/>
        <v>44.222067746824763</v>
      </c>
      <c r="FH152" s="20">
        <f t="shared" si="130"/>
        <v>381.92184132571992</v>
      </c>
      <c r="FI152" s="59">
        <f t="shared" si="131"/>
        <v>675.25517465905318</v>
      </c>
      <c r="FJ152" s="59">
        <f ca="1">AVERAGE(OFFSET($FI$3,0,0,'Données projet'!$E$16+1,1))-AVERAGE(OFFSET($H$3,0,0,'Données projet'!$E$16+1,1))</f>
        <v>102.86738524979938</v>
      </c>
      <c r="FK152" s="59">
        <f t="shared" si="156"/>
        <v>56.347130462109817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0</v>
      </c>
      <c r="FR152" s="21">
        <f>EXP(-LN(2)/25)*FR151+(1-EXP(-LN(2)/25))/(LN(2)/25)*Calculateur!FM152*Calculateur!FO152*VLOOKUP('Données projet'!$B$16,Paramètres!$A$1:$I$89,3,0)*0.475*44/12</f>
        <v>0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0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300.00000000000068</v>
      </c>
      <c r="GA152" s="17">
        <f>FZ152*VLOOKUP('Données projet'!$B$17,Paramètres!$A$1:$I$89,3,0)*VLOOKUP('Données projet'!$B$17,Paramètres!$A$1:$I$89,5,0)</f>
        <v>201.24000000000046</v>
      </c>
      <c r="GB152" s="13">
        <f t="shared" si="157"/>
        <v>50.01658408633331</v>
      </c>
      <c r="GC152" s="20">
        <f t="shared" si="133"/>
        <v>437.60521728369798</v>
      </c>
      <c r="GD152" s="59">
        <f t="shared" si="134"/>
        <v>730.9385506170313</v>
      </c>
      <c r="GE152" s="59">
        <f ca="1">AVERAGE(OFFSET($GD$3,0,0,'Données projet'!$E$17+1,1))-AVERAGE(OFFSET($H$3,0,0,'Données projet'!$E$17+1,1))</f>
        <v>168.00454652899231</v>
      </c>
      <c r="GF152" s="59">
        <f t="shared" si="158"/>
        <v>135.31958994080446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0</v>
      </c>
      <c r="GM152" s="21">
        <f>EXP(-LN(2)/25)*GM151+(1-EXP(-LN(2)/25))/(LN(2)/25)*Calculateur!GH152*Calculateur!GJ152*VLOOKUP('Données projet'!$B$17,Paramètres!$A$1:$I$89,3,0)*0.475*44/12</f>
        <v>0</v>
      </c>
      <c r="GN152" s="21">
        <f>EXP(-LN(2)/2)*GN151+(1-EXP(-LN(2)/2))/(LN(2)/2)*GH152*GK152*VLOOKUP('Données projet'!$B$17,Paramètres!$A$1:$I$89,3,0)*0.475*44/12</f>
        <v>0</v>
      </c>
      <c r="GO152" s="21">
        <f t="shared" si="135"/>
        <v>0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4.5474735088646412E-13</v>
      </c>
      <c r="O153" s="13">
        <f>N153*VLOOKUP('Données projet'!$B$9,Paramètres!$A$1:$I$89,3,0)*VLOOKUP('Données projet'!$B$9,Paramètres!$A$1:$I$89,5,0)</f>
        <v>4.1145540308207271E-13</v>
      </c>
      <c r="P153" s="13">
        <f t="shared" si="141"/>
        <v>5.2428527960910789E-12</v>
      </c>
      <c r="Q153" s="20">
        <f t="shared" si="108"/>
        <v>9.8479201135599071E-12</v>
      </c>
      <c r="R153" s="59">
        <f t="shared" si="109"/>
        <v>293.33333333334315</v>
      </c>
      <c r="S153" s="59">
        <f ca="1">AVERAGE(OFFSET($R$3,0,0,'Données projet'!$E$9+1,1))-AVERAGE(OFFSET($H$3,0,0,'Données projet'!$E$9+1,1))</f>
        <v>221.7429870520005</v>
      </c>
      <c r="T153" s="59">
        <f t="shared" si="142"/>
        <v>182.2029938397186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0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3.0945512820512846</v>
      </c>
      <c r="AI153" s="13">
        <f>IF('Données projet'!$A$62&gt;35,AI152+AH153-AQ152,IF(A153&lt;'Données projet'!$A$62,$AF$205^A153,IF(A153='Données projet'!$A$62,'Données projet'!$B$62,AI152+AH153-AQ152)))</f>
        <v>185.77403846153794</v>
      </c>
      <c r="AJ153" s="13">
        <f>AI153*VLOOKUP('Données projet'!$B$10,Paramètres!$A$1:$I$89,3,0)*VLOOKUP('Données projet'!$B$10,Paramètres!$A$1:$I$89,5,0)</f>
        <v>168.08834999999954</v>
      </c>
      <c r="AK153" s="13">
        <f t="shared" si="143"/>
        <v>42.661596193999998</v>
      </c>
      <c r="AL153" s="20">
        <f t="shared" si="112"/>
        <v>367.05615628788252</v>
      </c>
      <c r="AM153" s="59">
        <f t="shared" si="113"/>
        <v>660.38948962121583</v>
      </c>
      <c r="AN153" s="59">
        <f ca="1">AVERAGE(OFFSET($AM$3,0,0,'Données projet'!$E$10+1,1))-AVERAGE(OFFSET($H$3,0,0,'Données projet'!$E$10+1,1))</f>
        <v>153.45079678708987</v>
      </c>
      <c r="AO153" s="59">
        <f t="shared" si="144"/>
        <v>115.4217868409637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0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3.4106051316484809E-13</v>
      </c>
      <c r="BE153" s="13">
        <f>BD153*VLOOKUP('Données projet'!$B$11,Paramètres!$A$1:$I$89,3,0)*VLOOKUP('Données projet'!$B$11,Paramètres!$A$1:$I$89,5,0)</f>
        <v>1.5961632016114892E-13</v>
      </c>
      <c r="BF153" s="13">
        <f t="shared" si="145"/>
        <v>2.2708641912150958E-12</v>
      </c>
      <c r="BG153" s="20">
        <f t="shared" si="115"/>
        <v>4.2330868906469593E-12</v>
      </c>
      <c r="BH153" s="59">
        <f t="shared" si="116"/>
        <v>293.33333333333752</v>
      </c>
      <c r="BI153" s="59">
        <f ca="1">AVERAGE(OFFSET($BH$3,0,0,'Données projet'!$E$11+1,1))-AVERAGE(OFFSET($H$3,0,0,'Données projet'!$E$11+1,1))</f>
        <v>158.58786357608489</v>
      </c>
      <c r="BJ153" s="59">
        <f t="shared" si="146"/>
        <v>163.20074068819849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0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>
        <f>BY153*VLOOKUP('Données projet'!$B$12,Paramètres!$A$1:$I$89,3,0)*VLOOKUP('Données projet'!$B$12,Paramètres!$A$1:$I$89,5,0)</f>
        <v>0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255.41017495879987</v>
      </c>
      <c r="CE153" s="59">
        <f t="shared" si="148"/>
        <v>297.50513563712764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0.7749445636119936</v>
      </c>
      <c r="CL153" s="21">
        <f>EXP(-LN(2)/25)*CL152+(1-EXP(-LN(2)/25))/(LN(2)/25)*Calculateur!CG153*Calculateur!CI153*VLOOKUP('Données projet'!$B$12,Paramètres!$A$1:$I$89,3,0)*0.475*44/12</f>
        <v>1.0004397247593912</v>
      </c>
      <c r="CM153" s="21">
        <f>EXP(-LN(2)/2)*CM152+(1-EXP(-LN(2)/2))/(LN(2)/2)*CG153*CJ153*VLOOKUP('Données projet'!$B$12,Paramètres!$A$1:$I$89,3,0)*0.475*44/12</f>
        <v>2.1164659553499117E-17</v>
      </c>
      <c r="CN153" s="22">
        <f t="shared" si="120"/>
        <v>1.7753842883713848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-1.4210854715202004E-13</v>
      </c>
      <c r="CU153" s="17">
        <f>CT153*VLOOKUP('Données projet'!$B$13,Paramètres!$A$1:$I$89,3,0)*VLOOKUP('Données projet'!$B$13,Paramètres!$A$1:$I$89,5,0)</f>
        <v>-8.128608897095547E-14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134.70214882504786</v>
      </c>
      <c r="CZ153" s="59">
        <f t="shared" si="150"/>
        <v>102.18553029667771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9.872554412445933E-2</v>
      </c>
      <c r="DG153" s="21">
        <f>EXP(-LN(2)/25)*DG152+(1-EXP(-LN(2)/25))/(LN(2)/25)*Calculateur!DB153*Calculateur!DD153*VLOOKUP('Données projet'!$B$13,Paramètres!$A$1:$I$89,3,0)*0.475*44/12</f>
        <v>0.45049249721112217</v>
      </c>
      <c r="DH153" s="21">
        <f>EXP(-LN(2)/2)*DH152+(1-EXP(-LN(2)/2))/(LN(2)/2)*DB153*DE153*VLOOKUP('Données projet'!$B$13,Paramètres!$A$1:$I$89,3,0)*0.475*44/12</f>
        <v>6.683799712495835E-18</v>
      </c>
      <c r="DI153" s="22">
        <f t="shared" si="123"/>
        <v>0.5492180413355815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-2.8421709430404007E-13</v>
      </c>
      <c r="DP153" s="17">
        <f>DO153*VLOOKUP('Données projet'!$B$14,Paramètres!$A$1:$I$89,3,0)*VLOOKUP('Données projet'!$B$14,Paramètres!$A$1:$I$89,5,0)</f>
        <v>-1.69961822393816E-13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179.32848817523677</v>
      </c>
      <c r="DU153" s="59">
        <f t="shared" si="152"/>
        <v>131.3292389103035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</v>
      </c>
      <c r="EB153" s="21">
        <f>EXP(-LN(2)/25)*EB152+(1-EXP(-LN(2)/25))/(LN(2)/25)*Calculateur!DW153*Calculateur!DY153*VLOOKUP('Données projet'!$B$14,Paramètres!$A$1:$I$89,3,0)*0.475*44/12</f>
        <v>0.47312295243815383</v>
      </c>
      <c r="EC153" s="21">
        <f>EXP(-LN(2)/2)*EC152+(1-EXP(-LN(2)/2))/(LN(2)/2)*DW153*DZ153*VLOOKUP('Données projet'!$B$14,Paramètres!$A$1:$I$89,3,0)*0.475*44/12</f>
        <v>4.5648115298535523E-18</v>
      </c>
      <c r="ED153" s="22">
        <f t="shared" si="126"/>
        <v>0.47312295243815383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-2.2737367544323206E-13</v>
      </c>
      <c r="EK153" s="17">
        <f>EJ153*VLOOKUP('Données projet'!$B$15,Paramètres!$A$1:$I$89,3,0)*VLOOKUP('Données projet'!$B$15,Paramètres!$A$1:$I$89,5,0)</f>
        <v>-1.0049916454590858E-13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191.932060106699</v>
      </c>
      <c r="EP153" s="59">
        <f t="shared" si="154"/>
        <v>260.28593152736903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0.22691951125016183</v>
      </c>
      <c r="EW153" s="21">
        <f>EXP(-LN(2)/25)*EW152+(1-EXP(-LN(2)/25))/(LN(2)/25)*Calculateur!ER153*Calculateur!ET153*VLOOKUP('Données projet'!$B$15,Paramètres!$A$1:$I$89,3,0)*0.475*44/12</f>
        <v>0.45300857258795058</v>
      </c>
      <c r="EX153" s="21">
        <f>EXP(-LN(2)/2)*EX152+(1-EXP(-LN(2)/2))/(LN(2)/2)*ER153*EU153*VLOOKUP('Données projet'!$B$15,Paramètres!$A$1:$I$89,3,0)*0.475*44/12</f>
        <v>1.1608561879332312E-18</v>
      </c>
      <c r="EY153" s="22">
        <f t="shared" si="129"/>
        <v>0.67992808383811243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181.00000000000009</v>
      </c>
      <c r="FF153" s="17">
        <f>FE153*VLOOKUP('Données projet'!$B$16,Paramètres!$A$1:$I$89,3,0)*VLOOKUP('Données projet'!$B$16,Paramètres!$A$1:$I$89,5,0)</f>
        <v>175.06320000000008</v>
      </c>
      <c r="FG153" s="13">
        <f t="shared" si="155"/>
        <v>44.222067746824763</v>
      </c>
      <c r="FH153" s="20">
        <f t="shared" si="130"/>
        <v>381.92184132571992</v>
      </c>
      <c r="FI153" s="59">
        <f t="shared" si="131"/>
        <v>675.25517465905318</v>
      </c>
      <c r="FJ153" s="59">
        <f ca="1">AVERAGE(OFFSET($FI$3,0,0,'Données projet'!$E$16+1,1))-AVERAGE(OFFSET($H$3,0,0,'Données projet'!$E$16+1,1))</f>
        <v>102.86738524979938</v>
      </c>
      <c r="FK153" s="59">
        <f t="shared" si="156"/>
        <v>56.347130462109817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0</v>
      </c>
      <c r="FR153" s="21">
        <f>EXP(-LN(2)/25)*FR152+(1-EXP(-LN(2)/25))/(LN(2)/25)*Calculateur!FM153*Calculateur!FO153*VLOOKUP('Données projet'!$B$16,Paramètres!$A$1:$I$89,3,0)*0.475*44/12</f>
        <v>0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0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300.00000000000068</v>
      </c>
      <c r="GA153" s="17">
        <f>FZ153*VLOOKUP('Données projet'!$B$17,Paramètres!$A$1:$I$89,3,0)*VLOOKUP('Données projet'!$B$17,Paramètres!$A$1:$I$89,5,0)</f>
        <v>201.24000000000046</v>
      </c>
      <c r="GB153" s="13">
        <f t="shared" si="157"/>
        <v>50.01658408633331</v>
      </c>
      <c r="GC153" s="20">
        <f t="shared" si="133"/>
        <v>437.60521728369798</v>
      </c>
      <c r="GD153" s="59">
        <f t="shared" si="134"/>
        <v>730.9385506170313</v>
      </c>
      <c r="GE153" s="59">
        <f ca="1">AVERAGE(OFFSET($GD$3,0,0,'Données projet'!$E$17+1,1))-AVERAGE(OFFSET($H$3,0,0,'Données projet'!$E$17+1,1))</f>
        <v>168.00454652899231</v>
      </c>
      <c r="GF153" s="59">
        <f t="shared" si="158"/>
        <v>135.31958994080446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0</v>
      </c>
      <c r="GM153" s="21">
        <f>EXP(-LN(2)/25)*GM152+(1-EXP(-LN(2)/25))/(LN(2)/25)*Calculateur!GH153*Calculateur!GJ153*VLOOKUP('Données projet'!$B$17,Paramètres!$A$1:$I$89,3,0)*0.475*44/12</f>
        <v>0</v>
      </c>
      <c r="GN153" s="21">
        <f>EXP(-LN(2)/2)*GN152+(1-EXP(-LN(2)/2))/(LN(2)/2)*GH153*GK153*VLOOKUP('Données projet'!$B$17,Paramètres!$A$1:$I$89,3,0)*0.475*44/12</f>
        <v>0</v>
      </c>
      <c r="GO153" s="21">
        <f t="shared" si="135"/>
        <v>0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4.5474735088646412E-13</v>
      </c>
      <c r="O154" s="13">
        <f>N154*VLOOKUP('Données projet'!$B$9,Paramètres!$A$1:$I$89,3,0)*VLOOKUP('Données projet'!$B$9,Paramètres!$A$1:$I$89,5,0)</f>
        <v>4.1145540308207271E-13</v>
      </c>
      <c r="P154" s="13">
        <f t="shared" si="141"/>
        <v>5.2428527960910789E-12</v>
      </c>
      <c r="Q154" s="20">
        <f t="shared" ref="Q154:Q203" si="162">(O154+P154)*0.475*44/12</f>
        <v>9.8479201135599071E-12</v>
      </c>
      <c r="R154" s="59">
        <f t="shared" si="109"/>
        <v>293.33333333334315</v>
      </c>
      <c r="S154" s="59">
        <f ca="1">AVERAGE(OFFSET($R$3,0,0,'Données projet'!$E$9+1,1))-AVERAGE(OFFSET($H$3,0,0,'Données projet'!$E$9+1,1))</f>
        <v>221.7429870520005</v>
      </c>
      <c r="T154" s="59">
        <f t="shared" si="142"/>
        <v>182.2029938397186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0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3.0945512820512846</v>
      </c>
      <c r="AI154" s="13">
        <f>IF('Données projet'!$A$62&gt;35,AI153+AH154-AQ153,IF(A154&lt;'Données projet'!$A$62,$AF$205^A154,IF(A154='Données projet'!$A$62,'Données projet'!$B$62,AI153+AH154-AQ153)))</f>
        <v>188.86858974358921</v>
      </c>
      <c r="AJ154" s="13">
        <f>AI154*VLOOKUP('Données projet'!$B$10,Paramètres!$A$1:$I$89,3,0)*VLOOKUP('Données projet'!$B$10,Paramètres!$A$1:$I$89,5,0)</f>
        <v>170.8882999999995</v>
      </c>
      <c r="AK154" s="13">
        <f t="shared" ref="AK154:AK203" si="164">EXP(-1.0587+0.8836*LN(AJ154)+0.284)</f>
        <v>43.288912849762468</v>
      </c>
      <c r="AL154" s="20">
        <f t="shared" ref="AL154:AL203" si="165">(AJ154+AK154)*0.475*44/12</f>
        <v>373.02531238000211</v>
      </c>
      <c r="AM154" s="59">
        <f t="shared" si="113"/>
        <v>666.35864571333536</v>
      </c>
      <c r="AN154" s="59">
        <f ca="1">AVERAGE(OFFSET($AM$3,0,0,'Données projet'!$E$10+1,1))-AVERAGE(OFFSET($H$3,0,0,'Données projet'!$E$10+1,1))</f>
        <v>153.45079678708987</v>
      </c>
      <c r="AO154" s="59">
        <f t="shared" si="144"/>
        <v>115.4217868409637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0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3.4106051316484809E-13</v>
      </c>
      <c r="BE154" s="13">
        <f>BD154*VLOOKUP('Données projet'!$B$11,Paramètres!$A$1:$I$89,3,0)*VLOOKUP('Données projet'!$B$11,Paramètres!$A$1:$I$89,5,0)</f>
        <v>1.5961632016114892E-13</v>
      </c>
      <c r="BF154" s="13">
        <f t="shared" ref="BF154:BF203" si="167">EXP(-1.0587+0.8836*LN(BE154)+0.284)</f>
        <v>2.2708641912150958E-12</v>
      </c>
      <c r="BG154" s="20">
        <f t="shared" ref="BG154:BG203" si="168">(BE154+BF154)*0.475*44/12</f>
        <v>4.2330868906469593E-12</v>
      </c>
      <c r="BH154" s="59">
        <f t="shared" si="116"/>
        <v>293.33333333333752</v>
      </c>
      <c r="BI154" s="59">
        <f ca="1">AVERAGE(OFFSET($BH$3,0,0,'Données projet'!$E$11+1,1))-AVERAGE(OFFSET($H$3,0,0,'Données projet'!$E$11+1,1))</f>
        <v>158.58786357608489</v>
      </c>
      <c r="BJ154" s="59">
        <f t="shared" si="146"/>
        <v>163.20074068819849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0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>
        <f>BY154*VLOOKUP('Données projet'!$B$12,Paramètres!$A$1:$I$89,3,0)*VLOOKUP('Données projet'!$B$12,Paramètres!$A$1:$I$89,5,0)</f>
        <v>0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255.41017495879987</v>
      </c>
      <c r="CE154" s="59">
        <f t="shared" si="148"/>
        <v>297.50513563712764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0.75974837338907397</v>
      </c>
      <c r="CL154" s="21">
        <f>EXP(-LN(2)/25)*CL153+(1-EXP(-LN(2)/25))/(LN(2)/25)*Calculateur!CG154*Calculateur!CI154*VLOOKUP('Données projet'!$B$12,Paramètres!$A$1:$I$89,3,0)*0.475*44/12</f>
        <v>0.97308264787500709</v>
      </c>
      <c r="CM154" s="21">
        <f>EXP(-LN(2)/2)*CM153+(1-EXP(-LN(2)/2))/(LN(2)/2)*CG154*CJ154*VLOOKUP('Données projet'!$B$12,Paramètres!$A$1:$I$89,3,0)*0.475*44/12</f>
        <v>1.4965674291783872E-17</v>
      </c>
      <c r="CN154" s="22">
        <f t="shared" ref="CN154:CN203" si="172">SUM(CK154:CM154)</f>
        <v>1.7328310212640812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-1.4210854715202004E-13</v>
      </c>
      <c r="CU154" s="17">
        <f>CT154*VLOOKUP('Données projet'!$B$13,Paramètres!$A$1:$I$89,3,0)*VLOOKUP('Données projet'!$B$13,Paramètres!$A$1:$I$89,5,0)</f>
        <v>-8.128608897095547E-14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134.70214882504786</v>
      </c>
      <c r="CZ154" s="59">
        <f t="shared" si="150"/>
        <v>102.18553029667771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9.6789596420814694E-2</v>
      </c>
      <c r="DG154" s="21">
        <f>EXP(-LN(2)/25)*DG153+(1-EXP(-LN(2)/25))/(LN(2)/25)*Calculateur!DB154*Calculateur!DD154*VLOOKUP('Données projet'!$B$13,Paramètres!$A$1:$I$89,3,0)*0.475*44/12</f>
        <v>0.43817375618451321</v>
      </c>
      <c r="DH154" s="21">
        <f>EXP(-LN(2)/2)*DH153+(1-EXP(-LN(2)/2))/(LN(2)/2)*DB154*DE154*VLOOKUP('Données projet'!$B$13,Paramètres!$A$1:$I$89,3,0)*0.475*44/12</f>
        <v>4.7261601007985016E-18</v>
      </c>
      <c r="DI154" s="22">
        <f t="shared" ref="DI154:DI203" si="175">SUM(DF154:DH154)</f>
        <v>0.5349633526053279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-2.8421709430404007E-13</v>
      </c>
      <c r="DP154" s="17">
        <f>DO154*VLOOKUP('Données projet'!$B$14,Paramètres!$A$1:$I$89,3,0)*VLOOKUP('Données projet'!$B$14,Paramètres!$A$1:$I$89,5,0)</f>
        <v>-1.69961822393816E-13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179.32848817523677</v>
      </c>
      <c r="DU154" s="59">
        <f t="shared" si="152"/>
        <v>131.3292389103035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</v>
      </c>
      <c r="EB154" s="21">
        <f>EXP(-LN(2)/25)*EB153+(1-EXP(-LN(2)/25))/(LN(2)/25)*Calculateur!DW154*Calculateur!DY154*VLOOKUP('Données projet'!$B$14,Paramètres!$A$1:$I$89,3,0)*0.475*44/12</f>
        <v>0.46018538042327778</v>
      </c>
      <c r="EC154" s="21">
        <f>EXP(-LN(2)/2)*EC153+(1-EXP(-LN(2)/2))/(LN(2)/2)*DW154*DZ154*VLOOKUP('Données projet'!$B$14,Paramètres!$A$1:$I$89,3,0)*0.475*44/12</f>
        <v>3.2278091875979851E-18</v>
      </c>
      <c r="ED154" s="22">
        <f t="shared" ref="ED154:ED203" si="178">SUM(EA154:EC154)</f>
        <v>0.46018538042327778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-2.2737367544323206E-13</v>
      </c>
      <c r="EK154" s="17">
        <f>EJ154*VLOOKUP('Données projet'!$B$15,Paramètres!$A$1:$I$89,3,0)*VLOOKUP('Données projet'!$B$15,Paramètres!$A$1:$I$89,5,0)</f>
        <v>-1.0049916454590858E-13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191.932060106699</v>
      </c>
      <c r="EP154" s="59">
        <f t="shared" si="154"/>
        <v>260.28593152736903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0.22246975804178143</v>
      </c>
      <c r="EW154" s="21">
        <f>EXP(-LN(2)/25)*EW153+(1-EXP(-LN(2)/25))/(LN(2)/25)*Calculateur!ER154*Calculateur!ET154*VLOOKUP('Données projet'!$B$15,Paramètres!$A$1:$I$89,3,0)*0.475*44/12</f>
        <v>0.44062102934784758</v>
      </c>
      <c r="EX154" s="21">
        <f>EXP(-LN(2)/2)*EX153+(1-EXP(-LN(2)/2))/(LN(2)/2)*ER154*EU154*VLOOKUP('Données projet'!$B$15,Paramètres!$A$1:$I$89,3,0)*0.475*44/12</f>
        <v>8.2084928246995304E-19</v>
      </c>
      <c r="EY154" s="22">
        <f t="shared" ref="EY154:EY203" si="181">SUM(EV154:EX154)</f>
        <v>0.66309078738962901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181.00000000000009</v>
      </c>
      <c r="FF154" s="17">
        <f>FE154*VLOOKUP('Données projet'!$B$16,Paramètres!$A$1:$I$89,3,0)*VLOOKUP('Données projet'!$B$16,Paramètres!$A$1:$I$89,5,0)</f>
        <v>175.06320000000008</v>
      </c>
      <c r="FG154" s="13">
        <f t="shared" ref="FG154:FG203" si="182">EXP(-1.0587+0.8836*LN(FF154)+0.284)</f>
        <v>44.222067746824763</v>
      </c>
      <c r="FH154" s="20">
        <f t="shared" ref="FH154:FH203" si="183">(FF154+FG154)*0.475*44/12</f>
        <v>381.92184132571992</v>
      </c>
      <c r="FI154" s="59">
        <f t="shared" si="131"/>
        <v>675.25517465905318</v>
      </c>
      <c r="FJ154" s="59">
        <f ca="1">AVERAGE(OFFSET($FI$3,0,0,'Données projet'!$E$16+1,1))-AVERAGE(OFFSET($H$3,0,0,'Données projet'!$E$16+1,1))</f>
        <v>102.86738524979938</v>
      </c>
      <c r="FK154" s="59">
        <f t="shared" si="156"/>
        <v>56.347130462109817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0</v>
      </c>
      <c r="FR154" s="21">
        <f>EXP(-LN(2)/25)*FR153+(1-EXP(-LN(2)/25))/(LN(2)/25)*Calculateur!FM154*Calculateur!FO154*VLOOKUP('Données projet'!$B$16,Paramètres!$A$1:$I$89,3,0)*0.475*44/12</f>
        <v>0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0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300.00000000000068</v>
      </c>
      <c r="GA154" s="17">
        <f>FZ154*VLOOKUP('Données projet'!$B$17,Paramètres!$A$1:$I$89,3,0)*VLOOKUP('Données projet'!$B$17,Paramètres!$A$1:$I$89,5,0)</f>
        <v>201.24000000000046</v>
      </c>
      <c r="GB154" s="13">
        <f t="shared" ref="GB154:GB203" si="185">EXP(-1.0587+0.8836*LN(GA154)+0.284)</f>
        <v>50.01658408633331</v>
      </c>
      <c r="GC154" s="20">
        <f t="shared" ref="GC154:GC203" si="186">(GA154+GB154)*0.475*44/12</f>
        <v>437.60521728369798</v>
      </c>
      <c r="GD154" s="59">
        <f t="shared" si="134"/>
        <v>730.9385506170313</v>
      </c>
      <c r="GE154" s="59">
        <f ca="1">AVERAGE(OFFSET($GD$3,0,0,'Données projet'!$E$17+1,1))-AVERAGE(OFFSET($H$3,0,0,'Données projet'!$E$17+1,1))</f>
        <v>168.00454652899231</v>
      </c>
      <c r="GF154" s="59">
        <f t="shared" si="158"/>
        <v>135.31958994080446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0</v>
      </c>
      <c r="GM154" s="21">
        <f>EXP(-LN(2)/25)*GM153+(1-EXP(-LN(2)/25))/(LN(2)/25)*Calculateur!GH154*Calculateur!GJ154*VLOOKUP('Données projet'!$B$17,Paramètres!$A$1:$I$89,3,0)*0.475*44/12</f>
        <v>0</v>
      </c>
      <c r="GN154" s="21">
        <f>EXP(-LN(2)/2)*GN153+(1-EXP(-LN(2)/2))/(LN(2)/2)*GH154*GK154*VLOOKUP('Données projet'!$B$17,Paramètres!$A$1:$I$89,3,0)*0.475*44/12</f>
        <v>0</v>
      </c>
      <c r="GO154" s="21">
        <f t="shared" ref="GO154:GO203" si="187">SUM(GL154:GN154)</f>
        <v>0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4.5474735088646412E-13</v>
      </c>
      <c r="O155" s="13">
        <f>N155*VLOOKUP('Données projet'!$B$9,Paramètres!$A$1:$I$89,3,0)*VLOOKUP('Données projet'!$B$9,Paramètres!$A$1:$I$89,5,0)</f>
        <v>4.1145540308207271E-13</v>
      </c>
      <c r="P155" s="13">
        <f t="shared" si="141"/>
        <v>5.2428527960910789E-12</v>
      </c>
      <c r="Q155" s="20">
        <f t="shared" si="162"/>
        <v>9.8479201135599071E-12</v>
      </c>
      <c r="R155" s="59">
        <f t="shared" si="109"/>
        <v>293.33333333334315</v>
      </c>
      <c r="S155" s="59">
        <f ca="1">AVERAGE(OFFSET($R$3,0,0,'Données projet'!$E$9+1,1))-AVERAGE(OFFSET($H$3,0,0,'Données projet'!$E$9+1,1))</f>
        <v>221.7429870520005</v>
      </c>
      <c r="T155" s="59">
        <f t="shared" si="142"/>
        <v>182.2029938397186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0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3.0945512820512846</v>
      </c>
      <c r="AI155" s="13">
        <f>IF('Données projet'!$A$62&gt;35,AI154+AH155-AQ154,IF(A155&lt;'Données projet'!$A$62,$AF$205^A155,IF(A155='Données projet'!$A$62,'Données projet'!$B$62,AI154+AH155-AQ154)))</f>
        <v>191.96314102564048</v>
      </c>
      <c r="AJ155" s="13">
        <f>AI155*VLOOKUP('Données projet'!$B$10,Paramètres!$A$1:$I$89,3,0)*VLOOKUP('Données projet'!$B$10,Paramètres!$A$1:$I$89,5,0)</f>
        <v>173.6882499999995</v>
      </c>
      <c r="AK155" s="13">
        <f t="shared" si="164"/>
        <v>43.915034185437626</v>
      </c>
      <c r="AL155" s="20">
        <f t="shared" si="165"/>
        <v>378.99238662296966</v>
      </c>
      <c r="AM155" s="59">
        <f t="shared" si="113"/>
        <v>672.32571995630292</v>
      </c>
      <c r="AN155" s="59">
        <f ca="1">AVERAGE(OFFSET($AM$3,0,0,'Données projet'!$E$10+1,1))-AVERAGE(OFFSET($H$3,0,0,'Données projet'!$E$10+1,1))</f>
        <v>153.45079678708987</v>
      </c>
      <c r="AO155" s="59">
        <f t="shared" si="144"/>
        <v>115.4217868409637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0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3.4106051316484809E-13</v>
      </c>
      <c r="BE155" s="13">
        <f>BD155*VLOOKUP('Données projet'!$B$11,Paramètres!$A$1:$I$89,3,0)*VLOOKUP('Données projet'!$B$11,Paramètres!$A$1:$I$89,5,0)</f>
        <v>1.5961632016114892E-13</v>
      </c>
      <c r="BF155" s="13">
        <f t="shared" si="167"/>
        <v>2.2708641912150958E-12</v>
      </c>
      <c r="BG155" s="20">
        <f t="shared" si="168"/>
        <v>4.2330868906469593E-12</v>
      </c>
      <c r="BH155" s="59">
        <f t="shared" si="116"/>
        <v>293.33333333333752</v>
      </c>
      <c r="BI155" s="59">
        <f ca="1">AVERAGE(OFFSET($BH$3,0,0,'Données projet'!$E$11+1,1))-AVERAGE(OFFSET($H$3,0,0,'Données projet'!$E$11+1,1))</f>
        <v>158.58786357608489</v>
      </c>
      <c r="BJ155" s="59">
        <f t="shared" si="146"/>
        <v>163.20074068819849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0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>
        <f>BY155*VLOOKUP('Données projet'!$B$12,Paramètres!$A$1:$I$89,3,0)*VLOOKUP('Données projet'!$B$12,Paramètres!$A$1:$I$89,5,0)</f>
        <v>0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255.41017495879987</v>
      </c>
      <c r="CE155" s="59">
        <f t="shared" si="148"/>
        <v>297.50513563712764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0.74485017118766494</v>
      </c>
      <c r="CL155" s="21">
        <f>EXP(-LN(2)/25)*CL154+(1-EXP(-LN(2)/25))/(LN(2)/25)*Calculateur!CG155*Calculateur!CI155*VLOOKUP('Données projet'!$B$12,Paramètres!$A$1:$I$89,3,0)*0.475*44/12</f>
        <v>0.94647365169667252</v>
      </c>
      <c r="CM155" s="21">
        <f>EXP(-LN(2)/2)*CM154+(1-EXP(-LN(2)/2))/(LN(2)/2)*CG155*CJ155*VLOOKUP('Données projet'!$B$12,Paramètres!$A$1:$I$89,3,0)*0.475*44/12</f>
        <v>1.0582329776749558E-17</v>
      </c>
      <c r="CN155" s="22">
        <f t="shared" si="172"/>
        <v>1.6913238228843375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-1.4210854715202004E-13</v>
      </c>
      <c r="CU155" s="17">
        <f>CT155*VLOOKUP('Données projet'!$B$13,Paramètres!$A$1:$I$89,3,0)*VLOOKUP('Données projet'!$B$13,Paramètres!$A$1:$I$89,5,0)</f>
        <v>-8.128608897095547E-14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134.70214882504786</v>
      </c>
      <c r="CZ155" s="59">
        <f t="shared" si="150"/>
        <v>102.18553029667771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9.4891611470827031E-2</v>
      </c>
      <c r="DG155" s="21">
        <f>EXP(-LN(2)/25)*DG154+(1-EXP(-LN(2)/25))/(LN(2)/25)*Calculateur!DB155*Calculateur!DD155*VLOOKUP('Données projet'!$B$13,Paramètres!$A$1:$I$89,3,0)*0.475*44/12</f>
        <v>0.42619187177909129</v>
      </c>
      <c r="DH155" s="21">
        <f>EXP(-LN(2)/2)*DH154+(1-EXP(-LN(2)/2))/(LN(2)/2)*DB155*DE155*VLOOKUP('Données projet'!$B$13,Paramètres!$A$1:$I$89,3,0)*0.475*44/12</f>
        <v>3.3418998562479175E-18</v>
      </c>
      <c r="DI155" s="22">
        <f t="shared" si="175"/>
        <v>0.52108348324991827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-2.8421709430404007E-13</v>
      </c>
      <c r="DP155" s="17">
        <f>DO155*VLOOKUP('Données projet'!$B$14,Paramètres!$A$1:$I$89,3,0)*VLOOKUP('Données projet'!$B$14,Paramètres!$A$1:$I$89,5,0)</f>
        <v>-1.69961822393816E-13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179.32848817523677</v>
      </c>
      <c r="DU155" s="59">
        <f t="shared" si="152"/>
        <v>131.3292389103035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</v>
      </c>
      <c r="EB155" s="21">
        <f>EXP(-LN(2)/25)*EB154+(1-EXP(-LN(2)/25))/(LN(2)/25)*Calculateur!DW155*Calculateur!DY155*VLOOKUP('Données projet'!$B$14,Paramètres!$A$1:$I$89,3,0)*0.475*44/12</f>
        <v>0.44760158699550584</v>
      </c>
      <c r="EC155" s="21">
        <f>EXP(-LN(2)/2)*EC154+(1-EXP(-LN(2)/2))/(LN(2)/2)*DW155*DZ155*VLOOKUP('Données projet'!$B$14,Paramètres!$A$1:$I$89,3,0)*0.475*44/12</f>
        <v>2.2824057649267761E-18</v>
      </c>
      <c r="ED155" s="22">
        <f t="shared" si="178"/>
        <v>0.44760158699550584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-2.2737367544323206E-13</v>
      </c>
      <c r="EK155" s="17">
        <f>EJ155*VLOOKUP('Données projet'!$B$15,Paramètres!$A$1:$I$89,3,0)*VLOOKUP('Données projet'!$B$15,Paramètres!$A$1:$I$89,5,0)</f>
        <v>-1.0049916454590858E-13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191.932060106699</v>
      </c>
      <c r="EP155" s="59">
        <f t="shared" si="154"/>
        <v>260.28593152736903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0.21810726177973591</v>
      </c>
      <c r="EW155" s="21">
        <f>EXP(-LN(2)/25)*EW154+(1-EXP(-LN(2)/25))/(LN(2)/25)*Calculateur!ER155*Calculateur!ET155*VLOOKUP('Données projet'!$B$15,Paramètres!$A$1:$I$89,3,0)*0.475*44/12</f>
        <v>0.42857222412907781</v>
      </c>
      <c r="EX155" s="21">
        <f>EXP(-LN(2)/2)*EX154+(1-EXP(-LN(2)/2))/(LN(2)/2)*ER155*EU155*VLOOKUP('Données projet'!$B$15,Paramètres!$A$1:$I$89,3,0)*0.475*44/12</f>
        <v>5.8042809396661562E-19</v>
      </c>
      <c r="EY155" s="22">
        <f t="shared" si="181"/>
        <v>0.64667948590881374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181.00000000000009</v>
      </c>
      <c r="FF155" s="17">
        <f>FE155*VLOOKUP('Données projet'!$B$16,Paramètres!$A$1:$I$89,3,0)*VLOOKUP('Données projet'!$B$16,Paramètres!$A$1:$I$89,5,0)</f>
        <v>175.06320000000008</v>
      </c>
      <c r="FG155" s="13">
        <f t="shared" si="182"/>
        <v>44.222067746824763</v>
      </c>
      <c r="FH155" s="20">
        <f t="shared" si="183"/>
        <v>381.92184132571992</v>
      </c>
      <c r="FI155" s="59">
        <f t="shared" si="131"/>
        <v>675.25517465905318</v>
      </c>
      <c r="FJ155" s="59">
        <f ca="1">AVERAGE(OFFSET($FI$3,0,0,'Données projet'!$E$16+1,1))-AVERAGE(OFFSET($H$3,0,0,'Données projet'!$E$16+1,1))</f>
        <v>102.86738524979938</v>
      </c>
      <c r="FK155" s="59">
        <f t="shared" si="156"/>
        <v>56.347130462109817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0</v>
      </c>
      <c r="FR155" s="21">
        <f>EXP(-LN(2)/25)*FR154+(1-EXP(-LN(2)/25))/(LN(2)/25)*Calculateur!FM155*Calculateur!FO155*VLOOKUP('Données projet'!$B$16,Paramètres!$A$1:$I$89,3,0)*0.475*44/12</f>
        <v>0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0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300.00000000000068</v>
      </c>
      <c r="GA155" s="17">
        <f>FZ155*VLOOKUP('Données projet'!$B$17,Paramètres!$A$1:$I$89,3,0)*VLOOKUP('Données projet'!$B$17,Paramètres!$A$1:$I$89,5,0)</f>
        <v>201.24000000000046</v>
      </c>
      <c r="GB155" s="13">
        <f t="shared" si="185"/>
        <v>50.01658408633331</v>
      </c>
      <c r="GC155" s="20">
        <f t="shared" si="186"/>
        <v>437.60521728369798</v>
      </c>
      <c r="GD155" s="59">
        <f t="shared" si="134"/>
        <v>730.9385506170313</v>
      </c>
      <c r="GE155" s="59">
        <f ca="1">AVERAGE(OFFSET($GD$3,0,0,'Données projet'!$E$17+1,1))-AVERAGE(OFFSET($H$3,0,0,'Données projet'!$E$17+1,1))</f>
        <v>168.00454652899231</v>
      </c>
      <c r="GF155" s="59">
        <f t="shared" si="158"/>
        <v>135.31958994080446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0</v>
      </c>
      <c r="GM155" s="21">
        <f>EXP(-LN(2)/25)*GM154+(1-EXP(-LN(2)/25))/(LN(2)/25)*Calculateur!GH155*Calculateur!GJ155*VLOOKUP('Données projet'!$B$17,Paramètres!$A$1:$I$89,3,0)*0.475*44/12</f>
        <v>0</v>
      </c>
      <c r="GN155" s="21">
        <f>EXP(-LN(2)/2)*GN154+(1-EXP(-LN(2)/2))/(LN(2)/2)*GH155*GK155*VLOOKUP('Données projet'!$B$17,Paramètres!$A$1:$I$89,3,0)*0.475*44/12</f>
        <v>0</v>
      </c>
      <c r="GO155" s="21">
        <f t="shared" si="187"/>
        <v>0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4.5474735088646412E-13</v>
      </c>
      <c r="O156" s="13">
        <f>N156*VLOOKUP('Données projet'!$B$9,Paramètres!$A$1:$I$89,3,0)*VLOOKUP('Données projet'!$B$9,Paramètres!$A$1:$I$89,5,0)</f>
        <v>4.1145540308207271E-13</v>
      </c>
      <c r="P156" s="13">
        <f t="shared" si="141"/>
        <v>5.2428527960910789E-12</v>
      </c>
      <c r="Q156" s="20">
        <f t="shared" si="162"/>
        <v>9.8479201135599071E-12</v>
      </c>
      <c r="R156" s="59">
        <f t="shared" si="109"/>
        <v>293.33333333334315</v>
      </c>
      <c r="S156" s="59">
        <f ca="1">AVERAGE(OFFSET($R$3,0,0,'Données projet'!$E$9+1,1))-AVERAGE(OFFSET($H$3,0,0,'Données projet'!$E$9+1,1))</f>
        <v>221.7429870520005</v>
      </c>
      <c r="T156" s="59">
        <f t="shared" si="142"/>
        <v>182.2029938397186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0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>
        <f>VLOOKUP(A156,'Données projet'!$A$61:$I$81,2,0)</f>
        <v>195.05769230769232</v>
      </c>
      <c r="AG156" s="12">
        <f>VLOOKUP(A156,'Données projet'!$A$61:$I$81,9,0)</f>
        <v>3.0945512820512846</v>
      </c>
      <c r="AH156" s="12">
        <f t="array" ref="AH156">INDEX(AG:AG,MIN(IF(ISNUMBER(AG156:AG352),ROW(AG156:AG352),"")))</f>
        <v>3.0945512820512846</v>
      </c>
      <c r="AI156" s="13">
        <f>IF('Données projet'!$A$62&gt;35,AI155+AH156-AQ155,IF(A156&lt;'Données projet'!$A$62,$AF$205^A156,IF(A156='Données projet'!$A$62,'Données projet'!$B$62,AI155+AH156-AQ155)))</f>
        <v>195.05769230769175</v>
      </c>
      <c r="AJ156" s="13">
        <f>AI156*VLOOKUP('Données projet'!$B$10,Paramètres!$A$1:$I$89,3,0)*VLOOKUP('Données projet'!$B$10,Paramètres!$A$1:$I$89,5,0)</f>
        <v>176.48819999999949</v>
      </c>
      <c r="AK156" s="13">
        <f t="shared" si="164"/>
        <v>44.539981694883714</v>
      </c>
      <c r="AL156" s="20">
        <f t="shared" si="165"/>
        <v>384.95741645192157</v>
      </c>
      <c r="AM156" s="59">
        <f t="shared" si="113"/>
        <v>678.29074978525489</v>
      </c>
      <c r="AN156" s="59">
        <f ca="1">AVERAGE(OFFSET($AM$3,0,0,'Données projet'!$E$10+1,1))-AVERAGE(OFFSET($H$3,0,0,'Données projet'!$E$10+1,1))</f>
        <v>153.45079678708987</v>
      </c>
      <c r="AO156" s="59">
        <f t="shared" si="144"/>
        <v>115.4217868409637</v>
      </c>
      <c r="AP156" s="15">
        <f>IF(ISNA(VLOOKUP(A156,'Données projet'!$A$61:$I$81,3,0)),0,VLOOKUP(A156,'Données projet'!$A$61:$I$81,3,0))</f>
        <v>13</v>
      </c>
      <c r="AQ156" s="15">
        <f>IF(ISNA(VLOOKUP(A156,'Données projet'!$A$61:$I$81,4,0)),0,VLOOKUP(A156,'Données projet'!$A$61:$I$81,4,0))</f>
        <v>70.115384615384613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0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3.4106051316484809E-13</v>
      </c>
      <c r="BE156" s="13">
        <f>BD156*VLOOKUP('Données projet'!$B$11,Paramètres!$A$1:$I$89,3,0)*VLOOKUP('Données projet'!$B$11,Paramètres!$A$1:$I$89,5,0)</f>
        <v>1.5961632016114892E-13</v>
      </c>
      <c r="BF156" s="13">
        <f t="shared" si="167"/>
        <v>2.2708641912150958E-12</v>
      </c>
      <c r="BG156" s="20">
        <f t="shared" si="168"/>
        <v>4.2330868906469593E-12</v>
      </c>
      <c r="BH156" s="59">
        <f t="shared" si="116"/>
        <v>293.33333333333752</v>
      </c>
      <c r="BI156" s="59">
        <f ca="1">AVERAGE(OFFSET($BH$3,0,0,'Données projet'!$E$11+1,1))-AVERAGE(OFFSET($H$3,0,0,'Données projet'!$E$11+1,1))</f>
        <v>158.58786357608489</v>
      </c>
      <c r="BJ156" s="59">
        <f t="shared" si="146"/>
        <v>163.20074068819849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0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>
        <f>BY156*VLOOKUP('Données projet'!$B$12,Paramètres!$A$1:$I$89,3,0)*VLOOKUP('Données projet'!$B$12,Paramètres!$A$1:$I$89,5,0)</f>
        <v>0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255.41017495879987</v>
      </c>
      <c r="CE156" s="59">
        <f t="shared" si="148"/>
        <v>297.50513563712764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0.73024411364441955</v>
      </c>
      <c r="CL156" s="21">
        <f>EXP(-LN(2)/25)*CL155+(1-EXP(-LN(2)/25))/(LN(2)/25)*Calculateur!CG156*Calculateur!CI156*VLOOKUP('Données projet'!$B$12,Paramètres!$A$1:$I$89,3,0)*0.475*44/12</f>
        <v>0.92059227991814085</v>
      </c>
      <c r="CM156" s="21">
        <f>EXP(-LN(2)/2)*CM155+(1-EXP(-LN(2)/2))/(LN(2)/2)*CG156*CJ156*VLOOKUP('Données projet'!$B$12,Paramètres!$A$1:$I$89,3,0)*0.475*44/12</f>
        <v>7.4828371458919362E-18</v>
      </c>
      <c r="CN156" s="22">
        <f t="shared" si="172"/>
        <v>1.6508363935625603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-1.4210854715202004E-13</v>
      </c>
      <c r="CU156" s="17">
        <f>CT156*VLOOKUP('Données projet'!$B$13,Paramètres!$A$1:$I$89,3,0)*VLOOKUP('Données projet'!$B$13,Paramètres!$A$1:$I$89,5,0)</f>
        <v>-8.128608897095547E-14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134.70214882504786</v>
      </c>
      <c r="CZ156" s="59">
        <f t="shared" si="150"/>
        <v>102.18553029667771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9.3030844848052116E-2</v>
      </c>
      <c r="DG156" s="21">
        <f>EXP(-LN(2)/25)*DG155+(1-EXP(-LN(2)/25))/(LN(2)/25)*Calculateur!DB156*Calculateur!DD156*VLOOKUP('Données projet'!$B$13,Paramètres!$A$1:$I$89,3,0)*0.475*44/12</f>
        <v>0.41453763263283555</v>
      </c>
      <c r="DH156" s="21">
        <f>EXP(-LN(2)/2)*DH155+(1-EXP(-LN(2)/2))/(LN(2)/2)*DB156*DE156*VLOOKUP('Données projet'!$B$13,Paramètres!$A$1:$I$89,3,0)*0.475*44/12</f>
        <v>2.3630800503992508E-18</v>
      </c>
      <c r="DI156" s="22">
        <f t="shared" si="175"/>
        <v>0.50756847748088763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-2.8421709430404007E-13</v>
      </c>
      <c r="DP156" s="17">
        <f>DO156*VLOOKUP('Données projet'!$B$14,Paramètres!$A$1:$I$89,3,0)*VLOOKUP('Données projet'!$B$14,Paramètres!$A$1:$I$89,5,0)</f>
        <v>-1.69961822393816E-13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179.32848817523677</v>
      </c>
      <c r="DU156" s="59">
        <f t="shared" si="152"/>
        <v>131.3292389103035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</v>
      </c>
      <c r="EB156" s="21">
        <f>EXP(-LN(2)/25)*EB155+(1-EXP(-LN(2)/25))/(LN(2)/25)*Calculateur!DW156*Calculateur!DY156*VLOOKUP('Données projet'!$B$14,Paramètres!$A$1:$I$89,3,0)*0.475*44/12</f>
        <v>0.4353618980607693</v>
      </c>
      <c r="EC156" s="21">
        <f>EXP(-LN(2)/2)*EC155+(1-EXP(-LN(2)/2))/(LN(2)/2)*DW156*DZ156*VLOOKUP('Données projet'!$B$14,Paramètres!$A$1:$I$89,3,0)*0.475*44/12</f>
        <v>1.6139045937989925E-18</v>
      </c>
      <c r="ED156" s="22">
        <f t="shared" si="178"/>
        <v>0.4353618980607693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-2.2737367544323206E-13</v>
      </c>
      <c r="EK156" s="17">
        <f>EJ156*VLOOKUP('Données projet'!$B$15,Paramètres!$A$1:$I$89,3,0)*VLOOKUP('Données projet'!$B$15,Paramètres!$A$1:$I$89,5,0)</f>
        <v>-1.0049916454590858E-13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191.932060106699</v>
      </c>
      <c r="EP156" s="59">
        <f t="shared" si="154"/>
        <v>260.28593152736903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0.21383031140852912</v>
      </c>
      <c r="EW156" s="21">
        <f>EXP(-LN(2)/25)*EW155+(1-EXP(-LN(2)/25))/(LN(2)/25)*Calculateur!ER156*Calculateur!ET156*VLOOKUP('Données projet'!$B$15,Paramètres!$A$1:$I$89,3,0)*0.475*44/12</f>
        <v>0.41685289412263443</v>
      </c>
      <c r="EX156" s="21">
        <f>EXP(-LN(2)/2)*EX155+(1-EXP(-LN(2)/2))/(LN(2)/2)*ER156*EU156*VLOOKUP('Données projet'!$B$15,Paramètres!$A$1:$I$89,3,0)*0.475*44/12</f>
        <v>4.1042464123497652E-19</v>
      </c>
      <c r="EY156" s="22">
        <f t="shared" si="181"/>
        <v>0.63068320553116353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181.00000000000009</v>
      </c>
      <c r="FF156" s="17">
        <f>FE156*VLOOKUP('Données projet'!$B$16,Paramètres!$A$1:$I$89,3,0)*VLOOKUP('Données projet'!$B$16,Paramètres!$A$1:$I$89,5,0)</f>
        <v>175.06320000000008</v>
      </c>
      <c r="FG156" s="13">
        <f t="shared" si="182"/>
        <v>44.222067746824763</v>
      </c>
      <c r="FH156" s="20">
        <f t="shared" si="183"/>
        <v>381.92184132571992</v>
      </c>
      <c r="FI156" s="59">
        <f t="shared" si="131"/>
        <v>675.25517465905318</v>
      </c>
      <c r="FJ156" s="59">
        <f ca="1">AVERAGE(OFFSET($FI$3,0,0,'Données projet'!$E$16+1,1))-AVERAGE(OFFSET($H$3,0,0,'Données projet'!$E$16+1,1))</f>
        <v>102.86738524979938</v>
      </c>
      <c r="FK156" s="59">
        <f t="shared" si="156"/>
        <v>56.347130462109817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0</v>
      </c>
      <c r="FR156" s="21">
        <f>EXP(-LN(2)/25)*FR155+(1-EXP(-LN(2)/25))/(LN(2)/25)*Calculateur!FM156*Calculateur!FO156*VLOOKUP('Données projet'!$B$16,Paramètres!$A$1:$I$89,3,0)*0.475*44/12</f>
        <v>0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0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300.00000000000068</v>
      </c>
      <c r="GA156" s="17">
        <f>FZ156*VLOOKUP('Données projet'!$B$17,Paramètres!$A$1:$I$89,3,0)*VLOOKUP('Données projet'!$B$17,Paramètres!$A$1:$I$89,5,0)</f>
        <v>201.24000000000046</v>
      </c>
      <c r="GB156" s="13">
        <f t="shared" si="185"/>
        <v>50.01658408633331</v>
      </c>
      <c r="GC156" s="20">
        <f t="shared" si="186"/>
        <v>437.60521728369798</v>
      </c>
      <c r="GD156" s="59">
        <f t="shared" si="134"/>
        <v>730.9385506170313</v>
      </c>
      <c r="GE156" s="59">
        <f ca="1">AVERAGE(OFFSET($GD$3,0,0,'Données projet'!$E$17+1,1))-AVERAGE(OFFSET($H$3,0,0,'Données projet'!$E$17+1,1))</f>
        <v>168.00454652899231</v>
      </c>
      <c r="GF156" s="59">
        <f t="shared" si="158"/>
        <v>135.31958994080446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0</v>
      </c>
      <c r="GM156" s="21">
        <f>EXP(-LN(2)/25)*GM155+(1-EXP(-LN(2)/25))/(LN(2)/25)*Calculateur!GH156*Calculateur!GJ156*VLOOKUP('Données projet'!$B$17,Paramètres!$A$1:$I$89,3,0)*0.475*44/12</f>
        <v>0</v>
      </c>
      <c r="GN156" s="21">
        <f>EXP(-LN(2)/2)*GN155+(1-EXP(-LN(2)/2))/(LN(2)/2)*GH156*GK156*VLOOKUP('Données projet'!$B$17,Paramètres!$A$1:$I$89,3,0)*0.475*44/12</f>
        <v>0</v>
      </c>
      <c r="GO156" s="21">
        <f t="shared" si="187"/>
        <v>0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4.5474735088646412E-13</v>
      </c>
      <c r="O157" s="13">
        <f>N157*VLOOKUP('Données projet'!$B$9,Paramètres!$A$1:$I$89,3,0)*VLOOKUP('Données projet'!$B$9,Paramètres!$A$1:$I$89,5,0)</f>
        <v>4.1145540308207271E-13</v>
      </c>
      <c r="P157" s="13">
        <f t="shared" si="141"/>
        <v>5.2428527960910789E-12</v>
      </c>
      <c r="Q157" s="20">
        <f t="shared" si="162"/>
        <v>9.8479201135599071E-12</v>
      </c>
      <c r="R157" s="59">
        <f t="shared" si="109"/>
        <v>293.33333333334315</v>
      </c>
      <c r="S157" s="59">
        <f ca="1">AVERAGE(OFFSET($R$3,0,0,'Données projet'!$E$9+1,1))-AVERAGE(OFFSET($H$3,0,0,'Données projet'!$E$9+1,1))</f>
        <v>221.7429870520005</v>
      </c>
      <c r="T157" s="59">
        <f t="shared" si="142"/>
        <v>182.2029938397186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0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1.8717948717948687</v>
      </c>
      <c r="AI157" s="13">
        <f>IF('Données projet'!$A$62&gt;35,AI156+AH157-AQ156,IF(A157&lt;'Données projet'!$A$62,$AF$205^A157,IF(A157='Données projet'!$A$62,'Données projet'!$B$62,AI156+AH157-AQ156)))</f>
        <v>126.814102564102</v>
      </c>
      <c r="AJ157" s="13">
        <f>AI157*VLOOKUP('Données projet'!$B$10,Paramètres!$A$1:$I$89,3,0)*VLOOKUP('Données projet'!$B$10,Paramètres!$A$1:$I$89,5,0)</f>
        <v>114.74139999999949</v>
      </c>
      <c r="AK157" s="13">
        <f t="shared" si="164"/>
        <v>30.445336927793697</v>
      </c>
      <c r="AL157" s="20">
        <f t="shared" si="165"/>
        <v>252.8669001492398</v>
      </c>
      <c r="AM157" s="59">
        <f t="shared" si="113"/>
        <v>546.20023348257314</v>
      </c>
      <c r="AN157" s="59">
        <f ca="1">AVERAGE(OFFSET($AM$3,0,0,'Données projet'!$E$10+1,1))-AVERAGE(OFFSET($H$3,0,0,'Données projet'!$E$10+1,1))</f>
        <v>153.45079678708987</v>
      </c>
      <c r="AO157" s="59">
        <f t="shared" si="144"/>
        <v>115.4217868409637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0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3.4106051316484809E-13</v>
      </c>
      <c r="BE157" s="13">
        <f>BD157*VLOOKUP('Données projet'!$B$11,Paramètres!$A$1:$I$89,3,0)*VLOOKUP('Données projet'!$B$11,Paramètres!$A$1:$I$89,5,0)</f>
        <v>1.5961632016114892E-13</v>
      </c>
      <c r="BF157" s="13">
        <f t="shared" si="167"/>
        <v>2.2708641912150958E-12</v>
      </c>
      <c r="BG157" s="20">
        <f t="shared" si="168"/>
        <v>4.2330868906469593E-12</v>
      </c>
      <c r="BH157" s="59">
        <f t="shared" si="116"/>
        <v>293.33333333333752</v>
      </c>
      <c r="BI157" s="59">
        <f ca="1">AVERAGE(OFFSET($BH$3,0,0,'Données projet'!$E$11+1,1))-AVERAGE(OFFSET($H$3,0,0,'Données projet'!$E$11+1,1))</f>
        <v>158.58786357608489</v>
      </c>
      <c r="BJ157" s="59">
        <f t="shared" si="146"/>
        <v>163.20074068819849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0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>
        <f>BY157*VLOOKUP('Données projet'!$B$12,Paramètres!$A$1:$I$89,3,0)*VLOOKUP('Données projet'!$B$12,Paramètres!$A$1:$I$89,5,0)</f>
        <v>0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255.41017495879987</v>
      </c>
      <c r="CE157" s="59">
        <f t="shared" si="148"/>
        <v>297.50513563712764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0.71592447198078168</v>
      </c>
      <c r="CL157" s="21">
        <f>EXP(-LN(2)/25)*CL156+(1-EXP(-LN(2)/25))/(LN(2)/25)*Calculateur!CG157*Calculateur!CI157*VLOOKUP('Données projet'!$B$12,Paramètres!$A$1:$I$89,3,0)*0.475*44/12</f>
        <v>0.89541863561193535</v>
      </c>
      <c r="CM157" s="21">
        <f>EXP(-LN(2)/2)*CM156+(1-EXP(-LN(2)/2))/(LN(2)/2)*CG157*CJ157*VLOOKUP('Données projet'!$B$12,Paramètres!$A$1:$I$89,3,0)*0.475*44/12</f>
        <v>5.2911648883747792E-18</v>
      </c>
      <c r="CN157" s="22">
        <f t="shared" si="172"/>
        <v>1.6113431075927171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-1.4210854715202004E-13</v>
      </c>
      <c r="CU157" s="17">
        <f>CT157*VLOOKUP('Données projet'!$B$13,Paramètres!$A$1:$I$89,3,0)*VLOOKUP('Données projet'!$B$13,Paramètres!$A$1:$I$89,5,0)</f>
        <v>-8.128608897095547E-14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134.70214882504786</v>
      </c>
      <c r="CZ157" s="59">
        <f t="shared" si="150"/>
        <v>102.18553029667771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9.120656672379425E-2</v>
      </c>
      <c r="DG157" s="21">
        <f>EXP(-LN(2)/25)*DG156+(1-EXP(-LN(2)/25))/(LN(2)/25)*Calculateur!DB157*Calculateur!DD157*VLOOKUP('Données projet'!$B$13,Paramètres!$A$1:$I$89,3,0)*0.475*44/12</f>
        <v>0.403202079268904</v>
      </c>
      <c r="DH157" s="21">
        <f>EXP(-LN(2)/2)*DH156+(1-EXP(-LN(2)/2))/(LN(2)/2)*DB157*DE157*VLOOKUP('Données projet'!$B$13,Paramètres!$A$1:$I$89,3,0)*0.475*44/12</f>
        <v>1.6709499281239587E-18</v>
      </c>
      <c r="DI157" s="22">
        <f t="shared" si="175"/>
        <v>0.49440864599269824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-2.8421709430404007E-13</v>
      </c>
      <c r="DP157" s="17">
        <f>DO157*VLOOKUP('Données projet'!$B$14,Paramètres!$A$1:$I$89,3,0)*VLOOKUP('Données projet'!$B$14,Paramètres!$A$1:$I$89,5,0)</f>
        <v>-1.69961822393816E-13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179.32848817523677</v>
      </c>
      <c r="DU157" s="59">
        <f t="shared" si="152"/>
        <v>131.3292389103035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</v>
      </c>
      <c r="EB157" s="21">
        <f>EXP(-LN(2)/25)*EB156+(1-EXP(-LN(2)/25))/(LN(2)/25)*Calculateur!DW157*Calculateur!DY157*VLOOKUP('Données projet'!$B$14,Paramètres!$A$1:$I$89,3,0)*0.475*44/12</f>
        <v>0.42345690406361036</v>
      </c>
      <c r="EC157" s="21">
        <f>EXP(-LN(2)/2)*EC156+(1-EXP(-LN(2)/2))/(LN(2)/2)*DW157*DZ157*VLOOKUP('Données projet'!$B$14,Paramètres!$A$1:$I$89,3,0)*0.475*44/12</f>
        <v>1.1412028824633881E-18</v>
      </c>
      <c r="ED157" s="22">
        <f t="shared" si="178"/>
        <v>0.42345690406361036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-2.2737367544323206E-13</v>
      </c>
      <c r="EK157" s="17">
        <f>EJ157*VLOOKUP('Données projet'!$B$15,Paramètres!$A$1:$I$89,3,0)*VLOOKUP('Données projet'!$B$15,Paramètres!$A$1:$I$89,5,0)</f>
        <v>-1.0049916454590858E-13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191.932060106699</v>
      </c>
      <c r="EP157" s="59">
        <f t="shared" si="154"/>
        <v>260.28593152736903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0.20963722942541957</v>
      </c>
      <c r="EW157" s="21">
        <f>EXP(-LN(2)/25)*EW156+(1-EXP(-LN(2)/25))/(LN(2)/25)*Calculateur!ER157*Calculateur!ET157*VLOOKUP('Données projet'!$B$15,Paramètres!$A$1:$I$89,3,0)*0.475*44/12</f>
        <v>0.40545402981151002</v>
      </c>
      <c r="EX157" s="21">
        <f>EXP(-LN(2)/2)*EX156+(1-EXP(-LN(2)/2))/(LN(2)/2)*ER157*EU157*VLOOKUP('Données projet'!$B$15,Paramètres!$A$1:$I$89,3,0)*0.475*44/12</f>
        <v>2.9021404698330781E-19</v>
      </c>
      <c r="EY157" s="22">
        <f t="shared" si="181"/>
        <v>0.61509125923692953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181.00000000000009</v>
      </c>
      <c r="FF157" s="17">
        <f>FE157*VLOOKUP('Données projet'!$B$16,Paramètres!$A$1:$I$89,3,0)*VLOOKUP('Données projet'!$B$16,Paramètres!$A$1:$I$89,5,0)</f>
        <v>175.06320000000008</v>
      </c>
      <c r="FG157" s="13">
        <f t="shared" si="182"/>
        <v>44.222067746824763</v>
      </c>
      <c r="FH157" s="20">
        <f t="shared" si="183"/>
        <v>381.92184132571992</v>
      </c>
      <c r="FI157" s="59">
        <f t="shared" si="131"/>
        <v>675.25517465905318</v>
      </c>
      <c r="FJ157" s="59">
        <f ca="1">AVERAGE(OFFSET($FI$3,0,0,'Données projet'!$E$16+1,1))-AVERAGE(OFFSET($H$3,0,0,'Données projet'!$E$16+1,1))</f>
        <v>102.86738524979938</v>
      </c>
      <c r="FK157" s="59">
        <f t="shared" si="156"/>
        <v>56.347130462109817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0</v>
      </c>
      <c r="FR157" s="21">
        <f>EXP(-LN(2)/25)*FR156+(1-EXP(-LN(2)/25))/(LN(2)/25)*Calculateur!FM157*Calculateur!FO157*VLOOKUP('Données projet'!$B$16,Paramètres!$A$1:$I$89,3,0)*0.475*44/12</f>
        <v>0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0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300.00000000000068</v>
      </c>
      <c r="GA157" s="17">
        <f>FZ157*VLOOKUP('Données projet'!$B$17,Paramètres!$A$1:$I$89,3,0)*VLOOKUP('Données projet'!$B$17,Paramètres!$A$1:$I$89,5,0)</f>
        <v>201.24000000000046</v>
      </c>
      <c r="GB157" s="13">
        <f t="shared" si="185"/>
        <v>50.01658408633331</v>
      </c>
      <c r="GC157" s="20">
        <f t="shared" si="186"/>
        <v>437.60521728369798</v>
      </c>
      <c r="GD157" s="59">
        <f t="shared" si="134"/>
        <v>730.9385506170313</v>
      </c>
      <c r="GE157" s="59">
        <f ca="1">AVERAGE(OFFSET($GD$3,0,0,'Données projet'!$E$17+1,1))-AVERAGE(OFFSET($H$3,0,0,'Données projet'!$E$17+1,1))</f>
        <v>168.00454652899231</v>
      </c>
      <c r="GF157" s="59">
        <f t="shared" si="158"/>
        <v>135.31958994080446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0</v>
      </c>
      <c r="GM157" s="21">
        <f>EXP(-LN(2)/25)*GM156+(1-EXP(-LN(2)/25))/(LN(2)/25)*Calculateur!GH157*Calculateur!GJ157*VLOOKUP('Données projet'!$B$17,Paramètres!$A$1:$I$89,3,0)*0.475*44/12</f>
        <v>0</v>
      </c>
      <c r="GN157" s="21">
        <f>EXP(-LN(2)/2)*GN156+(1-EXP(-LN(2)/2))/(LN(2)/2)*GH157*GK157*VLOOKUP('Données projet'!$B$17,Paramètres!$A$1:$I$89,3,0)*0.475*44/12</f>
        <v>0</v>
      </c>
      <c r="GO157" s="21">
        <f t="shared" si="187"/>
        <v>0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4.5474735088646412E-13</v>
      </c>
      <c r="O158" s="13">
        <f>N158*VLOOKUP('Données projet'!$B$9,Paramètres!$A$1:$I$89,3,0)*VLOOKUP('Données projet'!$B$9,Paramètres!$A$1:$I$89,5,0)</f>
        <v>4.1145540308207271E-13</v>
      </c>
      <c r="P158" s="13">
        <f t="shared" si="141"/>
        <v>5.2428527960910789E-12</v>
      </c>
      <c r="Q158" s="20">
        <f t="shared" si="162"/>
        <v>9.8479201135599071E-12</v>
      </c>
      <c r="R158" s="59">
        <f t="shared" si="109"/>
        <v>293.33333333334315</v>
      </c>
      <c r="S158" s="59">
        <f ca="1">AVERAGE(OFFSET($R$3,0,0,'Données projet'!$E$9+1,1))-AVERAGE(OFFSET($H$3,0,0,'Données projet'!$E$9+1,1))</f>
        <v>221.7429870520005</v>
      </c>
      <c r="T158" s="59">
        <f t="shared" si="142"/>
        <v>182.2029938397186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0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1.8717948717948687</v>
      </c>
      <c r="AI158" s="13">
        <f>IF('Données projet'!$A$62&gt;35,AI157+AH158-AQ157,IF(A158&lt;'Données projet'!$A$62,$AF$205^A158,IF(A158='Données projet'!$A$62,'Données projet'!$B$62,AI157+AH158-AQ157)))</f>
        <v>128.68589743589686</v>
      </c>
      <c r="AJ158" s="13">
        <f>AI158*VLOOKUP('Données projet'!$B$10,Paramètres!$A$1:$I$89,3,0)*VLOOKUP('Données projet'!$B$10,Paramètres!$A$1:$I$89,5,0)</f>
        <v>116.43499999999946</v>
      </c>
      <c r="AK158" s="13">
        <f t="shared" si="164"/>
        <v>30.842067793939275</v>
      </c>
      <c r="AL158" s="20">
        <f t="shared" si="165"/>
        <v>256.5075597411099</v>
      </c>
      <c r="AM158" s="59">
        <f t="shared" si="113"/>
        <v>549.84089307444322</v>
      </c>
      <c r="AN158" s="59">
        <f ca="1">AVERAGE(OFFSET($AM$3,0,0,'Données projet'!$E$10+1,1))-AVERAGE(OFFSET($H$3,0,0,'Données projet'!$E$10+1,1))</f>
        <v>153.45079678708987</v>
      </c>
      <c r="AO158" s="59">
        <f t="shared" si="144"/>
        <v>115.4217868409637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0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3.4106051316484809E-13</v>
      </c>
      <c r="BE158" s="13">
        <f>BD158*VLOOKUP('Données projet'!$B$11,Paramètres!$A$1:$I$89,3,0)*VLOOKUP('Données projet'!$B$11,Paramètres!$A$1:$I$89,5,0)</f>
        <v>1.5961632016114892E-13</v>
      </c>
      <c r="BF158" s="13">
        <f t="shared" si="167"/>
        <v>2.2708641912150958E-12</v>
      </c>
      <c r="BG158" s="20">
        <f t="shared" si="168"/>
        <v>4.2330868906469593E-12</v>
      </c>
      <c r="BH158" s="59">
        <f t="shared" si="116"/>
        <v>293.33333333333752</v>
      </c>
      <c r="BI158" s="59">
        <f ca="1">AVERAGE(OFFSET($BH$3,0,0,'Données projet'!$E$11+1,1))-AVERAGE(OFFSET($H$3,0,0,'Données projet'!$E$11+1,1))</f>
        <v>158.58786357608489</v>
      </c>
      <c r="BJ158" s="59">
        <f t="shared" si="146"/>
        <v>163.20074068819849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0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>
        <f>BY158*VLOOKUP('Données projet'!$B$12,Paramètres!$A$1:$I$89,3,0)*VLOOKUP('Données projet'!$B$12,Paramètres!$A$1:$I$89,5,0)</f>
        <v>0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255.41017495879987</v>
      </c>
      <c r="CE158" s="59">
        <f t="shared" si="148"/>
        <v>297.50513563712764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0.70188562975604885</v>
      </c>
      <c r="CL158" s="21">
        <f>EXP(-LN(2)/25)*CL157+(1-EXP(-LN(2)/25))/(LN(2)/25)*Calculateur!CG158*Calculateur!CI158*VLOOKUP('Données projet'!$B$12,Paramètres!$A$1:$I$89,3,0)*0.475*44/12</f>
        <v>0.87093336593310744</v>
      </c>
      <c r="CM158" s="21">
        <f>EXP(-LN(2)/2)*CM157+(1-EXP(-LN(2)/2))/(LN(2)/2)*CG158*CJ158*VLOOKUP('Données projet'!$B$12,Paramètres!$A$1:$I$89,3,0)*0.475*44/12</f>
        <v>3.7414185729459681E-18</v>
      </c>
      <c r="CN158" s="22">
        <f t="shared" si="172"/>
        <v>1.5728189956891563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-1.4210854715202004E-13</v>
      </c>
      <c r="CU158" s="17">
        <f>CT158*VLOOKUP('Données projet'!$B$13,Paramètres!$A$1:$I$89,3,0)*VLOOKUP('Données projet'!$B$13,Paramètres!$A$1:$I$89,5,0)</f>
        <v>-8.128608897095547E-14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134.70214882504786</v>
      </c>
      <c r="CZ158" s="59">
        <f t="shared" si="150"/>
        <v>102.18553029667771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8.9418061580853289E-2</v>
      </c>
      <c r="DG158" s="21">
        <f>EXP(-LN(2)/25)*DG157+(1-EXP(-LN(2)/25))/(LN(2)/25)*Calculateur!DB158*Calculateur!DD158*VLOOKUP('Données projet'!$B$13,Paramètres!$A$1:$I$89,3,0)*0.475*44/12</f>
        <v>0.39217649720782</v>
      </c>
      <c r="DH158" s="21">
        <f>EXP(-LN(2)/2)*DH157+(1-EXP(-LN(2)/2))/(LN(2)/2)*DB158*DE158*VLOOKUP('Données projet'!$B$13,Paramètres!$A$1:$I$89,3,0)*0.475*44/12</f>
        <v>1.1815400251996254E-18</v>
      </c>
      <c r="DI158" s="22">
        <f t="shared" si="175"/>
        <v>0.4815945587886733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-2.8421709430404007E-13</v>
      </c>
      <c r="DP158" s="17">
        <f>DO158*VLOOKUP('Données projet'!$B$14,Paramètres!$A$1:$I$89,3,0)*VLOOKUP('Données projet'!$B$14,Paramètres!$A$1:$I$89,5,0)</f>
        <v>-1.69961822393816E-13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179.32848817523677</v>
      </c>
      <c r="DU158" s="59">
        <f t="shared" si="152"/>
        <v>131.3292389103035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</v>
      </c>
      <c r="EB158" s="21">
        <f>EXP(-LN(2)/25)*EB157+(1-EXP(-LN(2)/25))/(LN(2)/25)*Calculateur!DW158*Calculateur!DY158*VLOOKUP('Données projet'!$B$14,Paramètres!$A$1:$I$89,3,0)*0.475*44/12</f>
        <v>0.41187745275336018</v>
      </c>
      <c r="EC158" s="21">
        <f>EXP(-LN(2)/2)*EC157+(1-EXP(-LN(2)/2))/(LN(2)/2)*DW158*DZ158*VLOOKUP('Données projet'!$B$14,Paramètres!$A$1:$I$89,3,0)*0.475*44/12</f>
        <v>8.0695229689949627E-19</v>
      </c>
      <c r="ED158" s="22">
        <f t="shared" si="178"/>
        <v>0.41187745275336018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-2.2737367544323206E-13</v>
      </c>
      <c r="EK158" s="17">
        <f>EJ158*VLOOKUP('Données projet'!$B$15,Paramètres!$A$1:$I$89,3,0)*VLOOKUP('Données projet'!$B$15,Paramètres!$A$1:$I$89,5,0)</f>
        <v>-1.0049916454590858E-13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191.932060106699</v>
      </c>
      <c r="EP158" s="59">
        <f t="shared" si="154"/>
        <v>260.28593152736903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0.2055263712224713</v>
      </c>
      <c r="EW158" s="21">
        <f>EXP(-LN(2)/25)*EW157+(1-EXP(-LN(2)/25))/(LN(2)/25)*Calculateur!ER158*Calculateur!ET158*VLOOKUP('Données projet'!$B$15,Paramètres!$A$1:$I$89,3,0)*0.475*44/12</f>
        <v>0.39436686804441351</v>
      </c>
      <c r="EX158" s="21">
        <f>EXP(-LN(2)/2)*EX157+(1-EXP(-LN(2)/2))/(LN(2)/2)*ER158*EU158*VLOOKUP('Données projet'!$B$15,Paramètres!$A$1:$I$89,3,0)*0.475*44/12</f>
        <v>2.0521232061748826E-19</v>
      </c>
      <c r="EY158" s="22">
        <f t="shared" si="181"/>
        <v>0.59989323926688476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181.00000000000009</v>
      </c>
      <c r="FF158" s="17">
        <f>FE158*VLOOKUP('Données projet'!$B$16,Paramètres!$A$1:$I$89,3,0)*VLOOKUP('Données projet'!$B$16,Paramètres!$A$1:$I$89,5,0)</f>
        <v>175.06320000000008</v>
      </c>
      <c r="FG158" s="13">
        <f t="shared" si="182"/>
        <v>44.222067746824763</v>
      </c>
      <c r="FH158" s="20">
        <f t="shared" si="183"/>
        <v>381.92184132571992</v>
      </c>
      <c r="FI158" s="59">
        <f t="shared" si="131"/>
        <v>675.25517465905318</v>
      </c>
      <c r="FJ158" s="59">
        <f ca="1">AVERAGE(OFFSET($FI$3,0,0,'Données projet'!$E$16+1,1))-AVERAGE(OFFSET($H$3,0,0,'Données projet'!$E$16+1,1))</f>
        <v>102.86738524979938</v>
      </c>
      <c r="FK158" s="59">
        <f t="shared" si="156"/>
        <v>56.347130462109817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0</v>
      </c>
      <c r="FR158" s="21">
        <f>EXP(-LN(2)/25)*FR157+(1-EXP(-LN(2)/25))/(LN(2)/25)*Calculateur!FM158*Calculateur!FO158*VLOOKUP('Données projet'!$B$16,Paramètres!$A$1:$I$89,3,0)*0.475*44/12</f>
        <v>0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0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300.00000000000068</v>
      </c>
      <c r="GA158" s="17">
        <f>FZ158*VLOOKUP('Données projet'!$B$17,Paramètres!$A$1:$I$89,3,0)*VLOOKUP('Données projet'!$B$17,Paramètres!$A$1:$I$89,5,0)</f>
        <v>201.24000000000046</v>
      </c>
      <c r="GB158" s="13">
        <f t="shared" si="185"/>
        <v>50.01658408633331</v>
      </c>
      <c r="GC158" s="20">
        <f t="shared" si="186"/>
        <v>437.60521728369798</v>
      </c>
      <c r="GD158" s="59">
        <f t="shared" si="134"/>
        <v>730.9385506170313</v>
      </c>
      <c r="GE158" s="59">
        <f ca="1">AVERAGE(OFFSET($GD$3,0,0,'Données projet'!$E$17+1,1))-AVERAGE(OFFSET($H$3,0,0,'Données projet'!$E$17+1,1))</f>
        <v>168.00454652899231</v>
      </c>
      <c r="GF158" s="59">
        <f t="shared" si="158"/>
        <v>135.31958994080446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0</v>
      </c>
      <c r="GM158" s="21">
        <f>EXP(-LN(2)/25)*GM157+(1-EXP(-LN(2)/25))/(LN(2)/25)*Calculateur!GH158*Calculateur!GJ158*VLOOKUP('Données projet'!$B$17,Paramètres!$A$1:$I$89,3,0)*0.475*44/12</f>
        <v>0</v>
      </c>
      <c r="GN158" s="21">
        <f>EXP(-LN(2)/2)*GN157+(1-EXP(-LN(2)/2))/(LN(2)/2)*GH158*GK158*VLOOKUP('Données projet'!$B$17,Paramètres!$A$1:$I$89,3,0)*0.475*44/12</f>
        <v>0</v>
      </c>
      <c r="GO158" s="21">
        <f t="shared" si="187"/>
        <v>0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4.5474735088646412E-13</v>
      </c>
      <c r="O159" s="13">
        <f>N159*VLOOKUP('Données projet'!$B$9,Paramètres!$A$1:$I$89,3,0)*VLOOKUP('Données projet'!$B$9,Paramètres!$A$1:$I$89,5,0)</f>
        <v>4.1145540308207271E-13</v>
      </c>
      <c r="P159" s="13">
        <f t="shared" si="141"/>
        <v>5.2428527960910789E-12</v>
      </c>
      <c r="Q159" s="20">
        <f t="shared" si="162"/>
        <v>9.8479201135599071E-12</v>
      </c>
      <c r="R159" s="59">
        <f t="shared" si="109"/>
        <v>293.33333333334315</v>
      </c>
      <c r="S159" s="59">
        <f ca="1">AVERAGE(OFFSET($R$3,0,0,'Données projet'!$E$9+1,1))-AVERAGE(OFFSET($H$3,0,0,'Données projet'!$E$9+1,1))</f>
        <v>221.7429870520005</v>
      </c>
      <c r="T159" s="59">
        <f t="shared" si="142"/>
        <v>182.2029938397186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0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1.8717948717948687</v>
      </c>
      <c r="AI159" s="13">
        <f>IF('Données projet'!$A$62&gt;35,AI158+AH159-AQ158,IF(A159&lt;'Données projet'!$A$62,$AF$205^A159,IF(A159='Données projet'!$A$62,'Données projet'!$B$62,AI158+AH159-AQ158)))</f>
        <v>130.55769230769172</v>
      </c>
      <c r="AJ159" s="13">
        <f>AI159*VLOOKUP('Données projet'!$B$10,Paramètres!$A$1:$I$89,3,0)*VLOOKUP('Données projet'!$B$10,Paramètres!$A$1:$I$89,5,0)</f>
        <v>118.12859999999947</v>
      </c>
      <c r="AK159" s="13">
        <f t="shared" si="164"/>
        <v>31.238127501943364</v>
      </c>
      <c r="AL159" s="20">
        <f t="shared" si="165"/>
        <v>260.14705039921705</v>
      </c>
      <c r="AM159" s="59">
        <f t="shared" si="113"/>
        <v>553.48038373255031</v>
      </c>
      <c r="AN159" s="59">
        <f ca="1">AVERAGE(OFFSET($AM$3,0,0,'Données projet'!$E$10+1,1))-AVERAGE(OFFSET($H$3,0,0,'Données projet'!$E$10+1,1))</f>
        <v>153.45079678708987</v>
      </c>
      <c r="AO159" s="59">
        <f t="shared" si="144"/>
        <v>115.4217868409637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0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3.4106051316484809E-13</v>
      </c>
      <c r="BE159" s="13">
        <f>BD159*VLOOKUP('Données projet'!$B$11,Paramètres!$A$1:$I$89,3,0)*VLOOKUP('Données projet'!$B$11,Paramètres!$A$1:$I$89,5,0)</f>
        <v>1.5961632016114892E-13</v>
      </c>
      <c r="BF159" s="13">
        <f t="shared" si="167"/>
        <v>2.2708641912150958E-12</v>
      </c>
      <c r="BG159" s="20">
        <f t="shared" si="168"/>
        <v>4.2330868906469593E-12</v>
      </c>
      <c r="BH159" s="59">
        <f t="shared" si="116"/>
        <v>293.33333333333752</v>
      </c>
      <c r="BI159" s="59">
        <f ca="1">AVERAGE(OFFSET($BH$3,0,0,'Données projet'!$E$11+1,1))-AVERAGE(OFFSET($H$3,0,0,'Données projet'!$E$11+1,1))</f>
        <v>158.58786357608489</v>
      </c>
      <c r="BJ159" s="59">
        <f t="shared" si="146"/>
        <v>163.20074068819849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0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>
        <f>BY159*VLOOKUP('Données projet'!$B$12,Paramètres!$A$1:$I$89,3,0)*VLOOKUP('Données projet'!$B$12,Paramètres!$A$1:$I$89,5,0)</f>
        <v>0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255.41017495879987</v>
      </c>
      <c r="CE159" s="59">
        <f t="shared" si="148"/>
        <v>297.50513563712764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0.68812208066449476</v>
      </c>
      <c r="CL159" s="21">
        <f>EXP(-LN(2)/25)*CL158+(1-EXP(-LN(2)/25))/(LN(2)/25)*Calculateur!CG159*Calculateur!CI159*VLOOKUP('Données projet'!$B$12,Paramètres!$A$1:$I$89,3,0)*0.475*44/12</f>
        <v>0.84711764724127148</v>
      </c>
      <c r="CM159" s="21">
        <f>EXP(-LN(2)/2)*CM158+(1-EXP(-LN(2)/2))/(LN(2)/2)*CG159*CJ159*VLOOKUP('Données projet'!$B$12,Paramètres!$A$1:$I$89,3,0)*0.475*44/12</f>
        <v>2.6455824441873896E-18</v>
      </c>
      <c r="CN159" s="22">
        <f t="shared" si="172"/>
        <v>1.5352397279057661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-1.4210854715202004E-13</v>
      </c>
      <c r="CU159" s="17">
        <f>CT159*VLOOKUP('Données projet'!$B$13,Paramètres!$A$1:$I$89,3,0)*VLOOKUP('Données projet'!$B$13,Paramètres!$A$1:$I$89,5,0)</f>
        <v>-8.128608897095547E-14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134.70214882504786</v>
      </c>
      <c r="CZ159" s="59">
        <f t="shared" si="150"/>
        <v>102.18553029667771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8.7664627932884973E-2</v>
      </c>
      <c r="DG159" s="21">
        <f>EXP(-LN(2)/25)*DG158+(1-EXP(-LN(2)/25))/(LN(2)/25)*Calculateur!DB159*Calculateur!DD159*VLOOKUP('Données projet'!$B$13,Paramètres!$A$1:$I$89,3,0)*0.475*44/12</f>
        <v>0.38145241026800653</v>
      </c>
      <c r="DH159" s="21">
        <f>EXP(-LN(2)/2)*DH158+(1-EXP(-LN(2)/2))/(LN(2)/2)*DB159*DE159*VLOOKUP('Données projet'!$B$13,Paramètres!$A$1:$I$89,3,0)*0.475*44/12</f>
        <v>8.3547496406197937E-19</v>
      </c>
      <c r="DI159" s="22">
        <f t="shared" si="175"/>
        <v>0.46911703820089151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-2.8421709430404007E-13</v>
      </c>
      <c r="DP159" s="17">
        <f>DO159*VLOOKUP('Données projet'!$B$14,Paramètres!$A$1:$I$89,3,0)*VLOOKUP('Données projet'!$B$14,Paramètres!$A$1:$I$89,5,0)</f>
        <v>-1.69961822393816E-13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179.32848817523677</v>
      </c>
      <c r="DU159" s="59">
        <f t="shared" si="152"/>
        <v>131.3292389103035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</v>
      </c>
      <c r="EB159" s="21">
        <f>EXP(-LN(2)/25)*EB158+(1-EXP(-LN(2)/25))/(LN(2)/25)*Calculateur!DW159*Calculateur!DY159*VLOOKUP('Données projet'!$B$14,Paramètres!$A$1:$I$89,3,0)*0.475*44/12</f>
        <v>0.40061464214812564</v>
      </c>
      <c r="EC159" s="21">
        <f>EXP(-LN(2)/2)*EC158+(1-EXP(-LN(2)/2))/(LN(2)/2)*DW159*DZ159*VLOOKUP('Données projet'!$B$14,Paramètres!$A$1:$I$89,3,0)*0.475*44/12</f>
        <v>5.7060144123169403E-19</v>
      </c>
      <c r="ED159" s="22">
        <f t="shared" si="178"/>
        <v>0.40061464214812564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-2.2737367544323206E-13</v>
      </c>
      <c r="EK159" s="17">
        <f>EJ159*VLOOKUP('Données projet'!$B$15,Paramètres!$A$1:$I$89,3,0)*VLOOKUP('Données projet'!$B$15,Paramètres!$A$1:$I$89,5,0)</f>
        <v>-1.0049916454590858E-13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191.932060106699</v>
      </c>
      <c r="EP159" s="59">
        <f t="shared" si="154"/>
        <v>260.28593152736903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0.20149612444150694</v>
      </c>
      <c r="EW159" s="21">
        <f>EXP(-LN(2)/25)*EW158+(1-EXP(-LN(2)/25))/(LN(2)/25)*Calculateur!ER159*Calculateur!ET159*VLOOKUP('Données projet'!$B$15,Paramètres!$A$1:$I$89,3,0)*0.475*44/12</f>
        <v>0.38358288529888679</v>
      </c>
      <c r="EX159" s="21">
        <f>EXP(-LN(2)/2)*EX158+(1-EXP(-LN(2)/2))/(LN(2)/2)*ER159*EU159*VLOOKUP('Données projet'!$B$15,Paramètres!$A$1:$I$89,3,0)*0.475*44/12</f>
        <v>1.451070234916539E-19</v>
      </c>
      <c r="EY159" s="22">
        <f t="shared" si="181"/>
        <v>0.58507900974039373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181.00000000000009</v>
      </c>
      <c r="FF159" s="17">
        <f>FE159*VLOOKUP('Données projet'!$B$16,Paramètres!$A$1:$I$89,3,0)*VLOOKUP('Données projet'!$B$16,Paramètres!$A$1:$I$89,5,0)</f>
        <v>175.06320000000008</v>
      </c>
      <c r="FG159" s="13">
        <f t="shared" si="182"/>
        <v>44.222067746824763</v>
      </c>
      <c r="FH159" s="20">
        <f t="shared" si="183"/>
        <v>381.92184132571992</v>
      </c>
      <c r="FI159" s="59">
        <f t="shared" si="131"/>
        <v>675.25517465905318</v>
      </c>
      <c r="FJ159" s="59">
        <f ca="1">AVERAGE(OFFSET($FI$3,0,0,'Données projet'!$E$16+1,1))-AVERAGE(OFFSET($H$3,0,0,'Données projet'!$E$16+1,1))</f>
        <v>102.86738524979938</v>
      </c>
      <c r="FK159" s="59">
        <f t="shared" si="156"/>
        <v>56.347130462109817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0</v>
      </c>
      <c r="FR159" s="21">
        <f>EXP(-LN(2)/25)*FR158+(1-EXP(-LN(2)/25))/(LN(2)/25)*Calculateur!FM159*Calculateur!FO159*VLOOKUP('Données projet'!$B$16,Paramètres!$A$1:$I$89,3,0)*0.475*44/12</f>
        <v>0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0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300.00000000000068</v>
      </c>
      <c r="GA159" s="17">
        <f>FZ159*VLOOKUP('Données projet'!$B$17,Paramètres!$A$1:$I$89,3,0)*VLOOKUP('Données projet'!$B$17,Paramètres!$A$1:$I$89,5,0)</f>
        <v>201.24000000000046</v>
      </c>
      <c r="GB159" s="13">
        <f t="shared" si="185"/>
        <v>50.01658408633331</v>
      </c>
      <c r="GC159" s="20">
        <f t="shared" si="186"/>
        <v>437.60521728369798</v>
      </c>
      <c r="GD159" s="59">
        <f t="shared" si="134"/>
        <v>730.9385506170313</v>
      </c>
      <c r="GE159" s="59">
        <f ca="1">AVERAGE(OFFSET($GD$3,0,0,'Données projet'!$E$17+1,1))-AVERAGE(OFFSET($H$3,0,0,'Données projet'!$E$17+1,1))</f>
        <v>168.00454652899231</v>
      </c>
      <c r="GF159" s="59">
        <f t="shared" si="158"/>
        <v>135.31958994080446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0</v>
      </c>
      <c r="GM159" s="21">
        <f>EXP(-LN(2)/25)*GM158+(1-EXP(-LN(2)/25))/(LN(2)/25)*Calculateur!GH159*Calculateur!GJ159*VLOOKUP('Données projet'!$B$17,Paramètres!$A$1:$I$89,3,0)*0.475*44/12</f>
        <v>0</v>
      </c>
      <c r="GN159" s="21">
        <f>EXP(-LN(2)/2)*GN158+(1-EXP(-LN(2)/2))/(LN(2)/2)*GH159*GK159*VLOOKUP('Données projet'!$B$17,Paramètres!$A$1:$I$89,3,0)*0.475*44/12</f>
        <v>0</v>
      </c>
      <c r="GO159" s="21">
        <f t="shared" si="187"/>
        <v>0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4.5474735088646412E-13</v>
      </c>
      <c r="O160" s="13">
        <f>N160*VLOOKUP('Données projet'!$B$9,Paramètres!$A$1:$I$89,3,0)*VLOOKUP('Données projet'!$B$9,Paramètres!$A$1:$I$89,5,0)</f>
        <v>4.1145540308207271E-13</v>
      </c>
      <c r="P160" s="13">
        <f t="shared" si="141"/>
        <v>5.2428527960910789E-12</v>
      </c>
      <c r="Q160" s="20">
        <f t="shared" si="162"/>
        <v>9.8479201135599071E-12</v>
      </c>
      <c r="R160" s="59">
        <f t="shared" si="109"/>
        <v>293.33333333334315</v>
      </c>
      <c r="S160" s="59">
        <f ca="1">AVERAGE(OFFSET($R$3,0,0,'Données projet'!$E$9+1,1))-AVERAGE(OFFSET($H$3,0,0,'Données projet'!$E$9+1,1))</f>
        <v>221.7429870520005</v>
      </c>
      <c r="T160" s="59">
        <f t="shared" si="142"/>
        <v>182.2029938397186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0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>
        <f>VLOOKUP(A160,'Données projet'!$A$61:$I$81,2,0)</f>
        <v>132.42948717948718</v>
      </c>
      <c r="AG160" s="12">
        <f>VLOOKUP(A160,'Données projet'!$A$61:$I$81,9,0)</f>
        <v>1.8717948717948687</v>
      </c>
      <c r="AH160" s="12">
        <f t="array" ref="AH160">INDEX(AG:AG,MIN(IF(ISNUMBER(AG160:AG356),ROW(AG160:AG356),"")))</f>
        <v>1.8717948717948687</v>
      </c>
      <c r="AI160" s="13">
        <f>IF('Données projet'!$A$62&gt;35,AI159+AH160-AQ159,IF(A160&lt;'Données projet'!$A$62,$AF$205^A160,IF(A160='Données projet'!$A$62,'Données projet'!$B$62,AI159+AH160-AQ159)))</f>
        <v>132.42948717948659</v>
      </c>
      <c r="AJ160" s="13">
        <f>AI160*VLOOKUP('Données projet'!$B$10,Paramètres!$A$1:$I$89,3,0)*VLOOKUP('Données projet'!$B$10,Paramètres!$A$1:$I$89,5,0)</f>
        <v>119.82219999999947</v>
      </c>
      <c r="AK160" s="13">
        <f t="shared" si="164"/>
        <v>31.633526785966847</v>
      </c>
      <c r="AL160" s="20">
        <f t="shared" si="165"/>
        <v>263.7853908188913</v>
      </c>
      <c r="AM160" s="59">
        <f t="shared" si="113"/>
        <v>557.11872415222456</v>
      </c>
      <c r="AN160" s="59">
        <f ca="1">AVERAGE(OFFSET($AM$3,0,0,'Données projet'!$E$10+1,1))-AVERAGE(OFFSET($H$3,0,0,'Données projet'!$E$10+1,1))</f>
        <v>153.45079678708987</v>
      </c>
      <c r="AO160" s="59">
        <f t="shared" si="144"/>
        <v>115.4217868409637</v>
      </c>
      <c r="AP160" s="15">
        <f>IF(ISNA(VLOOKUP(A160,'Données projet'!$A$61:$I$81,3,0)),0,VLOOKUP(A160,'Données projet'!$A$61:$I$81,3,0))</f>
        <v>14</v>
      </c>
      <c r="AQ160" s="15">
        <f>IF(ISNA(VLOOKUP(A160,'Données projet'!$A$61:$I$81,4,0)),0,VLOOKUP(A160,'Données projet'!$A$61:$I$81,4,0))</f>
        <v>45.71153846153846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0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3.4106051316484809E-13</v>
      </c>
      <c r="BE160" s="13">
        <f>BD160*VLOOKUP('Données projet'!$B$11,Paramètres!$A$1:$I$89,3,0)*VLOOKUP('Données projet'!$B$11,Paramètres!$A$1:$I$89,5,0)</f>
        <v>1.5961632016114892E-13</v>
      </c>
      <c r="BF160" s="13">
        <f t="shared" si="167"/>
        <v>2.2708641912150958E-12</v>
      </c>
      <c r="BG160" s="20">
        <f t="shared" si="168"/>
        <v>4.2330868906469593E-12</v>
      </c>
      <c r="BH160" s="59">
        <f t="shared" si="116"/>
        <v>293.33333333333752</v>
      </c>
      <c r="BI160" s="59">
        <f ca="1">AVERAGE(OFFSET($BH$3,0,0,'Données projet'!$E$11+1,1))-AVERAGE(OFFSET($H$3,0,0,'Données projet'!$E$11+1,1))</f>
        <v>158.58786357608489</v>
      </c>
      <c r="BJ160" s="59">
        <f t="shared" si="146"/>
        <v>163.20074068819849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0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>
        <f>BY160*VLOOKUP('Données projet'!$B$12,Paramètres!$A$1:$I$89,3,0)*VLOOKUP('Données projet'!$B$12,Paramètres!$A$1:$I$89,5,0)</f>
        <v>0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255.41017495879987</v>
      </c>
      <c r="CE160" s="59">
        <f t="shared" si="148"/>
        <v>297.50513563712764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0.67462842637568998</v>
      </c>
      <c r="CL160" s="21">
        <f>EXP(-LN(2)/25)*CL159+(1-EXP(-LN(2)/25))/(LN(2)/25)*Calculateur!CG160*Calculateur!CI160*VLOOKUP('Données projet'!$B$12,Paramètres!$A$1:$I$89,3,0)*0.475*44/12</f>
        <v>0.82395317062947793</v>
      </c>
      <c r="CM160" s="21">
        <f>EXP(-LN(2)/2)*CM159+(1-EXP(-LN(2)/2))/(LN(2)/2)*CG160*CJ160*VLOOKUP('Données projet'!$B$12,Paramètres!$A$1:$I$89,3,0)*0.475*44/12</f>
        <v>1.8707092864729841E-18</v>
      </c>
      <c r="CN160" s="22">
        <f t="shared" si="172"/>
        <v>1.4985815970051679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-1.4210854715202004E-13</v>
      </c>
      <c r="CU160" s="17">
        <f>CT160*VLOOKUP('Données projet'!$B$13,Paramètres!$A$1:$I$89,3,0)*VLOOKUP('Données projet'!$B$13,Paramètres!$A$1:$I$89,5,0)</f>
        <v>-8.128608897095547E-14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134.70214882504786</v>
      </c>
      <c r="CZ160" s="59">
        <f t="shared" si="150"/>
        <v>102.18553029667771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8.5945578049264393E-2</v>
      </c>
      <c r="DG160" s="21">
        <f>EXP(-LN(2)/25)*DG159+(1-EXP(-LN(2)/25))/(LN(2)/25)*Calculateur!DB160*Calculateur!DD160*VLOOKUP('Données projet'!$B$13,Paramètres!$A$1:$I$89,3,0)*0.475*44/12</f>
        <v>0.37102157404951747</v>
      </c>
      <c r="DH160" s="21">
        <f>EXP(-LN(2)/2)*DH159+(1-EXP(-LN(2)/2))/(LN(2)/2)*DB160*DE160*VLOOKUP('Données projet'!$B$13,Paramètres!$A$1:$I$89,3,0)*0.475*44/12</f>
        <v>5.907700125998127E-19</v>
      </c>
      <c r="DI160" s="22">
        <f t="shared" si="175"/>
        <v>0.45696715209878186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-2.8421709430404007E-13</v>
      </c>
      <c r="DP160" s="17">
        <f>DO160*VLOOKUP('Données projet'!$B$14,Paramètres!$A$1:$I$89,3,0)*VLOOKUP('Données projet'!$B$14,Paramètres!$A$1:$I$89,5,0)</f>
        <v>-1.69961822393816E-13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179.32848817523677</v>
      </c>
      <c r="DU160" s="59">
        <f t="shared" si="152"/>
        <v>131.3292389103035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</v>
      </c>
      <c r="EB160" s="21">
        <f>EXP(-LN(2)/25)*EB159+(1-EXP(-LN(2)/25))/(LN(2)/25)*Calculateur!DW160*Calculateur!DY160*VLOOKUP('Données projet'!$B$14,Paramètres!$A$1:$I$89,3,0)*0.475*44/12</f>
        <v>0.38965981369117675</v>
      </c>
      <c r="EC160" s="21">
        <f>EXP(-LN(2)/2)*EC159+(1-EXP(-LN(2)/2))/(LN(2)/2)*DW160*DZ160*VLOOKUP('Données projet'!$B$14,Paramètres!$A$1:$I$89,3,0)*0.475*44/12</f>
        <v>4.0347614844974813E-19</v>
      </c>
      <c r="ED160" s="22">
        <f t="shared" si="178"/>
        <v>0.38965981369117675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-2.2737367544323206E-13</v>
      </c>
      <c r="EK160" s="17">
        <f>EJ160*VLOOKUP('Données projet'!$B$15,Paramètres!$A$1:$I$89,3,0)*VLOOKUP('Données projet'!$B$15,Paramètres!$A$1:$I$89,5,0)</f>
        <v>-1.0049916454590858E-13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191.932060106699</v>
      </c>
      <c r="EP160" s="59">
        <f t="shared" si="154"/>
        <v>260.28593152736903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0.19754490834170949</v>
      </c>
      <c r="EW160" s="21">
        <f>EXP(-LN(2)/25)*EW159+(1-EXP(-LN(2)/25))/(LN(2)/25)*Calculateur!ER160*Calculateur!ET160*VLOOKUP('Données projet'!$B$15,Paramètres!$A$1:$I$89,3,0)*0.475*44/12</f>
        <v>0.37309379112864149</v>
      </c>
      <c r="EX160" s="21">
        <f>EXP(-LN(2)/2)*EX159+(1-EXP(-LN(2)/2))/(LN(2)/2)*ER160*EU160*VLOOKUP('Données projet'!$B$15,Paramètres!$A$1:$I$89,3,0)*0.475*44/12</f>
        <v>1.0260616030874413E-19</v>
      </c>
      <c r="EY160" s="22">
        <f t="shared" si="181"/>
        <v>0.57063869947035095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181.00000000000009</v>
      </c>
      <c r="FF160" s="17">
        <f>FE160*VLOOKUP('Données projet'!$B$16,Paramètres!$A$1:$I$89,3,0)*VLOOKUP('Données projet'!$B$16,Paramètres!$A$1:$I$89,5,0)</f>
        <v>175.06320000000008</v>
      </c>
      <c r="FG160" s="13">
        <f t="shared" si="182"/>
        <v>44.222067746824763</v>
      </c>
      <c r="FH160" s="20">
        <f t="shared" si="183"/>
        <v>381.92184132571992</v>
      </c>
      <c r="FI160" s="59">
        <f t="shared" si="131"/>
        <v>675.25517465905318</v>
      </c>
      <c r="FJ160" s="59">
        <f ca="1">AVERAGE(OFFSET($FI$3,0,0,'Données projet'!$E$16+1,1))-AVERAGE(OFFSET($H$3,0,0,'Données projet'!$E$16+1,1))</f>
        <v>102.86738524979938</v>
      </c>
      <c r="FK160" s="59">
        <f t="shared" si="156"/>
        <v>56.347130462109817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0</v>
      </c>
      <c r="FR160" s="21">
        <f>EXP(-LN(2)/25)*FR159+(1-EXP(-LN(2)/25))/(LN(2)/25)*Calculateur!FM160*Calculateur!FO160*VLOOKUP('Données projet'!$B$16,Paramètres!$A$1:$I$89,3,0)*0.475*44/12</f>
        <v>0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0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300.00000000000068</v>
      </c>
      <c r="GA160" s="17">
        <f>FZ160*VLOOKUP('Données projet'!$B$17,Paramètres!$A$1:$I$89,3,0)*VLOOKUP('Données projet'!$B$17,Paramètres!$A$1:$I$89,5,0)</f>
        <v>201.24000000000046</v>
      </c>
      <c r="GB160" s="13">
        <f t="shared" si="185"/>
        <v>50.01658408633331</v>
      </c>
      <c r="GC160" s="20">
        <f t="shared" si="186"/>
        <v>437.60521728369798</v>
      </c>
      <c r="GD160" s="59">
        <f t="shared" si="134"/>
        <v>730.9385506170313</v>
      </c>
      <c r="GE160" s="59">
        <f ca="1">AVERAGE(OFFSET($GD$3,0,0,'Données projet'!$E$17+1,1))-AVERAGE(OFFSET($H$3,0,0,'Données projet'!$E$17+1,1))</f>
        <v>168.00454652899231</v>
      </c>
      <c r="GF160" s="59">
        <f t="shared" si="158"/>
        <v>135.31958994080446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0</v>
      </c>
      <c r="GM160" s="21">
        <f>EXP(-LN(2)/25)*GM159+(1-EXP(-LN(2)/25))/(LN(2)/25)*Calculateur!GH160*Calculateur!GJ160*VLOOKUP('Données projet'!$B$17,Paramètres!$A$1:$I$89,3,0)*0.475*44/12</f>
        <v>0</v>
      </c>
      <c r="GN160" s="21">
        <f>EXP(-LN(2)/2)*GN159+(1-EXP(-LN(2)/2))/(LN(2)/2)*GH160*GK160*VLOOKUP('Données projet'!$B$17,Paramètres!$A$1:$I$89,3,0)*0.475*44/12</f>
        <v>0</v>
      </c>
      <c r="GO160" s="21">
        <f t="shared" si="187"/>
        <v>0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4.5474735088646412E-13</v>
      </c>
      <c r="O161" s="13">
        <f>N161*VLOOKUP('Données projet'!$B$9,Paramètres!$A$1:$I$89,3,0)*VLOOKUP('Données projet'!$B$9,Paramètres!$A$1:$I$89,5,0)</f>
        <v>4.1145540308207271E-13</v>
      </c>
      <c r="P161" s="13">
        <f t="shared" si="141"/>
        <v>5.2428527960910789E-12</v>
      </c>
      <c r="Q161" s="20">
        <f t="shared" si="162"/>
        <v>9.8479201135599071E-12</v>
      </c>
      <c r="R161" s="59">
        <f t="shared" si="109"/>
        <v>293.33333333334315</v>
      </c>
      <c r="S161" s="59">
        <f ca="1">AVERAGE(OFFSET($R$3,0,0,'Données projet'!$E$9+1,1))-AVERAGE(OFFSET($H$3,0,0,'Données projet'!$E$9+1,1))</f>
        <v>221.7429870520005</v>
      </c>
      <c r="T161" s="59">
        <f t="shared" si="142"/>
        <v>182.2029938397186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0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1.1618589743589709</v>
      </c>
      <c r="AI161" s="13">
        <f>IF('Données projet'!$A$62&gt;35,AI160+AH161-AQ160,IF(A161&lt;'Données projet'!$A$62,$AF$205^A161,IF(A161='Données projet'!$A$62,'Données projet'!$B$62,AI160+AH161-AQ160)))</f>
        <v>87.879807692307111</v>
      </c>
      <c r="AJ161" s="13">
        <f>AI161*VLOOKUP('Données projet'!$B$10,Paramètres!$A$1:$I$89,3,0)*VLOOKUP('Données projet'!$B$10,Paramètres!$A$1:$I$89,5,0)</f>
        <v>79.513649999999473</v>
      </c>
      <c r="AK161" s="13">
        <f t="shared" si="164"/>
        <v>22.01822685528159</v>
      </c>
      <c r="AL161" s="20">
        <f t="shared" si="165"/>
        <v>176.83468552294786</v>
      </c>
      <c r="AM161" s="59">
        <f t="shared" si="113"/>
        <v>470.16801885628115</v>
      </c>
      <c r="AN161" s="59">
        <f ca="1">AVERAGE(OFFSET($AM$3,0,0,'Données projet'!$E$10+1,1))-AVERAGE(OFFSET($H$3,0,0,'Données projet'!$E$10+1,1))</f>
        <v>153.45079678708987</v>
      </c>
      <c r="AO161" s="59">
        <f t="shared" si="144"/>
        <v>115.4217868409637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0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3.4106051316484809E-13</v>
      </c>
      <c r="BE161" s="13">
        <f>BD161*VLOOKUP('Données projet'!$B$11,Paramètres!$A$1:$I$89,3,0)*VLOOKUP('Données projet'!$B$11,Paramètres!$A$1:$I$89,5,0)</f>
        <v>1.5961632016114892E-13</v>
      </c>
      <c r="BF161" s="13">
        <f t="shared" si="167"/>
        <v>2.2708641912150958E-12</v>
      </c>
      <c r="BG161" s="20">
        <f t="shared" si="168"/>
        <v>4.2330868906469593E-12</v>
      </c>
      <c r="BH161" s="59">
        <f t="shared" si="116"/>
        <v>293.33333333333752</v>
      </c>
      <c r="BI161" s="59">
        <f ca="1">AVERAGE(OFFSET($BH$3,0,0,'Données projet'!$E$11+1,1))-AVERAGE(OFFSET($H$3,0,0,'Données projet'!$E$11+1,1))</f>
        <v>158.58786357608489</v>
      </c>
      <c r="BJ161" s="59">
        <f t="shared" si="146"/>
        <v>163.20074068819849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0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>
        <f>BY161*VLOOKUP('Données projet'!$B$12,Paramètres!$A$1:$I$89,3,0)*VLOOKUP('Données projet'!$B$12,Paramètres!$A$1:$I$89,5,0)</f>
        <v>0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255.41017495879987</v>
      </c>
      <c r="CE161" s="59">
        <f t="shared" si="148"/>
        <v>297.50513563712764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0.66139937441717223</v>
      </c>
      <c r="CL161" s="21">
        <f>EXP(-LN(2)/25)*CL160+(1-EXP(-LN(2)/25))/(LN(2)/25)*Calculateur!CG161*Calculateur!CI161*VLOOKUP('Données projet'!$B$12,Paramètres!$A$1:$I$89,3,0)*0.475*44/12</f>
        <v>0.80142212784880074</v>
      </c>
      <c r="CM161" s="21">
        <f>EXP(-LN(2)/2)*CM160+(1-EXP(-LN(2)/2))/(LN(2)/2)*CG161*CJ161*VLOOKUP('Données projet'!$B$12,Paramètres!$A$1:$I$89,3,0)*0.475*44/12</f>
        <v>1.3227912220936948E-18</v>
      </c>
      <c r="CN161" s="22">
        <f t="shared" si="172"/>
        <v>1.462821502265973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-1.4210854715202004E-13</v>
      </c>
      <c r="CU161" s="17">
        <f>CT161*VLOOKUP('Données projet'!$B$13,Paramètres!$A$1:$I$89,3,0)*VLOOKUP('Données projet'!$B$13,Paramètres!$A$1:$I$89,5,0)</f>
        <v>-8.128608897095547E-14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134.70214882504786</v>
      </c>
      <c r="CZ161" s="59">
        <f t="shared" si="150"/>
        <v>102.18553029667771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8.4260237685344727E-2</v>
      </c>
      <c r="DG161" s="21">
        <f>EXP(-LN(2)/25)*DG160+(1-EXP(-LN(2)/25))/(LN(2)/25)*Calculateur!DB161*Calculateur!DD161*VLOOKUP('Données projet'!$B$13,Paramètres!$A$1:$I$89,3,0)*0.475*44/12</f>
        <v>0.3608759695959568</v>
      </c>
      <c r="DH161" s="21">
        <f>EXP(-LN(2)/2)*DH160+(1-EXP(-LN(2)/2))/(LN(2)/2)*DB161*DE161*VLOOKUP('Données projet'!$B$13,Paramètres!$A$1:$I$89,3,0)*0.475*44/12</f>
        <v>4.1773748203098969E-19</v>
      </c>
      <c r="DI161" s="22">
        <f t="shared" si="175"/>
        <v>0.44513620728130154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-2.8421709430404007E-13</v>
      </c>
      <c r="DP161" s="17">
        <f>DO161*VLOOKUP('Données projet'!$B$14,Paramètres!$A$1:$I$89,3,0)*VLOOKUP('Données projet'!$B$14,Paramètres!$A$1:$I$89,5,0)</f>
        <v>-1.69961822393816E-13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179.32848817523677</v>
      </c>
      <c r="DU161" s="59">
        <f t="shared" si="152"/>
        <v>131.3292389103035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</v>
      </c>
      <c r="EB161" s="21">
        <f>EXP(-LN(2)/25)*EB160+(1-EXP(-LN(2)/25))/(LN(2)/25)*Calculateur!DW161*Calculateur!DY161*VLOOKUP('Données projet'!$B$14,Paramètres!$A$1:$I$89,3,0)*0.475*44/12</f>
        <v>0.3790045455944725</v>
      </c>
      <c r="EC161" s="21">
        <f>EXP(-LN(2)/2)*EC160+(1-EXP(-LN(2)/2))/(LN(2)/2)*DW161*DZ161*VLOOKUP('Données projet'!$B$14,Paramètres!$A$1:$I$89,3,0)*0.475*44/12</f>
        <v>2.8530072061584702E-19</v>
      </c>
      <c r="ED161" s="22">
        <f t="shared" si="178"/>
        <v>0.3790045455944725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-2.2737367544323206E-13</v>
      </c>
      <c r="EK161" s="17">
        <f>EJ161*VLOOKUP('Données projet'!$B$15,Paramètres!$A$1:$I$89,3,0)*VLOOKUP('Données projet'!$B$15,Paramètres!$A$1:$I$89,5,0)</f>
        <v>-1.0049916454590858E-13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191.932060106699</v>
      </c>
      <c r="EP161" s="59">
        <f t="shared" si="154"/>
        <v>260.28593152736903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0.19367117317962521</v>
      </c>
      <c r="EW161" s="21">
        <f>EXP(-LN(2)/25)*EW160+(1-EXP(-LN(2)/25))/(LN(2)/25)*Calculateur!ER161*Calculateur!ET161*VLOOKUP('Données projet'!$B$15,Paramètres!$A$1:$I$89,3,0)*0.475*44/12</f>
        <v>0.36289152179007905</v>
      </c>
      <c r="EX161" s="21">
        <f>EXP(-LN(2)/2)*EX160+(1-EXP(-LN(2)/2))/(LN(2)/2)*ER161*EU161*VLOOKUP('Données projet'!$B$15,Paramètres!$A$1:$I$89,3,0)*0.475*44/12</f>
        <v>7.2553511745826952E-20</v>
      </c>
      <c r="EY161" s="22">
        <f t="shared" si="181"/>
        <v>0.55656269496970423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181.00000000000009</v>
      </c>
      <c r="FF161" s="17">
        <f>FE161*VLOOKUP('Données projet'!$B$16,Paramètres!$A$1:$I$89,3,0)*VLOOKUP('Données projet'!$B$16,Paramètres!$A$1:$I$89,5,0)</f>
        <v>175.06320000000008</v>
      </c>
      <c r="FG161" s="13">
        <f t="shared" si="182"/>
        <v>44.222067746824763</v>
      </c>
      <c r="FH161" s="20">
        <f t="shared" si="183"/>
        <v>381.92184132571992</v>
      </c>
      <c r="FI161" s="59">
        <f t="shared" si="131"/>
        <v>675.25517465905318</v>
      </c>
      <c r="FJ161" s="59">
        <f ca="1">AVERAGE(OFFSET($FI$3,0,0,'Données projet'!$E$16+1,1))-AVERAGE(OFFSET($H$3,0,0,'Données projet'!$E$16+1,1))</f>
        <v>102.86738524979938</v>
      </c>
      <c r="FK161" s="59">
        <f t="shared" si="156"/>
        <v>56.347130462109817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0</v>
      </c>
      <c r="FR161" s="21">
        <f>EXP(-LN(2)/25)*FR160+(1-EXP(-LN(2)/25))/(LN(2)/25)*Calculateur!FM161*Calculateur!FO161*VLOOKUP('Données projet'!$B$16,Paramètres!$A$1:$I$89,3,0)*0.475*44/12</f>
        <v>0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0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300.00000000000068</v>
      </c>
      <c r="GA161" s="17">
        <f>FZ161*VLOOKUP('Données projet'!$B$17,Paramètres!$A$1:$I$89,3,0)*VLOOKUP('Données projet'!$B$17,Paramètres!$A$1:$I$89,5,0)</f>
        <v>201.24000000000046</v>
      </c>
      <c r="GB161" s="13">
        <f t="shared" si="185"/>
        <v>50.01658408633331</v>
      </c>
      <c r="GC161" s="20">
        <f t="shared" si="186"/>
        <v>437.60521728369798</v>
      </c>
      <c r="GD161" s="59">
        <f t="shared" si="134"/>
        <v>730.9385506170313</v>
      </c>
      <c r="GE161" s="59">
        <f ca="1">AVERAGE(OFFSET($GD$3,0,0,'Données projet'!$E$17+1,1))-AVERAGE(OFFSET($H$3,0,0,'Données projet'!$E$17+1,1))</f>
        <v>168.00454652899231</v>
      </c>
      <c r="GF161" s="59">
        <f t="shared" si="158"/>
        <v>135.31958994080446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0</v>
      </c>
      <c r="GM161" s="21">
        <f>EXP(-LN(2)/25)*GM160+(1-EXP(-LN(2)/25))/(LN(2)/25)*Calculateur!GH161*Calculateur!GJ161*VLOOKUP('Données projet'!$B$17,Paramètres!$A$1:$I$89,3,0)*0.475*44/12</f>
        <v>0</v>
      </c>
      <c r="GN161" s="21">
        <f>EXP(-LN(2)/2)*GN160+(1-EXP(-LN(2)/2))/(LN(2)/2)*GH161*GK161*VLOOKUP('Données projet'!$B$17,Paramètres!$A$1:$I$89,3,0)*0.475*44/12</f>
        <v>0</v>
      </c>
      <c r="GO161" s="21">
        <f t="shared" si="187"/>
        <v>0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4.5474735088646412E-13</v>
      </c>
      <c r="O162" s="13">
        <f>N162*VLOOKUP('Données projet'!$B$9,Paramètres!$A$1:$I$89,3,0)*VLOOKUP('Données projet'!$B$9,Paramètres!$A$1:$I$89,5,0)</f>
        <v>4.1145540308207271E-13</v>
      </c>
      <c r="P162" s="13">
        <f t="shared" si="141"/>
        <v>5.2428527960910789E-12</v>
      </c>
      <c r="Q162" s="20">
        <f t="shared" si="162"/>
        <v>9.8479201135599071E-12</v>
      </c>
      <c r="R162" s="59">
        <f t="shared" si="109"/>
        <v>293.33333333334315</v>
      </c>
      <c r="S162" s="59">
        <f ca="1">AVERAGE(OFFSET($R$3,0,0,'Données projet'!$E$9+1,1))-AVERAGE(OFFSET($H$3,0,0,'Données projet'!$E$9+1,1))</f>
        <v>221.7429870520005</v>
      </c>
      <c r="T162" s="59">
        <f t="shared" si="142"/>
        <v>182.2029938397186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0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1.1618589743589709</v>
      </c>
      <c r="AI162" s="13">
        <f>IF('Données projet'!$A$62&gt;35,AI161+AH162-AQ161,IF(A162&lt;'Données projet'!$A$62,$AF$205^A162,IF(A162='Données projet'!$A$62,'Données projet'!$B$62,AI161+AH162-AQ161)))</f>
        <v>89.041666666666089</v>
      </c>
      <c r="AJ162" s="13">
        <f>AI162*VLOOKUP('Données projet'!$B$10,Paramètres!$A$1:$I$89,3,0)*VLOOKUP('Données projet'!$B$10,Paramètres!$A$1:$I$89,5,0)</f>
        <v>80.564899999999483</v>
      </c>
      <c r="AK162" s="13">
        <f t="shared" si="164"/>
        <v>22.275248501153087</v>
      </c>
      <c r="AL162" s="20">
        <f t="shared" si="165"/>
        <v>179.11325863950739</v>
      </c>
      <c r="AM162" s="59">
        <f t="shared" si="113"/>
        <v>472.44659197284068</v>
      </c>
      <c r="AN162" s="59">
        <f ca="1">AVERAGE(OFFSET($AM$3,0,0,'Données projet'!$E$10+1,1))-AVERAGE(OFFSET($H$3,0,0,'Données projet'!$E$10+1,1))</f>
        <v>153.45079678708987</v>
      </c>
      <c r="AO162" s="59">
        <f t="shared" si="144"/>
        <v>115.4217868409637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0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3.4106051316484809E-13</v>
      </c>
      <c r="BE162" s="13">
        <f>BD162*VLOOKUP('Données projet'!$B$11,Paramètres!$A$1:$I$89,3,0)*VLOOKUP('Données projet'!$B$11,Paramètres!$A$1:$I$89,5,0)</f>
        <v>1.5961632016114892E-13</v>
      </c>
      <c r="BF162" s="13">
        <f t="shared" si="167"/>
        <v>2.2708641912150958E-12</v>
      </c>
      <c r="BG162" s="20">
        <f t="shared" si="168"/>
        <v>4.2330868906469593E-12</v>
      </c>
      <c r="BH162" s="59">
        <f t="shared" si="116"/>
        <v>293.33333333333752</v>
      </c>
      <c r="BI162" s="59">
        <f ca="1">AVERAGE(OFFSET($BH$3,0,0,'Données projet'!$E$11+1,1))-AVERAGE(OFFSET($H$3,0,0,'Données projet'!$E$11+1,1))</f>
        <v>158.58786357608489</v>
      </c>
      <c r="BJ162" s="59">
        <f t="shared" si="146"/>
        <v>163.20074068819849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0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>
        <f>BY162*VLOOKUP('Données projet'!$B$12,Paramètres!$A$1:$I$89,3,0)*VLOOKUP('Données projet'!$B$12,Paramètres!$A$1:$I$89,5,0)</f>
        <v>0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255.41017495879987</v>
      </c>
      <c r="CE162" s="59">
        <f t="shared" si="148"/>
        <v>297.50513563712764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0.64842973609863608</v>
      </c>
      <c r="CL162" s="21">
        <f>EXP(-LN(2)/25)*CL161+(1-EXP(-LN(2)/25))/(LN(2)/25)*Calculateur!CG162*Calculateur!CI162*VLOOKUP('Données projet'!$B$12,Paramètres!$A$1:$I$89,3,0)*0.475*44/12</f>
        <v>0.77950719761781728</v>
      </c>
      <c r="CM162" s="21">
        <f>EXP(-LN(2)/2)*CM161+(1-EXP(-LN(2)/2))/(LN(2)/2)*CG162*CJ162*VLOOKUP('Données projet'!$B$12,Paramètres!$A$1:$I$89,3,0)*0.475*44/12</f>
        <v>9.3535464323649203E-19</v>
      </c>
      <c r="CN162" s="22">
        <f t="shared" si="172"/>
        <v>1.4279369337164534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-1.4210854715202004E-13</v>
      </c>
      <c r="CU162" s="17">
        <f>CT162*VLOOKUP('Données projet'!$B$13,Paramètres!$A$1:$I$89,3,0)*VLOOKUP('Données projet'!$B$13,Paramètres!$A$1:$I$89,5,0)</f>
        <v>-8.128608897095547E-14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134.70214882504786</v>
      </c>
      <c r="CZ162" s="59">
        <f t="shared" si="150"/>
        <v>102.18553029667771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8.2607945818005402E-2</v>
      </c>
      <c r="DG162" s="21">
        <f>EXP(-LN(2)/25)*DG161+(1-EXP(-LN(2)/25))/(LN(2)/25)*Calculateur!DB162*Calculateur!DD162*VLOOKUP('Données projet'!$B$13,Paramètres!$A$1:$I$89,3,0)*0.475*44/12</f>
        <v>0.35100779722971293</v>
      </c>
      <c r="DH162" s="21">
        <f>EXP(-LN(2)/2)*DH161+(1-EXP(-LN(2)/2))/(LN(2)/2)*DB162*DE162*VLOOKUP('Données projet'!$B$13,Paramètres!$A$1:$I$89,3,0)*0.475*44/12</f>
        <v>2.9538500629990635E-19</v>
      </c>
      <c r="DI162" s="22">
        <f t="shared" si="175"/>
        <v>0.43361574304771833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-2.8421709430404007E-13</v>
      </c>
      <c r="DP162" s="17">
        <f>DO162*VLOOKUP('Données projet'!$B$14,Paramètres!$A$1:$I$89,3,0)*VLOOKUP('Données projet'!$B$14,Paramètres!$A$1:$I$89,5,0)</f>
        <v>-1.69961822393816E-13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179.32848817523677</v>
      </c>
      <c r="DU162" s="59">
        <f t="shared" si="152"/>
        <v>131.3292389103035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</v>
      </c>
      <c r="EB162" s="21">
        <f>EXP(-LN(2)/25)*EB161+(1-EXP(-LN(2)/25))/(LN(2)/25)*Calculateur!DW162*Calculateur!DY162*VLOOKUP('Données projet'!$B$14,Paramètres!$A$1:$I$89,3,0)*0.475*44/12</f>
        <v>0.36864064636420885</v>
      </c>
      <c r="EC162" s="21">
        <f>EXP(-LN(2)/2)*EC161+(1-EXP(-LN(2)/2))/(LN(2)/2)*DW162*DZ162*VLOOKUP('Données projet'!$B$14,Paramètres!$A$1:$I$89,3,0)*0.475*44/12</f>
        <v>2.0173807422487407E-19</v>
      </c>
      <c r="ED162" s="22">
        <f t="shared" si="178"/>
        <v>0.36864064636420885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-2.2737367544323206E-13</v>
      </c>
      <c r="EK162" s="17">
        <f>EJ162*VLOOKUP('Données projet'!$B$15,Paramètres!$A$1:$I$89,3,0)*VLOOKUP('Données projet'!$B$15,Paramètres!$A$1:$I$89,5,0)</f>
        <v>-1.0049916454590858E-13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191.932060106699</v>
      </c>
      <c r="EP162" s="59">
        <f t="shared" si="154"/>
        <v>260.28593152736903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0.18987339960132424</v>
      </c>
      <c r="EW162" s="21">
        <f>EXP(-LN(2)/25)*EW161+(1-EXP(-LN(2)/25))/(LN(2)/25)*Calculateur!ER162*Calculateur!ET162*VLOOKUP('Données projet'!$B$15,Paramètres!$A$1:$I$89,3,0)*0.475*44/12</f>
        <v>0.35296823404309363</v>
      </c>
      <c r="EX162" s="21">
        <f>EXP(-LN(2)/2)*EX161+(1-EXP(-LN(2)/2))/(LN(2)/2)*ER162*EU162*VLOOKUP('Données projet'!$B$15,Paramètres!$A$1:$I$89,3,0)*0.475*44/12</f>
        <v>5.1303080154372065E-20</v>
      </c>
      <c r="EY162" s="22">
        <f t="shared" si="181"/>
        <v>0.54284163364441784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181.00000000000009</v>
      </c>
      <c r="FF162" s="17">
        <f>FE162*VLOOKUP('Données projet'!$B$16,Paramètres!$A$1:$I$89,3,0)*VLOOKUP('Données projet'!$B$16,Paramètres!$A$1:$I$89,5,0)</f>
        <v>175.06320000000008</v>
      </c>
      <c r="FG162" s="13">
        <f t="shared" si="182"/>
        <v>44.222067746824763</v>
      </c>
      <c r="FH162" s="20">
        <f t="shared" si="183"/>
        <v>381.92184132571992</v>
      </c>
      <c r="FI162" s="59">
        <f t="shared" si="131"/>
        <v>675.25517465905318</v>
      </c>
      <c r="FJ162" s="59">
        <f ca="1">AVERAGE(OFFSET($FI$3,0,0,'Données projet'!$E$16+1,1))-AVERAGE(OFFSET($H$3,0,0,'Données projet'!$E$16+1,1))</f>
        <v>102.86738524979938</v>
      </c>
      <c r="FK162" s="59">
        <f t="shared" si="156"/>
        <v>56.347130462109817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0</v>
      </c>
      <c r="FR162" s="21">
        <f>EXP(-LN(2)/25)*FR161+(1-EXP(-LN(2)/25))/(LN(2)/25)*Calculateur!FM162*Calculateur!FO162*VLOOKUP('Données projet'!$B$16,Paramètres!$A$1:$I$89,3,0)*0.475*44/12</f>
        <v>0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0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300.00000000000068</v>
      </c>
      <c r="GA162" s="17">
        <f>FZ162*VLOOKUP('Données projet'!$B$17,Paramètres!$A$1:$I$89,3,0)*VLOOKUP('Données projet'!$B$17,Paramètres!$A$1:$I$89,5,0)</f>
        <v>201.24000000000046</v>
      </c>
      <c r="GB162" s="13">
        <f t="shared" si="185"/>
        <v>50.01658408633331</v>
      </c>
      <c r="GC162" s="20">
        <f t="shared" si="186"/>
        <v>437.60521728369798</v>
      </c>
      <c r="GD162" s="59">
        <f t="shared" si="134"/>
        <v>730.9385506170313</v>
      </c>
      <c r="GE162" s="59">
        <f ca="1">AVERAGE(OFFSET($GD$3,0,0,'Données projet'!$E$17+1,1))-AVERAGE(OFFSET($H$3,0,0,'Données projet'!$E$17+1,1))</f>
        <v>168.00454652899231</v>
      </c>
      <c r="GF162" s="59">
        <f t="shared" si="158"/>
        <v>135.31958994080446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0</v>
      </c>
      <c r="GM162" s="21">
        <f>EXP(-LN(2)/25)*GM161+(1-EXP(-LN(2)/25))/(LN(2)/25)*Calculateur!GH162*Calculateur!GJ162*VLOOKUP('Données projet'!$B$17,Paramètres!$A$1:$I$89,3,0)*0.475*44/12</f>
        <v>0</v>
      </c>
      <c r="GN162" s="21">
        <f>EXP(-LN(2)/2)*GN161+(1-EXP(-LN(2)/2))/(LN(2)/2)*GH162*GK162*VLOOKUP('Données projet'!$B$17,Paramètres!$A$1:$I$89,3,0)*0.475*44/12</f>
        <v>0</v>
      </c>
      <c r="GO162" s="21">
        <f t="shared" si="187"/>
        <v>0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4.5474735088646412E-13</v>
      </c>
      <c r="O163" s="13">
        <f>N163*VLOOKUP('Données projet'!$B$9,Paramètres!$A$1:$I$89,3,0)*VLOOKUP('Données projet'!$B$9,Paramètres!$A$1:$I$89,5,0)</f>
        <v>4.1145540308207271E-13</v>
      </c>
      <c r="P163" s="13">
        <f t="shared" si="141"/>
        <v>5.2428527960910789E-12</v>
      </c>
      <c r="Q163" s="20">
        <f t="shared" si="162"/>
        <v>9.8479201135599071E-12</v>
      </c>
      <c r="R163" s="59">
        <f t="shared" si="109"/>
        <v>293.33333333334315</v>
      </c>
      <c r="S163" s="59">
        <f ca="1">AVERAGE(OFFSET($R$3,0,0,'Données projet'!$E$9+1,1))-AVERAGE(OFFSET($H$3,0,0,'Données projet'!$E$9+1,1))</f>
        <v>221.7429870520005</v>
      </c>
      <c r="T163" s="59">
        <f t="shared" si="142"/>
        <v>182.2029938397186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0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1.1618589743589709</v>
      </c>
      <c r="AI163" s="13">
        <f>IF('Données projet'!$A$62&gt;35,AI162+AH163-AQ162,IF(A163&lt;'Données projet'!$A$62,$AF$205^A163,IF(A163='Données projet'!$A$62,'Données projet'!$B$62,AI162+AH163-AQ162)))</f>
        <v>90.203525641025067</v>
      </c>
      <c r="AJ163" s="13">
        <f>AI163*VLOOKUP('Données projet'!$B$10,Paramètres!$A$1:$I$89,3,0)*VLOOKUP('Données projet'!$B$10,Paramètres!$A$1:$I$89,5,0)</f>
        <v>81.616149999999479</v>
      </c>
      <c r="AK163" s="13">
        <f t="shared" si="164"/>
        <v>22.531880055891996</v>
      </c>
      <c r="AL163" s="20">
        <f t="shared" si="165"/>
        <v>181.39115234734427</v>
      </c>
      <c r="AM163" s="59">
        <f t="shared" si="113"/>
        <v>474.72448568067762</v>
      </c>
      <c r="AN163" s="59">
        <f ca="1">AVERAGE(OFFSET($AM$3,0,0,'Données projet'!$E$10+1,1))-AVERAGE(OFFSET($H$3,0,0,'Données projet'!$E$10+1,1))</f>
        <v>153.45079678708987</v>
      </c>
      <c r="AO163" s="59">
        <f t="shared" si="144"/>
        <v>115.4217868409637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0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3.4106051316484809E-13</v>
      </c>
      <c r="BE163" s="13">
        <f>BD163*VLOOKUP('Données projet'!$B$11,Paramètres!$A$1:$I$89,3,0)*VLOOKUP('Données projet'!$B$11,Paramètres!$A$1:$I$89,5,0)</f>
        <v>1.5961632016114892E-13</v>
      </c>
      <c r="BF163" s="13">
        <f t="shared" si="167"/>
        <v>2.2708641912150958E-12</v>
      </c>
      <c r="BG163" s="20">
        <f t="shared" si="168"/>
        <v>4.2330868906469593E-12</v>
      </c>
      <c r="BH163" s="59">
        <f t="shared" si="116"/>
        <v>293.33333333333752</v>
      </c>
      <c r="BI163" s="59">
        <f ca="1">AVERAGE(OFFSET($BH$3,0,0,'Données projet'!$E$11+1,1))-AVERAGE(OFFSET($H$3,0,0,'Données projet'!$E$11+1,1))</f>
        <v>158.58786357608489</v>
      </c>
      <c r="BJ163" s="59">
        <f t="shared" si="146"/>
        <v>163.20074068819849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0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>
        <f>BY163*VLOOKUP('Données projet'!$B$12,Paramètres!$A$1:$I$89,3,0)*VLOOKUP('Données projet'!$B$12,Paramètres!$A$1:$I$89,5,0)</f>
        <v>0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255.41017495879987</v>
      </c>
      <c r="CE163" s="59">
        <f t="shared" si="148"/>
        <v>297.50513563712764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0.63571442447682813</v>
      </c>
      <c r="CL163" s="21">
        <f>EXP(-LN(2)/25)*CL162+(1-EXP(-LN(2)/25))/(LN(2)/25)*Calculateur!CG163*Calculateur!CI163*VLOOKUP('Données projet'!$B$12,Paramètres!$A$1:$I$89,3,0)*0.475*44/12</f>
        <v>0.75819153230645608</v>
      </c>
      <c r="CM163" s="21">
        <f>EXP(-LN(2)/2)*CM162+(1-EXP(-LN(2)/2))/(LN(2)/2)*CG163*CJ163*VLOOKUP('Données projet'!$B$12,Paramètres!$A$1:$I$89,3,0)*0.475*44/12</f>
        <v>6.613956110468474E-19</v>
      </c>
      <c r="CN163" s="22">
        <f t="shared" si="172"/>
        <v>1.3939059567832843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-1.4210854715202004E-13</v>
      </c>
      <c r="CU163" s="17">
        <f>CT163*VLOOKUP('Données projet'!$B$13,Paramètres!$A$1:$I$89,3,0)*VLOOKUP('Données projet'!$B$13,Paramètres!$A$1:$I$89,5,0)</f>
        <v>-8.128608897095547E-14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134.70214882504786</v>
      </c>
      <c r="CZ163" s="59">
        <f t="shared" si="150"/>
        <v>102.18553029667771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8.098805438638608E-2</v>
      </c>
      <c r="DG163" s="21">
        <f>EXP(-LN(2)/25)*DG162+(1-EXP(-LN(2)/25))/(LN(2)/25)*Calculateur!DB163*Calculateur!DD163*VLOOKUP('Données projet'!$B$13,Paramètres!$A$1:$I$89,3,0)*0.475*44/12</f>
        <v>0.34140947055576859</v>
      </c>
      <c r="DH163" s="21">
        <f>EXP(-LN(2)/2)*DH162+(1-EXP(-LN(2)/2))/(LN(2)/2)*DB163*DE163*VLOOKUP('Données projet'!$B$13,Paramètres!$A$1:$I$89,3,0)*0.475*44/12</f>
        <v>2.0886874101549484E-19</v>
      </c>
      <c r="DI163" s="22">
        <f t="shared" si="175"/>
        <v>0.42239752494215466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-2.8421709430404007E-13</v>
      </c>
      <c r="DP163" s="17">
        <f>DO163*VLOOKUP('Données projet'!$B$14,Paramètres!$A$1:$I$89,3,0)*VLOOKUP('Données projet'!$B$14,Paramètres!$A$1:$I$89,5,0)</f>
        <v>-1.69961822393816E-13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179.32848817523677</v>
      </c>
      <c r="DU163" s="59">
        <f t="shared" si="152"/>
        <v>131.3292389103035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</v>
      </c>
      <c r="EB163" s="21">
        <f>EXP(-LN(2)/25)*EB162+(1-EXP(-LN(2)/25))/(LN(2)/25)*Calculateur!DW163*Calculateur!DY163*VLOOKUP('Données projet'!$B$14,Paramètres!$A$1:$I$89,3,0)*0.475*44/12</f>
        <v>0.3585601485034105</v>
      </c>
      <c r="EC163" s="21">
        <f>EXP(-LN(2)/2)*EC162+(1-EXP(-LN(2)/2))/(LN(2)/2)*DW163*DZ163*VLOOKUP('Données projet'!$B$14,Paramètres!$A$1:$I$89,3,0)*0.475*44/12</f>
        <v>1.4265036030792351E-19</v>
      </c>
      <c r="ED163" s="22">
        <f t="shared" si="178"/>
        <v>0.3585601485034105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-2.2737367544323206E-13</v>
      </c>
      <c r="EK163" s="17">
        <f>EJ163*VLOOKUP('Données projet'!$B$15,Paramètres!$A$1:$I$89,3,0)*VLOOKUP('Données projet'!$B$15,Paramètres!$A$1:$I$89,5,0)</f>
        <v>-1.0049916454590858E-13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191.932060106699</v>
      </c>
      <c r="EP163" s="59">
        <f t="shared" si="154"/>
        <v>260.28593152736903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0.18615009804648061</v>
      </c>
      <c r="EW163" s="21">
        <f>EXP(-LN(2)/25)*EW162+(1-EXP(-LN(2)/25))/(LN(2)/25)*Calculateur!ER163*Calculateur!ET163*VLOOKUP('Données projet'!$B$15,Paramètres!$A$1:$I$89,3,0)*0.475*44/12</f>
        <v>0.34331629912139255</v>
      </c>
      <c r="EX163" s="21">
        <f>EXP(-LN(2)/2)*EX162+(1-EXP(-LN(2)/2))/(LN(2)/2)*ER163*EU163*VLOOKUP('Données projet'!$B$15,Paramètres!$A$1:$I$89,3,0)*0.475*44/12</f>
        <v>3.6276755872913476E-20</v>
      </c>
      <c r="EY163" s="22">
        <f t="shared" si="181"/>
        <v>0.52946639716787314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181.00000000000009</v>
      </c>
      <c r="FF163" s="17">
        <f>FE163*VLOOKUP('Données projet'!$B$16,Paramètres!$A$1:$I$89,3,0)*VLOOKUP('Données projet'!$B$16,Paramètres!$A$1:$I$89,5,0)</f>
        <v>175.06320000000008</v>
      </c>
      <c r="FG163" s="13">
        <f t="shared" si="182"/>
        <v>44.222067746824763</v>
      </c>
      <c r="FH163" s="20">
        <f t="shared" si="183"/>
        <v>381.92184132571992</v>
      </c>
      <c r="FI163" s="59">
        <f t="shared" si="131"/>
        <v>675.25517465905318</v>
      </c>
      <c r="FJ163" s="59">
        <f ca="1">AVERAGE(OFFSET($FI$3,0,0,'Données projet'!$E$16+1,1))-AVERAGE(OFFSET($H$3,0,0,'Données projet'!$E$16+1,1))</f>
        <v>102.86738524979938</v>
      </c>
      <c r="FK163" s="59">
        <f t="shared" si="156"/>
        <v>56.347130462109817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0</v>
      </c>
      <c r="FR163" s="21">
        <f>EXP(-LN(2)/25)*FR162+(1-EXP(-LN(2)/25))/(LN(2)/25)*Calculateur!FM163*Calculateur!FO163*VLOOKUP('Données projet'!$B$16,Paramètres!$A$1:$I$89,3,0)*0.475*44/12</f>
        <v>0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0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300.00000000000068</v>
      </c>
      <c r="GA163" s="17">
        <f>FZ163*VLOOKUP('Données projet'!$B$17,Paramètres!$A$1:$I$89,3,0)*VLOOKUP('Données projet'!$B$17,Paramètres!$A$1:$I$89,5,0)</f>
        <v>201.24000000000046</v>
      </c>
      <c r="GB163" s="13">
        <f t="shared" si="185"/>
        <v>50.01658408633331</v>
      </c>
      <c r="GC163" s="20">
        <f t="shared" si="186"/>
        <v>437.60521728369798</v>
      </c>
      <c r="GD163" s="59">
        <f t="shared" si="134"/>
        <v>730.9385506170313</v>
      </c>
      <c r="GE163" s="59">
        <f ca="1">AVERAGE(OFFSET($GD$3,0,0,'Données projet'!$E$17+1,1))-AVERAGE(OFFSET($H$3,0,0,'Données projet'!$E$17+1,1))</f>
        <v>168.00454652899231</v>
      </c>
      <c r="GF163" s="59">
        <f t="shared" si="158"/>
        <v>135.31958994080446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0</v>
      </c>
      <c r="GM163" s="21">
        <f>EXP(-LN(2)/25)*GM162+(1-EXP(-LN(2)/25))/(LN(2)/25)*Calculateur!GH163*Calculateur!GJ163*VLOOKUP('Données projet'!$B$17,Paramètres!$A$1:$I$89,3,0)*0.475*44/12</f>
        <v>0</v>
      </c>
      <c r="GN163" s="21">
        <f>EXP(-LN(2)/2)*GN162+(1-EXP(-LN(2)/2))/(LN(2)/2)*GH163*GK163*VLOOKUP('Données projet'!$B$17,Paramètres!$A$1:$I$89,3,0)*0.475*44/12</f>
        <v>0</v>
      </c>
      <c r="GO163" s="21">
        <f t="shared" si="187"/>
        <v>0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4.5474735088646412E-13</v>
      </c>
      <c r="O164" s="13">
        <f>N164*VLOOKUP('Données projet'!$B$9,Paramètres!$A$1:$I$89,3,0)*VLOOKUP('Données projet'!$B$9,Paramètres!$A$1:$I$89,5,0)</f>
        <v>4.1145540308207271E-13</v>
      </c>
      <c r="P164" s="13">
        <f t="shared" si="141"/>
        <v>5.2428527960910789E-12</v>
      </c>
      <c r="Q164" s="20">
        <f t="shared" si="162"/>
        <v>9.8479201135599071E-12</v>
      </c>
      <c r="R164" s="59">
        <f t="shared" si="109"/>
        <v>293.33333333334315</v>
      </c>
      <c r="S164" s="59">
        <f ca="1">AVERAGE(OFFSET($R$3,0,0,'Données projet'!$E$9+1,1))-AVERAGE(OFFSET($H$3,0,0,'Données projet'!$E$9+1,1))</f>
        <v>221.7429870520005</v>
      </c>
      <c r="T164" s="59">
        <f t="shared" si="142"/>
        <v>182.2029938397186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0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>
        <f>VLOOKUP(A164,'Données projet'!$A$61:$I$81,2,0)</f>
        <v>91.365384615384613</v>
      </c>
      <c r="AG164" s="12">
        <f>VLOOKUP(A164,'Données projet'!$A$61:$I$81,9,0)</f>
        <v>1.1618589743589709</v>
      </c>
      <c r="AH164" s="12">
        <f t="array" ref="AH164">INDEX(AG:AG,MIN(IF(ISNUMBER(AG164:AG360),ROW(AG164:AG360),"")))</f>
        <v>1.1618589743589709</v>
      </c>
      <c r="AI164" s="13">
        <f>IF('Données projet'!$A$62&gt;35,AI163+AH164-AQ163,IF(A164&lt;'Données projet'!$A$62,$AF$205^A164,IF(A164='Données projet'!$A$62,'Données projet'!$B$62,AI163+AH164-AQ163)))</f>
        <v>91.365384615384045</v>
      </c>
      <c r="AJ164" s="13">
        <f>AI164*VLOOKUP('Données projet'!$B$10,Paramètres!$A$1:$I$89,3,0)*VLOOKUP('Données projet'!$B$10,Paramètres!$A$1:$I$89,5,0)</f>
        <v>82.667399999999489</v>
      </c>
      <c r="AK164" s="13">
        <f t="shared" si="164"/>
        <v>22.788127124999448</v>
      </c>
      <c r="AL164" s="20">
        <f t="shared" si="165"/>
        <v>183.66837640937317</v>
      </c>
      <c r="AM164" s="59">
        <f t="shared" si="113"/>
        <v>477.00170974270645</v>
      </c>
      <c r="AN164" s="59">
        <f ca="1">AVERAGE(OFFSET($AM$3,0,0,'Données projet'!$E$10+1,1))-AVERAGE(OFFSET($H$3,0,0,'Données projet'!$E$10+1,1))</f>
        <v>153.45079678708987</v>
      </c>
      <c r="AO164" s="59">
        <f t="shared" si="144"/>
        <v>115.4217868409637</v>
      </c>
      <c r="AP164" s="15">
        <f>IF(ISNA(VLOOKUP(A164,'Données projet'!$A$61:$I$81,3,0)),0,VLOOKUP(A164,'Données projet'!$A$61:$I$81,3,0))</f>
        <v>15</v>
      </c>
      <c r="AQ164" s="15">
        <f>IF(ISNA(VLOOKUP(A164,'Données projet'!$A$61:$I$81,4,0)),0,VLOOKUP(A164,'Données projet'!$A$61:$I$81,4,0))</f>
        <v>91.365384615384613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0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3.4106051316484809E-13</v>
      </c>
      <c r="BE164" s="13">
        <f>BD164*VLOOKUP('Données projet'!$B$11,Paramètres!$A$1:$I$89,3,0)*VLOOKUP('Données projet'!$B$11,Paramètres!$A$1:$I$89,5,0)</f>
        <v>1.5961632016114892E-13</v>
      </c>
      <c r="BF164" s="13">
        <f t="shared" si="167"/>
        <v>2.2708641912150958E-12</v>
      </c>
      <c r="BG164" s="20">
        <f t="shared" si="168"/>
        <v>4.2330868906469593E-12</v>
      </c>
      <c r="BH164" s="59">
        <f t="shared" si="116"/>
        <v>293.33333333333752</v>
      </c>
      <c r="BI164" s="59">
        <f ca="1">AVERAGE(OFFSET($BH$3,0,0,'Données projet'!$E$11+1,1))-AVERAGE(OFFSET($H$3,0,0,'Données projet'!$E$11+1,1))</f>
        <v>158.58786357608489</v>
      </c>
      <c r="BJ164" s="59">
        <f t="shared" si="146"/>
        <v>163.20074068819849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0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>
        <f>BY164*VLOOKUP('Données projet'!$B$12,Paramètres!$A$1:$I$89,3,0)*VLOOKUP('Données projet'!$B$12,Paramètres!$A$1:$I$89,5,0)</f>
        <v>0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255.41017495879987</v>
      </c>
      <c r="CE164" s="59">
        <f t="shared" si="148"/>
        <v>297.50513563712764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0.62324845236034954</v>
      </c>
      <c r="CL164" s="21">
        <f>EXP(-LN(2)/25)*CL163+(1-EXP(-LN(2)/25))/(LN(2)/25)*Calculateur!CG164*Calculateur!CI164*VLOOKUP('Données projet'!$B$12,Paramètres!$A$1:$I$89,3,0)*0.475*44/12</f>
        <v>0.73745874498397623</v>
      </c>
      <c r="CM164" s="21">
        <f>EXP(-LN(2)/2)*CM163+(1-EXP(-LN(2)/2))/(LN(2)/2)*CG164*CJ164*VLOOKUP('Données projet'!$B$12,Paramètres!$A$1:$I$89,3,0)*0.475*44/12</f>
        <v>4.6767732161824601E-19</v>
      </c>
      <c r="CN164" s="22">
        <f t="shared" si="172"/>
        <v>1.3607071973443259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-1.4210854715202004E-13</v>
      </c>
      <c r="CU164" s="17">
        <f>CT164*VLOOKUP('Données projet'!$B$13,Paramètres!$A$1:$I$89,3,0)*VLOOKUP('Données projet'!$B$13,Paramètres!$A$1:$I$89,5,0)</f>
        <v>-8.128608897095547E-14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134.70214882504786</v>
      </c>
      <c r="CZ164" s="59">
        <f t="shared" si="150"/>
        <v>102.18553029667771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7.9399928037704598E-2</v>
      </c>
      <c r="DG164" s="21">
        <f>EXP(-LN(2)/25)*DG163+(1-EXP(-LN(2)/25))/(LN(2)/25)*Calculateur!DB164*Calculateur!DD164*VLOOKUP('Données projet'!$B$13,Paramètres!$A$1:$I$89,3,0)*0.475*44/12</f>
        <v>0.33207361062947732</v>
      </c>
      <c r="DH164" s="21">
        <f>EXP(-LN(2)/2)*DH163+(1-EXP(-LN(2)/2))/(LN(2)/2)*DB164*DE164*VLOOKUP('Données projet'!$B$13,Paramètres!$A$1:$I$89,3,0)*0.475*44/12</f>
        <v>1.4769250314995317E-19</v>
      </c>
      <c r="DI164" s="22">
        <f t="shared" si="175"/>
        <v>0.41147353866718195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-2.8421709430404007E-13</v>
      </c>
      <c r="DP164" s="17">
        <f>DO164*VLOOKUP('Données projet'!$B$14,Paramètres!$A$1:$I$89,3,0)*VLOOKUP('Données projet'!$B$14,Paramètres!$A$1:$I$89,5,0)</f>
        <v>-1.69961822393816E-13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179.32848817523677</v>
      </c>
      <c r="DU164" s="59">
        <f t="shared" si="152"/>
        <v>131.3292389103035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</v>
      </c>
      <c r="EB164" s="21">
        <f>EXP(-LN(2)/25)*EB163+(1-EXP(-LN(2)/25))/(LN(2)/25)*Calculateur!DW164*Calculateur!DY164*VLOOKUP('Données projet'!$B$14,Paramètres!$A$1:$I$89,3,0)*0.475*44/12</f>
        <v>0.34875530238672603</v>
      </c>
      <c r="EC164" s="21">
        <f>EXP(-LN(2)/2)*EC163+(1-EXP(-LN(2)/2))/(LN(2)/2)*DW164*DZ164*VLOOKUP('Données projet'!$B$14,Paramètres!$A$1:$I$89,3,0)*0.475*44/12</f>
        <v>1.0086903711243703E-19</v>
      </c>
      <c r="ED164" s="22">
        <f t="shared" si="178"/>
        <v>0.34875530238672603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-2.2737367544323206E-13</v>
      </c>
      <c r="EK164" s="17">
        <f>EJ164*VLOOKUP('Données projet'!$B$15,Paramètres!$A$1:$I$89,3,0)*VLOOKUP('Données projet'!$B$15,Paramètres!$A$1:$I$89,5,0)</f>
        <v>-1.0049916454590858E-13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191.932060106699</v>
      </c>
      <c r="EP164" s="59">
        <f t="shared" si="154"/>
        <v>260.28593152736903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0.18249980816413774</v>
      </c>
      <c r="EW164" s="21">
        <f>EXP(-LN(2)/25)*EW163+(1-EXP(-LN(2)/25))/(LN(2)/25)*Calculateur!ER164*Calculateur!ET164*VLOOKUP('Données projet'!$B$15,Paramètres!$A$1:$I$89,3,0)*0.475*44/12</f>
        <v>0.33392829686769854</v>
      </c>
      <c r="EX164" s="21">
        <f>EXP(-LN(2)/2)*EX163+(1-EXP(-LN(2)/2))/(LN(2)/2)*ER164*EU164*VLOOKUP('Données projet'!$B$15,Paramètres!$A$1:$I$89,3,0)*0.475*44/12</f>
        <v>2.5651540077186032E-20</v>
      </c>
      <c r="EY164" s="22">
        <f t="shared" si="181"/>
        <v>0.51642810503183623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181.00000000000009</v>
      </c>
      <c r="FF164" s="17">
        <f>FE164*VLOOKUP('Données projet'!$B$16,Paramètres!$A$1:$I$89,3,0)*VLOOKUP('Données projet'!$B$16,Paramètres!$A$1:$I$89,5,0)</f>
        <v>175.06320000000008</v>
      </c>
      <c r="FG164" s="13">
        <f t="shared" si="182"/>
        <v>44.222067746824763</v>
      </c>
      <c r="FH164" s="20">
        <f t="shared" si="183"/>
        <v>381.92184132571992</v>
      </c>
      <c r="FI164" s="59">
        <f t="shared" si="131"/>
        <v>675.25517465905318</v>
      </c>
      <c r="FJ164" s="59">
        <f ca="1">AVERAGE(OFFSET($FI$3,0,0,'Données projet'!$E$16+1,1))-AVERAGE(OFFSET($H$3,0,0,'Données projet'!$E$16+1,1))</f>
        <v>102.86738524979938</v>
      </c>
      <c r="FK164" s="59">
        <f t="shared" si="156"/>
        <v>56.347130462109817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0</v>
      </c>
      <c r="FR164" s="21">
        <f>EXP(-LN(2)/25)*FR163+(1-EXP(-LN(2)/25))/(LN(2)/25)*Calculateur!FM164*Calculateur!FO164*VLOOKUP('Données projet'!$B$16,Paramètres!$A$1:$I$89,3,0)*0.475*44/12</f>
        <v>0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0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300.00000000000068</v>
      </c>
      <c r="GA164" s="17">
        <f>FZ164*VLOOKUP('Données projet'!$B$17,Paramètres!$A$1:$I$89,3,0)*VLOOKUP('Données projet'!$B$17,Paramètres!$A$1:$I$89,5,0)</f>
        <v>201.24000000000046</v>
      </c>
      <c r="GB164" s="13">
        <f t="shared" si="185"/>
        <v>50.01658408633331</v>
      </c>
      <c r="GC164" s="20">
        <f t="shared" si="186"/>
        <v>437.60521728369798</v>
      </c>
      <c r="GD164" s="59">
        <f t="shared" si="134"/>
        <v>730.9385506170313</v>
      </c>
      <c r="GE164" s="59">
        <f ca="1">AVERAGE(OFFSET($GD$3,0,0,'Données projet'!$E$17+1,1))-AVERAGE(OFFSET($H$3,0,0,'Données projet'!$E$17+1,1))</f>
        <v>168.00454652899231</v>
      </c>
      <c r="GF164" s="59">
        <f t="shared" si="158"/>
        <v>135.31958994080446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0</v>
      </c>
      <c r="GM164" s="21">
        <f>EXP(-LN(2)/25)*GM163+(1-EXP(-LN(2)/25))/(LN(2)/25)*Calculateur!GH164*Calculateur!GJ164*VLOOKUP('Données projet'!$B$17,Paramètres!$A$1:$I$89,3,0)*0.475*44/12</f>
        <v>0</v>
      </c>
      <c r="GN164" s="21">
        <f>EXP(-LN(2)/2)*GN163+(1-EXP(-LN(2)/2))/(LN(2)/2)*GH164*GK164*VLOOKUP('Données projet'!$B$17,Paramètres!$A$1:$I$89,3,0)*0.475*44/12</f>
        <v>0</v>
      </c>
      <c r="GO164" s="21">
        <f t="shared" si="187"/>
        <v>0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4.5474735088646412E-13</v>
      </c>
      <c r="O165" s="13">
        <f>N165*VLOOKUP('Données projet'!$B$9,Paramètres!$A$1:$I$89,3,0)*VLOOKUP('Données projet'!$B$9,Paramètres!$A$1:$I$89,5,0)</f>
        <v>4.1145540308207271E-13</v>
      </c>
      <c r="P165" s="13">
        <f t="shared" si="141"/>
        <v>5.2428527960910789E-12</v>
      </c>
      <c r="Q165" s="20">
        <f t="shared" si="162"/>
        <v>9.8479201135599071E-12</v>
      </c>
      <c r="R165" s="59">
        <f t="shared" si="109"/>
        <v>293.33333333334315</v>
      </c>
      <c r="S165" s="59">
        <f ca="1">AVERAGE(OFFSET($R$3,0,0,'Données projet'!$E$9+1,1))-AVERAGE(OFFSET($H$3,0,0,'Données projet'!$E$9+1,1))</f>
        <v>221.7429870520005</v>
      </c>
      <c r="T165" s="59">
        <f t="shared" si="142"/>
        <v>182.2029938397186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0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-5.6843418860808015E-13</v>
      </c>
      <c r="AJ165" s="13">
        <f>AI165*VLOOKUP('Données projet'!$B$10,Paramètres!$A$1:$I$89,3,0)*VLOOKUP('Données projet'!$B$10,Paramètres!$A$1:$I$89,5,0)</f>
        <v>-5.1431925385259092E-13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153.45079678708987</v>
      </c>
      <c r="AO165" s="59">
        <f t="shared" si="144"/>
        <v>115.4217868409637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0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3.4106051316484809E-13</v>
      </c>
      <c r="BE165" s="13">
        <f>BD165*VLOOKUP('Données projet'!$B$11,Paramètres!$A$1:$I$89,3,0)*VLOOKUP('Données projet'!$B$11,Paramètres!$A$1:$I$89,5,0)</f>
        <v>1.5961632016114892E-13</v>
      </c>
      <c r="BF165" s="13">
        <f t="shared" si="167"/>
        <v>2.2708641912150958E-12</v>
      </c>
      <c r="BG165" s="20">
        <f t="shared" si="168"/>
        <v>4.2330868906469593E-12</v>
      </c>
      <c r="BH165" s="59">
        <f t="shared" si="116"/>
        <v>293.33333333333752</v>
      </c>
      <c r="BI165" s="59">
        <f ca="1">AVERAGE(OFFSET($BH$3,0,0,'Données projet'!$E$11+1,1))-AVERAGE(OFFSET($H$3,0,0,'Données projet'!$E$11+1,1))</f>
        <v>158.58786357608489</v>
      </c>
      <c r="BJ165" s="59">
        <f t="shared" si="146"/>
        <v>163.20074068819849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0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>
        <f>BY165*VLOOKUP('Données projet'!$B$12,Paramètres!$A$1:$I$89,3,0)*VLOOKUP('Données projet'!$B$12,Paramètres!$A$1:$I$89,5,0)</f>
        <v>0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255.41017495879987</v>
      </c>
      <c r="CE165" s="59">
        <f t="shared" si="148"/>
        <v>297.50513563712764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0.61102693035358291</v>
      </c>
      <c r="CL165" s="21">
        <f>EXP(-LN(2)/25)*CL164+(1-EXP(-LN(2)/25))/(LN(2)/25)*Calculateur!CG165*Calculateur!CI165*VLOOKUP('Données projet'!$B$12,Paramètres!$A$1:$I$89,3,0)*0.475*44/12</f>
        <v>0.71729289682111952</v>
      </c>
      <c r="CM165" s="21">
        <f>EXP(-LN(2)/2)*CM164+(1-EXP(-LN(2)/2))/(LN(2)/2)*CG165*CJ165*VLOOKUP('Données projet'!$B$12,Paramètres!$A$1:$I$89,3,0)*0.475*44/12</f>
        <v>3.306978055234237E-19</v>
      </c>
      <c r="CN165" s="22">
        <f t="shared" si="172"/>
        <v>1.3283198271747025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-1.4210854715202004E-13</v>
      </c>
      <c r="CU165" s="17">
        <f>CT165*VLOOKUP('Données projet'!$B$13,Paramètres!$A$1:$I$89,3,0)*VLOOKUP('Données projet'!$B$13,Paramètres!$A$1:$I$89,5,0)</f>
        <v>-8.128608897095547E-14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134.70214882504786</v>
      </c>
      <c r="CZ165" s="59">
        <f t="shared" si="150"/>
        <v>102.18553029667771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7.7842943878059331E-2</v>
      </c>
      <c r="DG165" s="21">
        <f>EXP(-LN(2)/25)*DG164+(1-EXP(-LN(2)/25))/(LN(2)/25)*Calculateur!DB165*Calculateur!DD165*VLOOKUP('Données projet'!$B$13,Paramètres!$A$1:$I$89,3,0)*0.475*44/12</f>
        <v>0.32299304028382203</v>
      </c>
      <c r="DH165" s="21">
        <f>EXP(-LN(2)/2)*DH164+(1-EXP(-LN(2)/2))/(LN(2)/2)*DB165*DE165*VLOOKUP('Données projet'!$B$13,Paramètres!$A$1:$I$89,3,0)*0.475*44/12</f>
        <v>1.0443437050774742E-19</v>
      </c>
      <c r="DI165" s="22">
        <f t="shared" si="175"/>
        <v>0.40083598416188138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-2.8421709430404007E-13</v>
      </c>
      <c r="DP165" s="17">
        <f>DO165*VLOOKUP('Données projet'!$B$14,Paramètres!$A$1:$I$89,3,0)*VLOOKUP('Données projet'!$B$14,Paramètres!$A$1:$I$89,5,0)</f>
        <v>-1.69961822393816E-13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179.32848817523677</v>
      </c>
      <c r="DU165" s="59">
        <f t="shared" si="152"/>
        <v>131.3292389103035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</v>
      </c>
      <c r="EB165" s="21">
        <f>EXP(-LN(2)/25)*EB164+(1-EXP(-LN(2)/25))/(LN(2)/25)*Calculateur!DW165*Calculateur!DY165*VLOOKUP('Données projet'!$B$14,Paramètres!$A$1:$I$89,3,0)*0.475*44/12</f>
        <v>0.33921857030271674</v>
      </c>
      <c r="EC165" s="21">
        <f>EXP(-LN(2)/2)*EC164+(1-EXP(-LN(2)/2))/(LN(2)/2)*DW165*DZ165*VLOOKUP('Données projet'!$B$14,Paramètres!$A$1:$I$89,3,0)*0.475*44/12</f>
        <v>7.1325180153961754E-20</v>
      </c>
      <c r="ED165" s="22">
        <f t="shared" si="178"/>
        <v>0.33921857030271674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-2.2737367544323206E-13</v>
      </c>
      <c r="EK165" s="17">
        <f>EJ165*VLOOKUP('Données projet'!$B$15,Paramètres!$A$1:$I$89,3,0)*VLOOKUP('Données projet'!$B$15,Paramètres!$A$1:$I$89,5,0)</f>
        <v>-1.0049916454590858E-13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191.932060106699</v>
      </c>
      <c r="EP165" s="59">
        <f t="shared" si="154"/>
        <v>260.28593152736903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0.17892109823993066</v>
      </c>
      <c r="EW165" s="21">
        <f>EXP(-LN(2)/25)*EW164+(1-EXP(-LN(2)/25))/(LN(2)/25)*Calculateur!ER165*Calculateur!ET165*VLOOKUP('Données projet'!$B$15,Paramètres!$A$1:$I$89,3,0)*0.475*44/12</f>
        <v>0.32479701002932537</v>
      </c>
      <c r="EX165" s="21">
        <f>EXP(-LN(2)/2)*EX164+(1-EXP(-LN(2)/2))/(LN(2)/2)*ER165*EU165*VLOOKUP('Données projet'!$B$15,Paramètres!$A$1:$I$89,3,0)*0.475*44/12</f>
        <v>1.8138377936456738E-20</v>
      </c>
      <c r="EY165" s="22">
        <f t="shared" si="181"/>
        <v>0.503718108269256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181.00000000000009</v>
      </c>
      <c r="FF165" s="17">
        <f>FE165*VLOOKUP('Données projet'!$B$16,Paramètres!$A$1:$I$89,3,0)*VLOOKUP('Données projet'!$B$16,Paramètres!$A$1:$I$89,5,0)</f>
        <v>175.06320000000008</v>
      </c>
      <c r="FG165" s="13">
        <f t="shared" si="182"/>
        <v>44.222067746824763</v>
      </c>
      <c r="FH165" s="20">
        <f t="shared" si="183"/>
        <v>381.92184132571992</v>
      </c>
      <c r="FI165" s="59">
        <f t="shared" si="131"/>
        <v>675.25517465905318</v>
      </c>
      <c r="FJ165" s="59">
        <f ca="1">AVERAGE(OFFSET($FI$3,0,0,'Données projet'!$E$16+1,1))-AVERAGE(OFFSET($H$3,0,0,'Données projet'!$E$16+1,1))</f>
        <v>102.86738524979938</v>
      </c>
      <c r="FK165" s="59">
        <f t="shared" si="156"/>
        <v>56.347130462109817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0</v>
      </c>
      <c r="FR165" s="21">
        <f>EXP(-LN(2)/25)*FR164+(1-EXP(-LN(2)/25))/(LN(2)/25)*Calculateur!FM165*Calculateur!FO165*VLOOKUP('Données projet'!$B$16,Paramètres!$A$1:$I$89,3,0)*0.475*44/12</f>
        <v>0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0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300.00000000000068</v>
      </c>
      <c r="GA165" s="17">
        <f>FZ165*VLOOKUP('Données projet'!$B$17,Paramètres!$A$1:$I$89,3,0)*VLOOKUP('Données projet'!$B$17,Paramètres!$A$1:$I$89,5,0)</f>
        <v>201.24000000000046</v>
      </c>
      <c r="GB165" s="13">
        <f t="shared" si="185"/>
        <v>50.01658408633331</v>
      </c>
      <c r="GC165" s="20">
        <f t="shared" si="186"/>
        <v>437.60521728369798</v>
      </c>
      <c r="GD165" s="59">
        <f t="shared" si="134"/>
        <v>730.9385506170313</v>
      </c>
      <c r="GE165" s="59">
        <f ca="1">AVERAGE(OFFSET($GD$3,0,0,'Données projet'!$E$17+1,1))-AVERAGE(OFFSET($H$3,0,0,'Données projet'!$E$17+1,1))</f>
        <v>168.00454652899231</v>
      </c>
      <c r="GF165" s="59">
        <f t="shared" si="158"/>
        <v>135.31958994080446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0</v>
      </c>
      <c r="GM165" s="21">
        <f>EXP(-LN(2)/25)*GM164+(1-EXP(-LN(2)/25))/(LN(2)/25)*Calculateur!GH165*Calculateur!GJ165*VLOOKUP('Données projet'!$B$17,Paramètres!$A$1:$I$89,3,0)*0.475*44/12</f>
        <v>0</v>
      </c>
      <c r="GN165" s="21">
        <f>EXP(-LN(2)/2)*GN164+(1-EXP(-LN(2)/2))/(LN(2)/2)*GH165*GK165*VLOOKUP('Données projet'!$B$17,Paramètres!$A$1:$I$89,3,0)*0.475*44/12</f>
        <v>0</v>
      </c>
      <c r="GO165" s="21">
        <f t="shared" si="187"/>
        <v>0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4.5474735088646412E-13</v>
      </c>
      <c r="O166" s="13">
        <f>N166*VLOOKUP('Données projet'!$B$9,Paramètres!$A$1:$I$89,3,0)*VLOOKUP('Données projet'!$B$9,Paramètres!$A$1:$I$89,5,0)</f>
        <v>4.1145540308207271E-13</v>
      </c>
      <c r="P166" s="13">
        <f t="shared" si="141"/>
        <v>5.2428527960910789E-12</v>
      </c>
      <c r="Q166" s="20">
        <f t="shared" si="162"/>
        <v>9.8479201135599071E-12</v>
      </c>
      <c r="R166" s="59">
        <f t="shared" si="109"/>
        <v>293.33333333334315</v>
      </c>
      <c r="S166" s="59">
        <f ca="1">AVERAGE(OFFSET($R$3,0,0,'Données projet'!$E$9+1,1))-AVERAGE(OFFSET($H$3,0,0,'Données projet'!$E$9+1,1))</f>
        <v>221.7429870520005</v>
      </c>
      <c r="T166" s="59">
        <f t="shared" si="142"/>
        <v>182.2029938397186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0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-5.6843418860808015E-13</v>
      </c>
      <c r="AJ166" s="13">
        <f>AI166*VLOOKUP('Données projet'!$B$10,Paramètres!$A$1:$I$89,3,0)*VLOOKUP('Données projet'!$B$10,Paramètres!$A$1:$I$89,5,0)</f>
        <v>-5.1431925385259092E-13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153.45079678708987</v>
      </c>
      <c r="AO166" s="59">
        <f t="shared" si="144"/>
        <v>115.4217868409637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0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3.4106051316484809E-13</v>
      </c>
      <c r="BE166" s="13">
        <f>BD166*VLOOKUP('Données projet'!$B$11,Paramètres!$A$1:$I$89,3,0)*VLOOKUP('Données projet'!$B$11,Paramètres!$A$1:$I$89,5,0)</f>
        <v>1.5961632016114892E-13</v>
      </c>
      <c r="BF166" s="13">
        <f t="shared" si="167"/>
        <v>2.2708641912150958E-12</v>
      </c>
      <c r="BG166" s="20">
        <f t="shared" si="168"/>
        <v>4.2330868906469593E-12</v>
      </c>
      <c r="BH166" s="59">
        <f t="shared" si="116"/>
        <v>293.33333333333752</v>
      </c>
      <c r="BI166" s="59">
        <f ca="1">AVERAGE(OFFSET($BH$3,0,0,'Données projet'!$E$11+1,1))-AVERAGE(OFFSET($H$3,0,0,'Données projet'!$E$11+1,1))</f>
        <v>158.58786357608489</v>
      </c>
      <c r="BJ166" s="59">
        <f t="shared" si="146"/>
        <v>163.20074068819849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0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>
        <f>BY166*VLOOKUP('Données projet'!$B$12,Paramètres!$A$1:$I$89,3,0)*VLOOKUP('Données projet'!$B$12,Paramètres!$A$1:$I$89,5,0)</f>
        <v>0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255.41017495879987</v>
      </c>
      <c r="CE166" s="59">
        <f t="shared" si="148"/>
        <v>297.50513563712764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0.59904506493897658</v>
      </c>
      <c r="CL166" s="21">
        <f>EXP(-LN(2)/25)*CL165+(1-EXP(-LN(2)/25))/(LN(2)/25)*Calculateur!CG166*Calculateur!CI166*VLOOKUP('Données projet'!$B$12,Paramètres!$A$1:$I$89,3,0)*0.475*44/12</f>
        <v>0.69767848483675199</v>
      </c>
      <c r="CM166" s="21">
        <f>EXP(-LN(2)/2)*CM165+(1-EXP(-LN(2)/2))/(LN(2)/2)*CG166*CJ166*VLOOKUP('Données projet'!$B$12,Paramètres!$A$1:$I$89,3,0)*0.475*44/12</f>
        <v>2.3383866080912301E-19</v>
      </c>
      <c r="CN166" s="22">
        <f t="shared" si="172"/>
        <v>1.2967235497757286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-1.4210854715202004E-13</v>
      </c>
      <c r="CU166" s="17">
        <f>CT166*VLOOKUP('Données projet'!$B$13,Paramètres!$A$1:$I$89,3,0)*VLOOKUP('Données projet'!$B$13,Paramètres!$A$1:$I$89,5,0)</f>
        <v>-8.128608897095547E-14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134.70214882504786</v>
      </c>
      <c r="CZ166" s="59">
        <f t="shared" si="150"/>
        <v>102.18553029667771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7.6316491228118136E-2</v>
      </c>
      <c r="DG166" s="21">
        <f>EXP(-LN(2)/25)*DG165+(1-EXP(-LN(2)/25))/(LN(2)/25)*Calculateur!DB166*Calculateur!DD166*VLOOKUP('Données projet'!$B$13,Paramètres!$A$1:$I$89,3,0)*0.475*44/12</f>
        <v>0.31416077861179514</v>
      </c>
      <c r="DH166" s="21">
        <f>EXP(-LN(2)/2)*DH165+(1-EXP(-LN(2)/2))/(LN(2)/2)*DB166*DE166*VLOOKUP('Données projet'!$B$13,Paramètres!$A$1:$I$89,3,0)*0.475*44/12</f>
        <v>7.3846251574976587E-20</v>
      </c>
      <c r="DI166" s="22">
        <f t="shared" si="175"/>
        <v>0.39047726983991327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-2.8421709430404007E-13</v>
      </c>
      <c r="DP166" s="17">
        <f>DO166*VLOOKUP('Données projet'!$B$14,Paramètres!$A$1:$I$89,3,0)*VLOOKUP('Données projet'!$B$14,Paramètres!$A$1:$I$89,5,0)</f>
        <v>-1.69961822393816E-13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179.32848817523677</v>
      </c>
      <c r="DU166" s="59">
        <f t="shared" si="152"/>
        <v>131.3292389103035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</v>
      </c>
      <c r="EB166" s="21">
        <f>EXP(-LN(2)/25)*EB165+(1-EXP(-LN(2)/25))/(LN(2)/25)*Calculateur!DW166*Calculateur!DY166*VLOOKUP('Données projet'!$B$14,Paramètres!$A$1:$I$89,3,0)*0.475*44/12</f>
        <v>0.3299426206590596</v>
      </c>
      <c r="EC166" s="21">
        <f>EXP(-LN(2)/2)*EC165+(1-EXP(-LN(2)/2))/(LN(2)/2)*DW166*DZ166*VLOOKUP('Données projet'!$B$14,Paramètres!$A$1:$I$89,3,0)*0.475*44/12</f>
        <v>5.0434518556218517E-20</v>
      </c>
      <c r="ED166" s="22">
        <f t="shared" si="178"/>
        <v>0.3299426206590596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-2.2737367544323206E-13</v>
      </c>
      <c r="EK166" s="17">
        <f>EJ166*VLOOKUP('Données projet'!$B$15,Paramètres!$A$1:$I$89,3,0)*VLOOKUP('Données projet'!$B$15,Paramètres!$A$1:$I$89,5,0)</f>
        <v>-1.0049916454590858E-13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191.932060106699</v>
      </c>
      <c r="EP166" s="59">
        <f t="shared" si="154"/>
        <v>260.28593152736903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0.17541256463453975</v>
      </c>
      <c r="EW166" s="21">
        <f>EXP(-LN(2)/25)*EW165+(1-EXP(-LN(2)/25))/(LN(2)/25)*Calculateur!ER166*Calculateur!ET166*VLOOKUP('Données projet'!$B$15,Paramètres!$A$1:$I$89,3,0)*0.475*44/12</f>
        <v>0.31591541870974105</v>
      </c>
      <c r="EX166" s="21">
        <f>EXP(-LN(2)/2)*EX165+(1-EXP(-LN(2)/2))/(LN(2)/2)*ER166*EU166*VLOOKUP('Données projet'!$B$15,Paramètres!$A$1:$I$89,3,0)*0.475*44/12</f>
        <v>1.2825770038593016E-20</v>
      </c>
      <c r="EY166" s="22">
        <f t="shared" si="181"/>
        <v>0.49132798334428079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181.00000000000009</v>
      </c>
      <c r="FF166" s="17">
        <f>FE166*VLOOKUP('Données projet'!$B$16,Paramètres!$A$1:$I$89,3,0)*VLOOKUP('Données projet'!$B$16,Paramètres!$A$1:$I$89,5,0)</f>
        <v>175.06320000000008</v>
      </c>
      <c r="FG166" s="13">
        <f t="shared" si="182"/>
        <v>44.222067746824763</v>
      </c>
      <c r="FH166" s="20">
        <f t="shared" si="183"/>
        <v>381.92184132571992</v>
      </c>
      <c r="FI166" s="59">
        <f t="shared" si="131"/>
        <v>675.25517465905318</v>
      </c>
      <c r="FJ166" s="59">
        <f ca="1">AVERAGE(OFFSET($FI$3,0,0,'Données projet'!$E$16+1,1))-AVERAGE(OFFSET($H$3,0,0,'Données projet'!$E$16+1,1))</f>
        <v>102.86738524979938</v>
      </c>
      <c r="FK166" s="59">
        <f t="shared" si="156"/>
        <v>56.347130462109817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0</v>
      </c>
      <c r="FR166" s="21">
        <f>EXP(-LN(2)/25)*FR165+(1-EXP(-LN(2)/25))/(LN(2)/25)*Calculateur!FM166*Calculateur!FO166*VLOOKUP('Données projet'!$B$16,Paramètres!$A$1:$I$89,3,0)*0.475*44/12</f>
        <v>0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0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300.00000000000068</v>
      </c>
      <c r="GA166" s="17">
        <f>FZ166*VLOOKUP('Données projet'!$B$17,Paramètres!$A$1:$I$89,3,0)*VLOOKUP('Données projet'!$B$17,Paramètres!$A$1:$I$89,5,0)</f>
        <v>201.24000000000046</v>
      </c>
      <c r="GB166" s="13">
        <f t="shared" si="185"/>
        <v>50.01658408633331</v>
      </c>
      <c r="GC166" s="20">
        <f t="shared" si="186"/>
        <v>437.60521728369798</v>
      </c>
      <c r="GD166" s="59">
        <f t="shared" si="134"/>
        <v>730.9385506170313</v>
      </c>
      <c r="GE166" s="59">
        <f ca="1">AVERAGE(OFFSET($GD$3,0,0,'Données projet'!$E$17+1,1))-AVERAGE(OFFSET($H$3,0,0,'Données projet'!$E$17+1,1))</f>
        <v>168.00454652899231</v>
      </c>
      <c r="GF166" s="59">
        <f t="shared" si="158"/>
        <v>135.31958994080446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0</v>
      </c>
      <c r="GM166" s="21">
        <f>EXP(-LN(2)/25)*GM165+(1-EXP(-LN(2)/25))/(LN(2)/25)*Calculateur!GH166*Calculateur!GJ166*VLOOKUP('Données projet'!$B$17,Paramètres!$A$1:$I$89,3,0)*0.475*44/12</f>
        <v>0</v>
      </c>
      <c r="GN166" s="21">
        <f>EXP(-LN(2)/2)*GN165+(1-EXP(-LN(2)/2))/(LN(2)/2)*GH166*GK166*VLOOKUP('Données projet'!$B$17,Paramètres!$A$1:$I$89,3,0)*0.475*44/12</f>
        <v>0</v>
      </c>
      <c r="GO166" s="21">
        <f t="shared" si="187"/>
        <v>0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4.5474735088646412E-13</v>
      </c>
      <c r="O167" s="13">
        <f>N167*VLOOKUP('Données projet'!$B$9,Paramètres!$A$1:$I$89,3,0)*VLOOKUP('Données projet'!$B$9,Paramètres!$A$1:$I$89,5,0)</f>
        <v>4.1145540308207271E-13</v>
      </c>
      <c r="P167" s="13">
        <f t="shared" si="141"/>
        <v>5.2428527960910789E-12</v>
      </c>
      <c r="Q167" s="20">
        <f t="shared" si="162"/>
        <v>9.8479201135599071E-12</v>
      </c>
      <c r="R167" s="59">
        <f t="shared" si="109"/>
        <v>293.33333333334315</v>
      </c>
      <c r="S167" s="59">
        <f ca="1">AVERAGE(OFFSET($R$3,0,0,'Données projet'!$E$9+1,1))-AVERAGE(OFFSET($H$3,0,0,'Données projet'!$E$9+1,1))</f>
        <v>221.7429870520005</v>
      </c>
      <c r="T167" s="59">
        <f t="shared" si="142"/>
        <v>182.2029938397186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0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-5.6843418860808015E-13</v>
      </c>
      <c r="AJ167" s="13">
        <f>AI167*VLOOKUP('Données projet'!$B$10,Paramètres!$A$1:$I$89,3,0)*VLOOKUP('Données projet'!$B$10,Paramètres!$A$1:$I$89,5,0)</f>
        <v>-5.1431925385259092E-13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153.45079678708987</v>
      </c>
      <c r="AO167" s="59">
        <f t="shared" si="144"/>
        <v>115.4217868409637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0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3.4106051316484809E-13</v>
      </c>
      <c r="BE167" s="13">
        <f>BD167*VLOOKUP('Données projet'!$B$11,Paramètres!$A$1:$I$89,3,0)*VLOOKUP('Données projet'!$B$11,Paramètres!$A$1:$I$89,5,0)</f>
        <v>1.5961632016114892E-13</v>
      </c>
      <c r="BF167" s="13">
        <f t="shared" si="167"/>
        <v>2.2708641912150958E-12</v>
      </c>
      <c r="BG167" s="20">
        <f t="shared" si="168"/>
        <v>4.2330868906469593E-12</v>
      </c>
      <c r="BH167" s="59">
        <f t="shared" si="116"/>
        <v>293.33333333333752</v>
      </c>
      <c r="BI167" s="59">
        <f ca="1">AVERAGE(OFFSET($BH$3,0,0,'Données projet'!$E$11+1,1))-AVERAGE(OFFSET($H$3,0,0,'Données projet'!$E$11+1,1))</f>
        <v>158.58786357608489</v>
      </c>
      <c r="BJ167" s="59">
        <f t="shared" si="146"/>
        <v>163.20074068819849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0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>
        <f>BY167*VLOOKUP('Données projet'!$B$12,Paramètres!$A$1:$I$89,3,0)*VLOOKUP('Données projet'!$B$12,Paramètres!$A$1:$I$89,5,0)</f>
        <v>0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255.41017495879987</v>
      </c>
      <c r="CE167" s="59">
        <f t="shared" si="148"/>
        <v>297.50513563712764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0.58729815659693441</v>
      </c>
      <c r="CL167" s="21">
        <f>EXP(-LN(2)/25)*CL166+(1-EXP(-LN(2)/25))/(LN(2)/25)*Calculateur!CG167*Calculateur!CI167*VLOOKUP('Données projet'!$B$12,Paramètres!$A$1:$I$89,3,0)*0.475*44/12</f>
        <v>0.67860042997957404</v>
      </c>
      <c r="CM167" s="21">
        <f>EXP(-LN(2)/2)*CM166+(1-EXP(-LN(2)/2))/(LN(2)/2)*CG167*CJ167*VLOOKUP('Données projet'!$B$12,Paramètres!$A$1:$I$89,3,0)*0.475*44/12</f>
        <v>1.6534890276171185E-19</v>
      </c>
      <c r="CN167" s="22">
        <f t="shared" si="172"/>
        <v>1.2658985865765084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-1.4210854715202004E-13</v>
      </c>
      <c r="CU167" s="17">
        <f>CT167*VLOOKUP('Données projet'!$B$13,Paramètres!$A$1:$I$89,3,0)*VLOOKUP('Données projet'!$B$13,Paramètres!$A$1:$I$89,5,0)</f>
        <v>-8.128608897095547E-14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134.70214882504786</v>
      </c>
      <c r="CZ167" s="59">
        <f t="shared" si="150"/>
        <v>102.18553029667771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7.4819971383598111E-2</v>
      </c>
      <c r="DG167" s="21">
        <f>EXP(-LN(2)/25)*DG166+(1-EXP(-LN(2)/25))/(LN(2)/25)*Calculateur!DB167*Calculateur!DD167*VLOOKUP('Données projet'!$B$13,Paramètres!$A$1:$I$89,3,0)*0.475*44/12</f>
        <v>0.30557003559965829</v>
      </c>
      <c r="DH167" s="21">
        <f>EXP(-LN(2)/2)*DH166+(1-EXP(-LN(2)/2))/(LN(2)/2)*DB167*DE167*VLOOKUP('Données projet'!$B$13,Paramètres!$A$1:$I$89,3,0)*0.475*44/12</f>
        <v>5.2217185253873711E-20</v>
      </c>
      <c r="DI167" s="22">
        <f t="shared" si="175"/>
        <v>0.38039000698325642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-2.8421709430404007E-13</v>
      </c>
      <c r="DP167" s="17">
        <f>DO167*VLOOKUP('Données projet'!$B$14,Paramètres!$A$1:$I$89,3,0)*VLOOKUP('Données projet'!$B$14,Paramètres!$A$1:$I$89,5,0)</f>
        <v>-1.69961822393816E-13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179.32848817523677</v>
      </c>
      <c r="DU167" s="59">
        <f t="shared" si="152"/>
        <v>131.3292389103035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</v>
      </c>
      <c r="EB167" s="21">
        <f>EXP(-LN(2)/25)*EB166+(1-EXP(-LN(2)/25))/(LN(2)/25)*Calculateur!DW167*Calculateur!DY167*VLOOKUP('Données projet'!$B$14,Paramètres!$A$1:$I$89,3,0)*0.475*44/12</f>
        <v>0.32092032234620932</v>
      </c>
      <c r="EC167" s="21">
        <f>EXP(-LN(2)/2)*EC166+(1-EXP(-LN(2)/2))/(LN(2)/2)*DW167*DZ167*VLOOKUP('Données projet'!$B$14,Paramètres!$A$1:$I$89,3,0)*0.475*44/12</f>
        <v>3.5662590076980877E-20</v>
      </c>
      <c r="ED167" s="22">
        <f t="shared" si="178"/>
        <v>0.32092032234620932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-2.2737367544323206E-13</v>
      </c>
      <c r="EK167" s="17">
        <f>EJ167*VLOOKUP('Données projet'!$B$15,Paramètres!$A$1:$I$89,3,0)*VLOOKUP('Données projet'!$B$15,Paramètres!$A$1:$I$89,5,0)</f>
        <v>-1.0049916454590858E-13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191.932060106699</v>
      </c>
      <c r="EP167" s="59">
        <f t="shared" si="154"/>
        <v>260.28593152736903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0.17197283123315635</v>
      </c>
      <c r="EW167" s="21">
        <f>EXP(-LN(2)/25)*EW166+(1-EXP(-LN(2)/25))/(LN(2)/25)*Calculateur!ER167*Calculateur!ET167*VLOOKUP('Données projet'!$B$15,Paramètres!$A$1:$I$89,3,0)*0.475*44/12</f>
        <v>0.30727669497185334</v>
      </c>
      <c r="EX167" s="21">
        <f>EXP(-LN(2)/2)*EX166+(1-EXP(-LN(2)/2))/(LN(2)/2)*ER167*EU167*VLOOKUP('Données projet'!$B$15,Paramètres!$A$1:$I$89,3,0)*0.475*44/12</f>
        <v>9.069188968228369E-21</v>
      </c>
      <c r="EY167" s="22">
        <f t="shared" si="181"/>
        <v>0.47924952620500971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181.00000000000009</v>
      </c>
      <c r="FF167" s="17">
        <f>FE167*VLOOKUP('Données projet'!$B$16,Paramètres!$A$1:$I$89,3,0)*VLOOKUP('Données projet'!$B$16,Paramètres!$A$1:$I$89,5,0)</f>
        <v>175.06320000000008</v>
      </c>
      <c r="FG167" s="13">
        <f t="shared" si="182"/>
        <v>44.222067746824763</v>
      </c>
      <c r="FH167" s="20">
        <f t="shared" si="183"/>
        <v>381.92184132571992</v>
      </c>
      <c r="FI167" s="59">
        <f t="shared" si="131"/>
        <v>675.25517465905318</v>
      </c>
      <c r="FJ167" s="59">
        <f ca="1">AVERAGE(OFFSET($FI$3,0,0,'Données projet'!$E$16+1,1))-AVERAGE(OFFSET($H$3,0,0,'Données projet'!$E$16+1,1))</f>
        <v>102.86738524979938</v>
      </c>
      <c r="FK167" s="59">
        <f t="shared" si="156"/>
        <v>56.347130462109817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0</v>
      </c>
      <c r="FR167" s="21">
        <f>EXP(-LN(2)/25)*FR166+(1-EXP(-LN(2)/25))/(LN(2)/25)*Calculateur!FM167*Calculateur!FO167*VLOOKUP('Données projet'!$B$16,Paramètres!$A$1:$I$89,3,0)*0.475*44/12</f>
        <v>0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0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300.00000000000068</v>
      </c>
      <c r="GA167" s="17">
        <f>FZ167*VLOOKUP('Données projet'!$B$17,Paramètres!$A$1:$I$89,3,0)*VLOOKUP('Données projet'!$B$17,Paramètres!$A$1:$I$89,5,0)</f>
        <v>201.24000000000046</v>
      </c>
      <c r="GB167" s="13">
        <f t="shared" si="185"/>
        <v>50.01658408633331</v>
      </c>
      <c r="GC167" s="20">
        <f t="shared" si="186"/>
        <v>437.60521728369798</v>
      </c>
      <c r="GD167" s="59">
        <f t="shared" si="134"/>
        <v>730.9385506170313</v>
      </c>
      <c r="GE167" s="59">
        <f ca="1">AVERAGE(OFFSET($GD$3,0,0,'Données projet'!$E$17+1,1))-AVERAGE(OFFSET($H$3,0,0,'Données projet'!$E$17+1,1))</f>
        <v>168.00454652899231</v>
      </c>
      <c r="GF167" s="59">
        <f t="shared" si="158"/>
        <v>135.31958994080446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0</v>
      </c>
      <c r="GM167" s="21">
        <f>EXP(-LN(2)/25)*GM166+(1-EXP(-LN(2)/25))/(LN(2)/25)*Calculateur!GH167*Calculateur!GJ167*VLOOKUP('Données projet'!$B$17,Paramètres!$A$1:$I$89,3,0)*0.475*44/12</f>
        <v>0</v>
      </c>
      <c r="GN167" s="21">
        <f>EXP(-LN(2)/2)*GN166+(1-EXP(-LN(2)/2))/(LN(2)/2)*GH167*GK167*VLOOKUP('Données projet'!$B$17,Paramètres!$A$1:$I$89,3,0)*0.475*44/12</f>
        <v>0</v>
      </c>
      <c r="GO167" s="21">
        <f t="shared" si="187"/>
        <v>0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4.5474735088646412E-13</v>
      </c>
      <c r="O168" s="13">
        <f>N168*VLOOKUP('Données projet'!$B$9,Paramètres!$A$1:$I$89,3,0)*VLOOKUP('Données projet'!$B$9,Paramètres!$A$1:$I$89,5,0)</f>
        <v>4.1145540308207271E-13</v>
      </c>
      <c r="P168" s="13">
        <f t="shared" si="141"/>
        <v>5.2428527960910789E-12</v>
      </c>
      <c r="Q168" s="20">
        <f t="shared" si="162"/>
        <v>9.8479201135599071E-12</v>
      </c>
      <c r="R168" s="59">
        <f t="shared" si="109"/>
        <v>293.33333333334315</v>
      </c>
      <c r="S168" s="59">
        <f ca="1">AVERAGE(OFFSET($R$3,0,0,'Données projet'!$E$9+1,1))-AVERAGE(OFFSET($H$3,0,0,'Données projet'!$E$9+1,1))</f>
        <v>221.7429870520005</v>
      </c>
      <c r="T168" s="59">
        <f t="shared" si="142"/>
        <v>182.2029938397186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0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-5.6843418860808015E-13</v>
      </c>
      <c r="AJ168" s="13">
        <f>AI168*VLOOKUP('Données projet'!$B$10,Paramètres!$A$1:$I$89,3,0)*VLOOKUP('Données projet'!$B$10,Paramètres!$A$1:$I$89,5,0)</f>
        <v>-5.1431925385259092E-13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153.45079678708987</v>
      </c>
      <c r="AO168" s="59">
        <f t="shared" si="144"/>
        <v>115.4217868409637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0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3.4106051316484809E-13</v>
      </c>
      <c r="BE168" s="13">
        <f>BD168*VLOOKUP('Données projet'!$B$11,Paramètres!$A$1:$I$89,3,0)*VLOOKUP('Données projet'!$B$11,Paramètres!$A$1:$I$89,5,0)</f>
        <v>1.5961632016114892E-13</v>
      </c>
      <c r="BF168" s="13">
        <f t="shared" si="167"/>
        <v>2.2708641912150958E-12</v>
      </c>
      <c r="BG168" s="20">
        <f t="shared" si="168"/>
        <v>4.2330868906469593E-12</v>
      </c>
      <c r="BH168" s="59">
        <f t="shared" si="116"/>
        <v>293.33333333333752</v>
      </c>
      <c r="BI168" s="59">
        <f ca="1">AVERAGE(OFFSET($BH$3,0,0,'Données projet'!$E$11+1,1))-AVERAGE(OFFSET($H$3,0,0,'Données projet'!$E$11+1,1))</f>
        <v>158.58786357608489</v>
      </c>
      <c r="BJ168" s="59">
        <f t="shared" si="146"/>
        <v>163.20074068819849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0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>
        <f>BY168*VLOOKUP('Données projet'!$B$12,Paramètres!$A$1:$I$89,3,0)*VLOOKUP('Données projet'!$B$12,Paramètres!$A$1:$I$89,5,0)</f>
        <v>0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255.41017495879987</v>
      </c>
      <c r="CE168" s="59">
        <f t="shared" si="148"/>
        <v>297.50513563712764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0.57578159796257311</v>
      </c>
      <c r="CL168" s="21">
        <f>EXP(-LN(2)/25)*CL167+(1-EXP(-LN(2)/25))/(LN(2)/25)*Calculateur!CG168*Calculateur!CI168*VLOOKUP('Données projet'!$B$12,Paramètres!$A$1:$I$89,3,0)*0.475*44/12</f>
        <v>0.66004406553573691</v>
      </c>
      <c r="CM168" s="21">
        <f>EXP(-LN(2)/2)*CM167+(1-EXP(-LN(2)/2))/(LN(2)/2)*CG168*CJ168*VLOOKUP('Données projet'!$B$12,Paramètres!$A$1:$I$89,3,0)*0.475*44/12</f>
        <v>1.169193304045615E-19</v>
      </c>
      <c r="CN168" s="22">
        <f t="shared" si="172"/>
        <v>1.23582566349831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-1.4210854715202004E-13</v>
      </c>
      <c r="CU168" s="17">
        <f>CT168*VLOOKUP('Données projet'!$B$13,Paramètres!$A$1:$I$89,3,0)*VLOOKUP('Données projet'!$B$13,Paramètres!$A$1:$I$89,5,0)</f>
        <v>-8.128608897095547E-14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134.70214882504786</v>
      </c>
      <c r="CZ168" s="59">
        <f t="shared" si="150"/>
        <v>102.18553029667771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7.3352797380442147E-2</v>
      </c>
      <c r="DG168" s="21">
        <f>EXP(-LN(2)/25)*DG167+(1-EXP(-LN(2)/25))/(LN(2)/25)*Calculateur!DB168*Calculateur!DD168*VLOOKUP('Données projet'!$B$13,Paramètres!$A$1:$I$89,3,0)*0.475*44/12</f>
        <v>0.29721420690695582</v>
      </c>
      <c r="DH168" s="21">
        <f>EXP(-LN(2)/2)*DH167+(1-EXP(-LN(2)/2))/(LN(2)/2)*DB168*DE168*VLOOKUP('Données projet'!$B$13,Paramètres!$A$1:$I$89,3,0)*0.475*44/12</f>
        <v>3.6923125787488294E-20</v>
      </c>
      <c r="DI168" s="22">
        <f t="shared" si="175"/>
        <v>0.37056700428739797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-2.8421709430404007E-13</v>
      </c>
      <c r="DP168" s="17">
        <f>DO168*VLOOKUP('Données projet'!$B$14,Paramètres!$A$1:$I$89,3,0)*VLOOKUP('Données projet'!$B$14,Paramètres!$A$1:$I$89,5,0)</f>
        <v>-1.69961822393816E-13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179.32848817523677</v>
      </c>
      <c r="DU168" s="59">
        <f t="shared" si="152"/>
        <v>131.3292389103035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</v>
      </c>
      <c r="EB168" s="21">
        <f>EXP(-LN(2)/25)*EB167+(1-EXP(-LN(2)/25))/(LN(2)/25)*Calculateur!DW168*Calculateur!DY168*VLOOKUP('Données projet'!$B$14,Paramètres!$A$1:$I$89,3,0)*0.475*44/12</f>
        <v>0.31214473925518593</v>
      </c>
      <c r="EC168" s="21">
        <f>EXP(-LN(2)/2)*EC167+(1-EXP(-LN(2)/2))/(LN(2)/2)*DW168*DZ168*VLOOKUP('Données projet'!$B$14,Paramètres!$A$1:$I$89,3,0)*0.475*44/12</f>
        <v>2.5217259278109258E-20</v>
      </c>
      <c r="ED168" s="22">
        <f t="shared" si="178"/>
        <v>0.31214473925518593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-2.2737367544323206E-13</v>
      </c>
      <c r="EK168" s="17">
        <f>EJ168*VLOOKUP('Données projet'!$B$15,Paramètres!$A$1:$I$89,3,0)*VLOOKUP('Données projet'!$B$15,Paramètres!$A$1:$I$89,5,0)</f>
        <v>-1.0049916454590858E-13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191.932060106699</v>
      </c>
      <c r="EP168" s="59">
        <f t="shared" si="154"/>
        <v>260.28593152736903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0.16860054890574389</v>
      </c>
      <c r="EW168" s="21">
        <f>EXP(-LN(2)/25)*EW167+(1-EXP(-LN(2)/25))/(LN(2)/25)*Calculateur!ER168*Calculateur!ET168*VLOOKUP('Données projet'!$B$15,Paramètres!$A$1:$I$89,3,0)*0.475*44/12</f>
        <v>0.29887419758886891</v>
      </c>
      <c r="EX168" s="21">
        <f>EXP(-LN(2)/2)*EX167+(1-EXP(-LN(2)/2))/(LN(2)/2)*ER168*EU168*VLOOKUP('Données projet'!$B$15,Paramètres!$A$1:$I$89,3,0)*0.475*44/12</f>
        <v>6.4128850192965081E-21</v>
      </c>
      <c r="EY168" s="22">
        <f t="shared" si="181"/>
        <v>0.46747474649461279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181.00000000000009</v>
      </c>
      <c r="FF168" s="17">
        <f>FE168*VLOOKUP('Données projet'!$B$16,Paramètres!$A$1:$I$89,3,0)*VLOOKUP('Données projet'!$B$16,Paramètres!$A$1:$I$89,5,0)</f>
        <v>175.06320000000008</v>
      </c>
      <c r="FG168" s="13">
        <f t="shared" si="182"/>
        <v>44.222067746824763</v>
      </c>
      <c r="FH168" s="20">
        <f t="shared" si="183"/>
        <v>381.92184132571992</v>
      </c>
      <c r="FI168" s="59">
        <f t="shared" si="131"/>
        <v>675.25517465905318</v>
      </c>
      <c r="FJ168" s="59">
        <f ca="1">AVERAGE(OFFSET($FI$3,0,0,'Données projet'!$E$16+1,1))-AVERAGE(OFFSET($H$3,0,0,'Données projet'!$E$16+1,1))</f>
        <v>102.86738524979938</v>
      </c>
      <c r="FK168" s="59">
        <f t="shared" si="156"/>
        <v>56.347130462109817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0</v>
      </c>
      <c r="FR168" s="21">
        <f>EXP(-LN(2)/25)*FR167+(1-EXP(-LN(2)/25))/(LN(2)/25)*Calculateur!FM168*Calculateur!FO168*VLOOKUP('Données projet'!$B$16,Paramètres!$A$1:$I$89,3,0)*0.475*44/12</f>
        <v>0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0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300.00000000000068</v>
      </c>
      <c r="GA168" s="17">
        <f>FZ168*VLOOKUP('Données projet'!$B$17,Paramètres!$A$1:$I$89,3,0)*VLOOKUP('Données projet'!$B$17,Paramètres!$A$1:$I$89,5,0)</f>
        <v>201.24000000000046</v>
      </c>
      <c r="GB168" s="13">
        <f t="shared" si="185"/>
        <v>50.01658408633331</v>
      </c>
      <c r="GC168" s="20">
        <f t="shared" si="186"/>
        <v>437.60521728369798</v>
      </c>
      <c r="GD168" s="59">
        <f t="shared" si="134"/>
        <v>730.9385506170313</v>
      </c>
      <c r="GE168" s="59">
        <f ca="1">AVERAGE(OFFSET($GD$3,0,0,'Données projet'!$E$17+1,1))-AVERAGE(OFFSET($H$3,0,0,'Données projet'!$E$17+1,1))</f>
        <v>168.00454652899231</v>
      </c>
      <c r="GF168" s="59">
        <f t="shared" si="158"/>
        <v>135.31958994080446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0</v>
      </c>
      <c r="GM168" s="21">
        <f>EXP(-LN(2)/25)*GM167+(1-EXP(-LN(2)/25))/(LN(2)/25)*Calculateur!GH168*Calculateur!GJ168*VLOOKUP('Données projet'!$B$17,Paramètres!$A$1:$I$89,3,0)*0.475*44/12</f>
        <v>0</v>
      </c>
      <c r="GN168" s="21">
        <f>EXP(-LN(2)/2)*GN167+(1-EXP(-LN(2)/2))/(LN(2)/2)*GH168*GK168*VLOOKUP('Données projet'!$B$17,Paramètres!$A$1:$I$89,3,0)*0.475*44/12</f>
        <v>0</v>
      </c>
      <c r="GO168" s="21">
        <f t="shared" si="187"/>
        <v>0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4.5474735088646412E-13</v>
      </c>
      <c r="O169" s="13">
        <f>N169*VLOOKUP('Données projet'!$B$9,Paramètres!$A$1:$I$89,3,0)*VLOOKUP('Données projet'!$B$9,Paramètres!$A$1:$I$89,5,0)</f>
        <v>4.1145540308207271E-13</v>
      </c>
      <c r="P169" s="13">
        <f t="shared" si="141"/>
        <v>5.2428527960910789E-12</v>
      </c>
      <c r="Q169" s="20">
        <f t="shared" si="162"/>
        <v>9.8479201135599071E-12</v>
      </c>
      <c r="R169" s="59">
        <f t="shared" si="109"/>
        <v>293.33333333334315</v>
      </c>
      <c r="S169" s="59">
        <f ca="1">AVERAGE(OFFSET($R$3,0,0,'Données projet'!$E$9+1,1))-AVERAGE(OFFSET($H$3,0,0,'Données projet'!$E$9+1,1))</f>
        <v>221.7429870520005</v>
      </c>
      <c r="T169" s="59">
        <f t="shared" si="142"/>
        <v>182.2029938397186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0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-5.6843418860808015E-13</v>
      </c>
      <c r="AJ169" s="13">
        <f>AI169*VLOOKUP('Données projet'!$B$10,Paramètres!$A$1:$I$89,3,0)*VLOOKUP('Données projet'!$B$10,Paramètres!$A$1:$I$89,5,0)</f>
        <v>-5.1431925385259092E-13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153.45079678708987</v>
      </c>
      <c r="AO169" s="59">
        <f t="shared" si="144"/>
        <v>115.4217868409637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0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3.4106051316484809E-13</v>
      </c>
      <c r="BE169" s="13">
        <f>BD169*VLOOKUP('Données projet'!$B$11,Paramètres!$A$1:$I$89,3,0)*VLOOKUP('Données projet'!$B$11,Paramètres!$A$1:$I$89,5,0)</f>
        <v>1.5961632016114892E-13</v>
      </c>
      <c r="BF169" s="13">
        <f t="shared" si="167"/>
        <v>2.2708641912150958E-12</v>
      </c>
      <c r="BG169" s="20">
        <f t="shared" si="168"/>
        <v>4.2330868906469593E-12</v>
      </c>
      <c r="BH169" s="59">
        <f t="shared" si="116"/>
        <v>293.33333333333752</v>
      </c>
      <c r="BI169" s="59">
        <f ca="1">AVERAGE(OFFSET($BH$3,0,0,'Données projet'!$E$11+1,1))-AVERAGE(OFFSET($H$3,0,0,'Données projet'!$E$11+1,1))</f>
        <v>158.58786357608489</v>
      </c>
      <c r="BJ169" s="59">
        <f t="shared" si="146"/>
        <v>163.20074068819849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0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>
        <f>BY169*VLOOKUP('Données projet'!$B$12,Paramètres!$A$1:$I$89,3,0)*VLOOKUP('Données projet'!$B$12,Paramètres!$A$1:$I$89,5,0)</f>
        <v>0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255.41017495879987</v>
      </c>
      <c r="CE169" s="59">
        <f t="shared" si="148"/>
        <v>297.50513563712764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0.56449087201862447</v>
      </c>
      <c r="CL169" s="21">
        <f>EXP(-LN(2)/25)*CL168+(1-EXP(-LN(2)/25))/(LN(2)/25)*Calculateur!CG169*Calculateur!CI169*VLOOKUP('Données projet'!$B$12,Paramètres!$A$1:$I$89,3,0)*0.475*44/12</f>
        <v>0.64199512585345331</v>
      </c>
      <c r="CM169" s="21">
        <f>EXP(-LN(2)/2)*CM168+(1-EXP(-LN(2)/2))/(LN(2)/2)*CG169*CJ169*VLOOKUP('Données projet'!$B$12,Paramètres!$A$1:$I$89,3,0)*0.475*44/12</f>
        <v>8.2674451380855925E-20</v>
      </c>
      <c r="CN169" s="22">
        <f t="shared" si="172"/>
        <v>1.2064859978720777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-1.4210854715202004E-13</v>
      </c>
      <c r="CU169" s="17">
        <f>CT169*VLOOKUP('Données projet'!$B$13,Paramètres!$A$1:$I$89,3,0)*VLOOKUP('Données projet'!$B$13,Paramètres!$A$1:$I$89,5,0)</f>
        <v>-8.128608897095547E-14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134.70214882504786</v>
      </c>
      <c r="CZ169" s="59">
        <f t="shared" si="150"/>
        <v>102.18553029667771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7.1914393764600293E-2</v>
      </c>
      <c r="DG169" s="21">
        <f>EXP(-LN(2)/25)*DG168+(1-EXP(-LN(2)/25))/(LN(2)/25)*Calculateur!DB169*Calculateur!DD169*VLOOKUP('Données projet'!$B$13,Paramètres!$A$1:$I$89,3,0)*0.475*44/12</f>
        <v>0.28908686878926926</v>
      </c>
      <c r="DH169" s="21">
        <f>EXP(-LN(2)/2)*DH168+(1-EXP(-LN(2)/2))/(LN(2)/2)*DB169*DE169*VLOOKUP('Données projet'!$B$13,Paramètres!$A$1:$I$89,3,0)*0.475*44/12</f>
        <v>2.6108592626936855E-20</v>
      </c>
      <c r="DI169" s="22">
        <f t="shared" si="175"/>
        <v>0.36100126255386955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-2.8421709430404007E-13</v>
      </c>
      <c r="DP169" s="17">
        <f>DO169*VLOOKUP('Données projet'!$B$14,Paramètres!$A$1:$I$89,3,0)*VLOOKUP('Données projet'!$B$14,Paramètres!$A$1:$I$89,5,0)</f>
        <v>-1.69961822393816E-13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179.32848817523677</v>
      </c>
      <c r="DU169" s="59">
        <f t="shared" si="152"/>
        <v>131.3292389103035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</v>
      </c>
      <c r="EB169" s="21">
        <f>EXP(-LN(2)/25)*EB168+(1-EXP(-LN(2)/25))/(LN(2)/25)*Calculateur!DW169*Calculateur!DY169*VLOOKUP('Données projet'!$B$14,Paramètres!$A$1:$I$89,3,0)*0.475*44/12</f>
        <v>0.30360912494527448</v>
      </c>
      <c r="EC169" s="21">
        <f>EXP(-LN(2)/2)*EC168+(1-EXP(-LN(2)/2))/(LN(2)/2)*DW169*DZ169*VLOOKUP('Données projet'!$B$14,Paramètres!$A$1:$I$89,3,0)*0.475*44/12</f>
        <v>1.7831295038490439E-20</v>
      </c>
      <c r="ED169" s="22">
        <f t="shared" si="178"/>
        <v>0.30360912494527448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-2.2737367544323206E-13</v>
      </c>
      <c r="EK169" s="17">
        <f>EJ169*VLOOKUP('Données projet'!$B$15,Paramètres!$A$1:$I$89,3,0)*VLOOKUP('Données projet'!$B$15,Paramètres!$A$1:$I$89,5,0)</f>
        <v>-1.0049916454590858E-13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191.932060106699</v>
      </c>
      <c r="EP169" s="59">
        <f t="shared" si="154"/>
        <v>260.28593152736903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0.16529439497788284</v>
      </c>
      <c r="EW169" s="21">
        <f>EXP(-LN(2)/25)*EW168+(1-EXP(-LN(2)/25))/(LN(2)/25)*Calculateur!ER169*Calculateur!ET169*VLOOKUP('Données projet'!$B$15,Paramètres!$A$1:$I$89,3,0)*0.475*44/12</f>
        <v>0.29070146693869031</v>
      </c>
      <c r="EX169" s="21">
        <f>EXP(-LN(2)/2)*EX168+(1-EXP(-LN(2)/2))/(LN(2)/2)*ER169*EU169*VLOOKUP('Données projet'!$B$15,Paramètres!$A$1:$I$89,3,0)*0.475*44/12</f>
        <v>4.5345944841141845E-21</v>
      </c>
      <c r="EY169" s="22">
        <f t="shared" si="181"/>
        <v>0.45599586191657315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181.00000000000009</v>
      </c>
      <c r="FF169" s="17">
        <f>FE169*VLOOKUP('Données projet'!$B$16,Paramètres!$A$1:$I$89,3,0)*VLOOKUP('Données projet'!$B$16,Paramètres!$A$1:$I$89,5,0)</f>
        <v>175.06320000000008</v>
      </c>
      <c r="FG169" s="13">
        <f t="shared" si="182"/>
        <v>44.222067746824763</v>
      </c>
      <c r="FH169" s="20">
        <f t="shared" si="183"/>
        <v>381.92184132571992</v>
      </c>
      <c r="FI169" s="59">
        <f t="shared" si="131"/>
        <v>675.25517465905318</v>
      </c>
      <c r="FJ169" s="59">
        <f ca="1">AVERAGE(OFFSET($FI$3,0,0,'Données projet'!$E$16+1,1))-AVERAGE(OFFSET($H$3,0,0,'Données projet'!$E$16+1,1))</f>
        <v>102.86738524979938</v>
      </c>
      <c r="FK169" s="59">
        <f t="shared" si="156"/>
        <v>56.347130462109817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0</v>
      </c>
      <c r="FR169" s="21">
        <f>EXP(-LN(2)/25)*FR168+(1-EXP(-LN(2)/25))/(LN(2)/25)*Calculateur!FM169*Calculateur!FO169*VLOOKUP('Données projet'!$B$16,Paramètres!$A$1:$I$89,3,0)*0.475*44/12</f>
        <v>0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0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300.00000000000068</v>
      </c>
      <c r="GA169" s="17">
        <f>FZ169*VLOOKUP('Données projet'!$B$17,Paramètres!$A$1:$I$89,3,0)*VLOOKUP('Données projet'!$B$17,Paramètres!$A$1:$I$89,5,0)</f>
        <v>201.24000000000046</v>
      </c>
      <c r="GB169" s="13">
        <f t="shared" si="185"/>
        <v>50.01658408633331</v>
      </c>
      <c r="GC169" s="20">
        <f t="shared" si="186"/>
        <v>437.60521728369798</v>
      </c>
      <c r="GD169" s="59">
        <f t="shared" si="134"/>
        <v>730.9385506170313</v>
      </c>
      <c r="GE169" s="59">
        <f ca="1">AVERAGE(OFFSET($GD$3,0,0,'Données projet'!$E$17+1,1))-AVERAGE(OFFSET($H$3,0,0,'Données projet'!$E$17+1,1))</f>
        <v>168.00454652899231</v>
      </c>
      <c r="GF169" s="59">
        <f t="shared" si="158"/>
        <v>135.31958994080446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0</v>
      </c>
      <c r="GM169" s="21">
        <f>EXP(-LN(2)/25)*GM168+(1-EXP(-LN(2)/25))/(LN(2)/25)*Calculateur!GH169*Calculateur!GJ169*VLOOKUP('Données projet'!$B$17,Paramètres!$A$1:$I$89,3,0)*0.475*44/12</f>
        <v>0</v>
      </c>
      <c r="GN169" s="21">
        <f>EXP(-LN(2)/2)*GN168+(1-EXP(-LN(2)/2))/(LN(2)/2)*GH169*GK169*VLOOKUP('Données projet'!$B$17,Paramètres!$A$1:$I$89,3,0)*0.475*44/12</f>
        <v>0</v>
      </c>
      <c r="GO169" s="21">
        <f t="shared" si="187"/>
        <v>0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4.5474735088646412E-13</v>
      </c>
      <c r="O170" s="13">
        <f>N170*VLOOKUP('Données projet'!$B$9,Paramètres!$A$1:$I$89,3,0)*VLOOKUP('Données projet'!$B$9,Paramètres!$A$1:$I$89,5,0)</f>
        <v>4.1145540308207271E-13</v>
      </c>
      <c r="P170" s="13">
        <f t="shared" si="141"/>
        <v>5.2428527960910789E-12</v>
      </c>
      <c r="Q170" s="20">
        <f t="shared" si="162"/>
        <v>9.8479201135599071E-12</v>
      </c>
      <c r="R170" s="59">
        <f t="shared" si="109"/>
        <v>293.33333333334315</v>
      </c>
      <c r="S170" s="59">
        <f ca="1">AVERAGE(OFFSET($R$3,0,0,'Données projet'!$E$9+1,1))-AVERAGE(OFFSET($H$3,0,0,'Données projet'!$E$9+1,1))</f>
        <v>221.7429870520005</v>
      </c>
      <c r="T170" s="59">
        <f t="shared" si="142"/>
        <v>182.2029938397186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0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-5.6843418860808015E-13</v>
      </c>
      <c r="AJ170" s="13">
        <f>AI170*VLOOKUP('Données projet'!$B$10,Paramètres!$A$1:$I$89,3,0)*VLOOKUP('Données projet'!$B$10,Paramètres!$A$1:$I$89,5,0)</f>
        <v>-5.1431925385259092E-13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153.45079678708987</v>
      </c>
      <c r="AO170" s="59">
        <f t="shared" si="144"/>
        <v>115.4217868409637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0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3.4106051316484809E-13</v>
      </c>
      <c r="BE170" s="13">
        <f>BD170*VLOOKUP('Données projet'!$B$11,Paramètres!$A$1:$I$89,3,0)*VLOOKUP('Données projet'!$B$11,Paramètres!$A$1:$I$89,5,0)</f>
        <v>1.5961632016114892E-13</v>
      </c>
      <c r="BF170" s="13">
        <f t="shared" si="167"/>
        <v>2.2708641912150958E-12</v>
      </c>
      <c r="BG170" s="20">
        <f t="shared" si="168"/>
        <v>4.2330868906469593E-12</v>
      </c>
      <c r="BH170" s="59">
        <f t="shared" si="116"/>
        <v>293.33333333333752</v>
      </c>
      <c r="BI170" s="59">
        <f ca="1">AVERAGE(OFFSET($BH$3,0,0,'Données projet'!$E$11+1,1))-AVERAGE(OFFSET($H$3,0,0,'Données projet'!$E$11+1,1))</f>
        <v>158.58786357608489</v>
      </c>
      <c r="BJ170" s="59">
        <f t="shared" si="146"/>
        <v>163.20074068819849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0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>
        <f>BY170*VLOOKUP('Données projet'!$B$12,Paramètres!$A$1:$I$89,3,0)*VLOOKUP('Données projet'!$B$12,Paramètres!$A$1:$I$89,5,0)</f>
        <v>0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255.41017495879987</v>
      </c>
      <c r="CE170" s="59">
        <f t="shared" si="148"/>
        <v>297.50513563712764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0.55342155032377383</v>
      </c>
      <c r="CL170" s="21">
        <f>EXP(-LN(2)/25)*CL169+(1-EXP(-LN(2)/25))/(LN(2)/25)*Calculateur!CG170*Calculateur!CI170*VLOOKUP('Données projet'!$B$12,Paramètres!$A$1:$I$89,3,0)*0.475*44/12</f>
        <v>0.62443973537593422</v>
      </c>
      <c r="CM170" s="21">
        <f>EXP(-LN(2)/2)*CM169+(1-EXP(-LN(2)/2))/(LN(2)/2)*CG170*CJ170*VLOOKUP('Données projet'!$B$12,Paramètres!$A$1:$I$89,3,0)*0.475*44/12</f>
        <v>5.8459665202280752E-20</v>
      </c>
      <c r="CN170" s="22">
        <f t="shared" si="172"/>
        <v>1.1778612856997079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-1.4210854715202004E-13</v>
      </c>
      <c r="CU170" s="17">
        <f>CT170*VLOOKUP('Données projet'!$B$13,Paramètres!$A$1:$I$89,3,0)*VLOOKUP('Données projet'!$B$13,Paramètres!$A$1:$I$89,5,0)</f>
        <v>-8.128608897095547E-14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134.70214882504786</v>
      </c>
      <c r="CZ170" s="59">
        <f t="shared" si="150"/>
        <v>102.18553029667771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7.0504196366325517E-2</v>
      </c>
      <c r="DG170" s="21">
        <f>EXP(-LN(2)/25)*DG169+(1-EXP(-LN(2)/25))/(LN(2)/25)*Calculateur!DB170*Calculateur!DD170*VLOOKUP('Données projet'!$B$13,Paramètres!$A$1:$I$89,3,0)*0.475*44/12</f>
        <v>0.28118177315980897</v>
      </c>
      <c r="DH170" s="21">
        <f>EXP(-LN(2)/2)*DH169+(1-EXP(-LN(2)/2))/(LN(2)/2)*DB170*DE170*VLOOKUP('Données projet'!$B$13,Paramètres!$A$1:$I$89,3,0)*0.475*44/12</f>
        <v>1.8461562893744147E-20</v>
      </c>
      <c r="DI170" s="22">
        <f t="shared" si="175"/>
        <v>0.35168596952613451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-2.8421709430404007E-13</v>
      </c>
      <c r="DP170" s="17">
        <f>DO170*VLOOKUP('Données projet'!$B$14,Paramètres!$A$1:$I$89,3,0)*VLOOKUP('Données projet'!$B$14,Paramètres!$A$1:$I$89,5,0)</f>
        <v>-1.69961822393816E-13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179.32848817523677</v>
      </c>
      <c r="DU170" s="59">
        <f t="shared" si="152"/>
        <v>131.3292389103035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</v>
      </c>
      <c r="EB170" s="21">
        <f>EXP(-LN(2)/25)*EB169+(1-EXP(-LN(2)/25))/(LN(2)/25)*Calculateur!DW170*Calculateur!DY170*VLOOKUP('Données projet'!$B$14,Paramètres!$A$1:$I$89,3,0)*0.475*44/12</f>
        <v>0.29530691745753596</v>
      </c>
      <c r="EC170" s="21">
        <f>EXP(-LN(2)/2)*EC169+(1-EXP(-LN(2)/2))/(LN(2)/2)*DW170*DZ170*VLOOKUP('Données projet'!$B$14,Paramètres!$A$1:$I$89,3,0)*0.475*44/12</f>
        <v>1.2608629639054629E-20</v>
      </c>
      <c r="ED170" s="22">
        <f t="shared" si="178"/>
        <v>0.29530691745753596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-2.2737367544323206E-13</v>
      </c>
      <c r="EK170" s="17">
        <f>EJ170*VLOOKUP('Données projet'!$B$15,Paramètres!$A$1:$I$89,3,0)*VLOOKUP('Données projet'!$B$15,Paramètres!$A$1:$I$89,5,0)</f>
        <v>-1.0049916454590858E-13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191.932060106699</v>
      </c>
      <c r="EP170" s="59">
        <f t="shared" si="154"/>
        <v>260.28593152736903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0.16205307271199237</v>
      </c>
      <c r="EW170" s="21">
        <f>EXP(-LN(2)/25)*EW169+(1-EXP(-LN(2)/25))/(LN(2)/25)*Calculateur!ER170*Calculateur!ET170*VLOOKUP('Données projet'!$B$15,Paramètres!$A$1:$I$89,3,0)*0.475*44/12</f>
        <v>0.28275222003792611</v>
      </c>
      <c r="EX170" s="21">
        <f>EXP(-LN(2)/2)*EX169+(1-EXP(-LN(2)/2))/(LN(2)/2)*ER170*EU170*VLOOKUP('Données projet'!$B$15,Paramètres!$A$1:$I$89,3,0)*0.475*44/12</f>
        <v>3.206442509648254E-21</v>
      </c>
      <c r="EY170" s="22">
        <f t="shared" si="181"/>
        <v>0.44480529274991848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181.00000000000009</v>
      </c>
      <c r="FF170" s="17">
        <f>FE170*VLOOKUP('Données projet'!$B$16,Paramètres!$A$1:$I$89,3,0)*VLOOKUP('Données projet'!$B$16,Paramètres!$A$1:$I$89,5,0)</f>
        <v>175.06320000000008</v>
      </c>
      <c r="FG170" s="13">
        <f t="shared" si="182"/>
        <v>44.222067746824763</v>
      </c>
      <c r="FH170" s="20">
        <f t="shared" si="183"/>
        <v>381.92184132571992</v>
      </c>
      <c r="FI170" s="59">
        <f t="shared" si="131"/>
        <v>675.25517465905318</v>
      </c>
      <c r="FJ170" s="59">
        <f ca="1">AVERAGE(OFFSET($FI$3,0,0,'Données projet'!$E$16+1,1))-AVERAGE(OFFSET($H$3,0,0,'Données projet'!$E$16+1,1))</f>
        <v>102.86738524979938</v>
      </c>
      <c r="FK170" s="59">
        <f t="shared" si="156"/>
        <v>56.347130462109817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0</v>
      </c>
      <c r="FR170" s="21">
        <f>EXP(-LN(2)/25)*FR169+(1-EXP(-LN(2)/25))/(LN(2)/25)*Calculateur!FM170*Calculateur!FO170*VLOOKUP('Données projet'!$B$16,Paramètres!$A$1:$I$89,3,0)*0.475*44/12</f>
        <v>0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0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300.00000000000068</v>
      </c>
      <c r="GA170" s="17">
        <f>FZ170*VLOOKUP('Données projet'!$B$17,Paramètres!$A$1:$I$89,3,0)*VLOOKUP('Données projet'!$B$17,Paramètres!$A$1:$I$89,5,0)</f>
        <v>201.24000000000046</v>
      </c>
      <c r="GB170" s="13">
        <f t="shared" si="185"/>
        <v>50.01658408633331</v>
      </c>
      <c r="GC170" s="20">
        <f t="shared" si="186"/>
        <v>437.60521728369798</v>
      </c>
      <c r="GD170" s="59">
        <f t="shared" si="134"/>
        <v>730.9385506170313</v>
      </c>
      <c r="GE170" s="59">
        <f ca="1">AVERAGE(OFFSET($GD$3,0,0,'Données projet'!$E$17+1,1))-AVERAGE(OFFSET($H$3,0,0,'Données projet'!$E$17+1,1))</f>
        <v>168.00454652899231</v>
      </c>
      <c r="GF170" s="59">
        <f t="shared" si="158"/>
        <v>135.31958994080446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0</v>
      </c>
      <c r="GM170" s="21">
        <f>EXP(-LN(2)/25)*GM169+(1-EXP(-LN(2)/25))/(LN(2)/25)*Calculateur!GH170*Calculateur!GJ170*VLOOKUP('Données projet'!$B$17,Paramètres!$A$1:$I$89,3,0)*0.475*44/12</f>
        <v>0</v>
      </c>
      <c r="GN170" s="21">
        <f>EXP(-LN(2)/2)*GN169+(1-EXP(-LN(2)/2))/(LN(2)/2)*GH170*GK170*VLOOKUP('Données projet'!$B$17,Paramètres!$A$1:$I$89,3,0)*0.475*44/12</f>
        <v>0</v>
      </c>
      <c r="GO170" s="21">
        <f t="shared" si="187"/>
        <v>0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4.5474735088646412E-13</v>
      </c>
      <c r="O171" s="13">
        <f>N171*VLOOKUP('Données projet'!$B$9,Paramètres!$A$1:$I$89,3,0)*VLOOKUP('Données projet'!$B$9,Paramètres!$A$1:$I$89,5,0)</f>
        <v>4.1145540308207271E-13</v>
      </c>
      <c r="P171" s="13">
        <f t="shared" si="141"/>
        <v>5.2428527960910789E-12</v>
      </c>
      <c r="Q171" s="20">
        <f t="shared" si="162"/>
        <v>9.8479201135599071E-12</v>
      </c>
      <c r="R171" s="59">
        <f t="shared" si="109"/>
        <v>293.33333333334315</v>
      </c>
      <c r="S171" s="59">
        <f ca="1">AVERAGE(OFFSET($R$3,0,0,'Données projet'!$E$9+1,1))-AVERAGE(OFFSET($H$3,0,0,'Données projet'!$E$9+1,1))</f>
        <v>221.7429870520005</v>
      </c>
      <c r="T171" s="59">
        <f t="shared" si="142"/>
        <v>182.2029938397186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0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-5.6843418860808015E-13</v>
      </c>
      <c r="AJ171" s="13">
        <f>AI171*VLOOKUP('Données projet'!$B$10,Paramètres!$A$1:$I$89,3,0)*VLOOKUP('Données projet'!$B$10,Paramètres!$A$1:$I$89,5,0)</f>
        <v>-5.1431925385259092E-13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153.45079678708987</v>
      </c>
      <c r="AO171" s="59">
        <f t="shared" si="144"/>
        <v>115.4217868409637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0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3.4106051316484809E-13</v>
      </c>
      <c r="BE171" s="13">
        <f>BD171*VLOOKUP('Données projet'!$B$11,Paramètres!$A$1:$I$89,3,0)*VLOOKUP('Données projet'!$B$11,Paramètres!$A$1:$I$89,5,0)</f>
        <v>1.5961632016114892E-13</v>
      </c>
      <c r="BF171" s="13">
        <f t="shared" si="167"/>
        <v>2.2708641912150958E-12</v>
      </c>
      <c r="BG171" s="20">
        <f t="shared" si="168"/>
        <v>4.2330868906469593E-12</v>
      </c>
      <c r="BH171" s="59">
        <f t="shared" si="116"/>
        <v>293.33333333333752</v>
      </c>
      <c r="BI171" s="59">
        <f ca="1">AVERAGE(OFFSET($BH$3,0,0,'Données projet'!$E$11+1,1))-AVERAGE(OFFSET($H$3,0,0,'Données projet'!$E$11+1,1))</f>
        <v>158.58786357608489</v>
      </c>
      <c r="BJ171" s="59">
        <f t="shared" si="146"/>
        <v>163.20074068819849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0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>
        <f>BY171*VLOOKUP('Données projet'!$B$12,Paramètres!$A$1:$I$89,3,0)*VLOOKUP('Données projet'!$B$12,Paramètres!$A$1:$I$89,5,0)</f>
        <v>0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255.41017495879987</v>
      </c>
      <c r="CE171" s="59">
        <f t="shared" si="148"/>
        <v>297.50513563712764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0.54256929127573961</v>
      </c>
      <c r="CL171" s="21">
        <f>EXP(-LN(2)/25)*CL170+(1-EXP(-LN(2)/25))/(LN(2)/25)*Calculateur!CG171*Calculateur!CI171*VLOOKUP('Données projet'!$B$12,Paramètres!$A$1:$I$89,3,0)*0.475*44/12</f>
        <v>0.60736439797422082</v>
      </c>
      <c r="CM171" s="21">
        <f>EXP(-LN(2)/2)*CM170+(1-EXP(-LN(2)/2))/(LN(2)/2)*CG171*CJ171*VLOOKUP('Données projet'!$B$12,Paramètres!$A$1:$I$89,3,0)*0.475*44/12</f>
        <v>4.1337225690427963E-20</v>
      </c>
      <c r="CN171" s="22">
        <f t="shared" si="172"/>
        <v>1.1499336892499605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-1.4210854715202004E-13</v>
      </c>
      <c r="CU171" s="17">
        <f>CT171*VLOOKUP('Données projet'!$B$13,Paramètres!$A$1:$I$89,3,0)*VLOOKUP('Données projet'!$B$13,Paramètres!$A$1:$I$89,5,0)</f>
        <v>-8.128608897095547E-14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134.70214882504786</v>
      </c>
      <c r="CZ171" s="59">
        <f t="shared" si="150"/>
        <v>102.18553029667771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6.9121652078895437E-2</v>
      </c>
      <c r="DG171" s="21">
        <f>EXP(-LN(2)/25)*DG170+(1-EXP(-LN(2)/25))/(LN(2)/25)*Calculateur!DB171*Calculateur!DD171*VLOOKUP('Données projet'!$B$13,Paramètres!$A$1:$I$89,3,0)*0.475*44/12</f>
        <v>0.27349284278604719</v>
      </c>
      <c r="DH171" s="21">
        <f>EXP(-LN(2)/2)*DH170+(1-EXP(-LN(2)/2))/(LN(2)/2)*DB171*DE171*VLOOKUP('Données projet'!$B$13,Paramètres!$A$1:$I$89,3,0)*0.475*44/12</f>
        <v>1.3054296313468428E-20</v>
      </c>
      <c r="DI171" s="22">
        <f t="shared" si="175"/>
        <v>0.34261449486494261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-2.8421709430404007E-13</v>
      </c>
      <c r="DP171" s="17">
        <f>DO171*VLOOKUP('Données projet'!$B$14,Paramètres!$A$1:$I$89,3,0)*VLOOKUP('Données projet'!$B$14,Paramètres!$A$1:$I$89,5,0)</f>
        <v>-1.69961822393816E-13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179.32848817523677</v>
      </c>
      <c r="DU171" s="59">
        <f t="shared" si="152"/>
        <v>131.3292389103035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</v>
      </c>
      <c r="EB171" s="21">
        <f>EXP(-LN(2)/25)*EB170+(1-EXP(-LN(2)/25))/(LN(2)/25)*Calculateur!DW171*Calculateur!DY171*VLOOKUP('Données projet'!$B$14,Paramètres!$A$1:$I$89,3,0)*0.475*44/12</f>
        <v>0.28723173427014376</v>
      </c>
      <c r="EC171" s="21">
        <f>EXP(-LN(2)/2)*EC170+(1-EXP(-LN(2)/2))/(LN(2)/2)*DW171*DZ171*VLOOKUP('Données projet'!$B$14,Paramètres!$A$1:$I$89,3,0)*0.475*44/12</f>
        <v>8.9156475192452193E-21</v>
      </c>
      <c r="ED171" s="22">
        <f t="shared" si="178"/>
        <v>0.28723173427014376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-2.2737367544323206E-13</v>
      </c>
      <c r="EK171" s="17">
        <f>EJ171*VLOOKUP('Données projet'!$B$15,Paramètres!$A$1:$I$89,3,0)*VLOOKUP('Données projet'!$B$15,Paramètres!$A$1:$I$89,5,0)</f>
        <v>-1.0049916454590858E-13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191.932060106699</v>
      </c>
      <c r="EP171" s="59">
        <f t="shared" si="154"/>
        <v>260.28593152736903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0.15887531079872466</v>
      </c>
      <c r="EW171" s="21">
        <f>EXP(-LN(2)/25)*EW170+(1-EXP(-LN(2)/25))/(LN(2)/25)*Calculateur!ER171*Calculateur!ET171*VLOOKUP('Données projet'!$B$15,Paramètres!$A$1:$I$89,3,0)*0.475*44/12</f>
        <v>0.27502034571169598</v>
      </c>
      <c r="EX171" s="21">
        <f>EXP(-LN(2)/2)*EX170+(1-EXP(-LN(2)/2))/(LN(2)/2)*ER171*EU171*VLOOKUP('Données projet'!$B$15,Paramètres!$A$1:$I$89,3,0)*0.475*44/12</f>
        <v>2.2672972420570922E-21</v>
      </c>
      <c r="EY171" s="22">
        <f t="shared" si="181"/>
        <v>0.43389565651042061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181.00000000000009</v>
      </c>
      <c r="FF171" s="17">
        <f>FE171*VLOOKUP('Données projet'!$B$16,Paramètres!$A$1:$I$89,3,0)*VLOOKUP('Données projet'!$B$16,Paramètres!$A$1:$I$89,5,0)</f>
        <v>175.06320000000008</v>
      </c>
      <c r="FG171" s="13">
        <f t="shared" si="182"/>
        <v>44.222067746824763</v>
      </c>
      <c r="FH171" s="20">
        <f t="shared" si="183"/>
        <v>381.92184132571992</v>
      </c>
      <c r="FI171" s="59">
        <f t="shared" si="131"/>
        <v>675.25517465905318</v>
      </c>
      <c r="FJ171" s="59">
        <f ca="1">AVERAGE(OFFSET($FI$3,0,0,'Données projet'!$E$16+1,1))-AVERAGE(OFFSET($H$3,0,0,'Données projet'!$E$16+1,1))</f>
        <v>102.86738524979938</v>
      </c>
      <c r="FK171" s="59">
        <f t="shared" si="156"/>
        <v>56.347130462109817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0</v>
      </c>
      <c r="FR171" s="21">
        <f>EXP(-LN(2)/25)*FR170+(1-EXP(-LN(2)/25))/(LN(2)/25)*Calculateur!FM171*Calculateur!FO171*VLOOKUP('Données projet'!$B$16,Paramètres!$A$1:$I$89,3,0)*0.475*44/12</f>
        <v>0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0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300.00000000000068</v>
      </c>
      <c r="GA171" s="17">
        <f>FZ171*VLOOKUP('Données projet'!$B$17,Paramètres!$A$1:$I$89,3,0)*VLOOKUP('Données projet'!$B$17,Paramètres!$A$1:$I$89,5,0)</f>
        <v>201.24000000000046</v>
      </c>
      <c r="GB171" s="13">
        <f t="shared" si="185"/>
        <v>50.01658408633331</v>
      </c>
      <c r="GC171" s="20">
        <f t="shared" si="186"/>
        <v>437.60521728369798</v>
      </c>
      <c r="GD171" s="59">
        <f t="shared" si="134"/>
        <v>730.9385506170313</v>
      </c>
      <c r="GE171" s="59">
        <f ca="1">AVERAGE(OFFSET($GD$3,0,0,'Données projet'!$E$17+1,1))-AVERAGE(OFFSET($H$3,0,0,'Données projet'!$E$17+1,1))</f>
        <v>168.00454652899231</v>
      </c>
      <c r="GF171" s="59">
        <f t="shared" si="158"/>
        <v>135.31958994080446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0</v>
      </c>
      <c r="GM171" s="21">
        <f>EXP(-LN(2)/25)*GM170+(1-EXP(-LN(2)/25))/(LN(2)/25)*Calculateur!GH171*Calculateur!GJ171*VLOOKUP('Données projet'!$B$17,Paramètres!$A$1:$I$89,3,0)*0.475*44/12</f>
        <v>0</v>
      </c>
      <c r="GN171" s="21">
        <f>EXP(-LN(2)/2)*GN170+(1-EXP(-LN(2)/2))/(LN(2)/2)*GH171*GK171*VLOOKUP('Données projet'!$B$17,Paramètres!$A$1:$I$89,3,0)*0.475*44/12</f>
        <v>0</v>
      </c>
      <c r="GO171" s="21">
        <f t="shared" si="187"/>
        <v>0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4.5474735088646412E-13</v>
      </c>
      <c r="O172" s="13">
        <f>N172*VLOOKUP('Données projet'!$B$9,Paramètres!$A$1:$I$89,3,0)*VLOOKUP('Données projet'!$B$9,Paramètres!$A$1:$I$89,5,0)</f>
        <v>4.1145540308207271E-13</v>
      </c>
      <c r="P172" s="13">
        <f t="shared" si="141"/>
        <v>5.2428527960910789E-12</v>
      </c>
      <c r="Q172" s="20">
        <f t="shared" si="162"/>
        <v>9.8479201135599071E-12</v>
      </c>
      <c r="R172" s="59">
        <f t="shared" si="109"/>
        <v>293.33333333334315</v>
      </c>
      <c r="S172" s="59">
        <f ca="1">AVERAGE(OFFSET($R$3,0,0,'Données projet'!$E$9+1,1))-AVERAGE(OFFSET($H$3,0,0,'Données projet'!$E$9+1,1))</f>
        <v>221.7429870520005</v>
      </c>
      <c r="T172" s="59">
        <f t="shared" si="142"/>
        <v>182.2029938397186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0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-5.6843418860808015E-13</v>
      </c>
      <c r="AJ172" s="13">
        <f>AI172*VLOOKUP('Données projet'!$B$10,Paramètres!$A$1:$I$89,3,0)*VLOOKUP('Données projet'!$B$10,Paramètres!$A$1:$I$89,5,0)</f>
        <v>-5.1431925385259092E-13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153.45079678708987</v>
      </c>
      <c r="AO172" s="59">
        <f t="shared" si="144"/>
        <v>115.4217868409637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0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3.4106051316484809E-13</v>
      </c>
      <c r="BE172" s="13">
        <f>BD172*VLOOKUP('Données projet'!$B$11,Paramètres!$A$1:$I$89,3,0)*VLOOKUP('Données projet'!$B$11,Paramètres!$A$1:$I$89,5,0)</f>
        <v>1.5961632016114892E-13</v>
      </c>
      <c r="BF172" s="13">
        <f t="shared" si="167"/>
        <v>2.2708641912150958E-12</v>
      </c>
      <c r="BG172" s="20">
        <f t="shared" si="168"/>
        <v>4.2330868906469593E-12</v>
      </c>
      <c r="BH172" s="59">
        <f t="shared" si="116"/>
        <v>293.33333333333752</v>
      </c>
      <c r="BI172" s="59">
        <f ca="1">AVERAGE(OFFSET($BH$3,0,0,'Données projet'!$E$11+1,1))-AVERAGE(OFFSET($H$3,0,0,'Données projet'!$E$11+1,1))</f>
        <v>158.58786357608489</v>
      </c>
      <c r="BJ172" s="59">
        <f t="shared" si="146"/>
        <v>163.20074068819849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0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>
        <f>BY172*VLOOKUP('Données projet'!$B$12,Paramètres!$A$1:$I$89,3,0)*VLOOKUP('Données projet'!$B$12,Paramètres!$A$1:$I$89,5,0)</f>
        <v>0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255.41017495879987</v>
      </c>
      <c r="CE172" s="59">
        <f t="shared" si="148"/>
        <v>297.50513563712764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0.5319298384084129</v>
      </c>
      <c r="CL172" s="21">
        <f>EXP(-LN(2)/25)*CL171+(1-EXP(-LN(2)/25))/(LN(2)/25)*Calculateur!CG172*Calculateur!CI172*VLOOKUP('Données projet'!$B$12,Paramètres!$A$1:$I$89,3,0)*0.475*44/12</f>
        <v>0.59075598657171025</v>
      </c>
      <c r="CM172" s="21">
        <f>EXP(-LN(2)/2)*CM171+(1-EXP(-LN(2)/2))/(LN(2)/2)*CG172*CJ172*VLOOKUP('Données projet'!$B$12,Paramètres!$A$1:$I$89,3,0)*0.475*44/12</f>
        <v>2.9229832601140376E-20</v>
      </c>
      <c r="CN172" s="22">
        <f t="shared" si="172"/>
        <v>1.122685824980123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-1.4210854715202004E-13</v>
      </c>
      <c r="CU172" s="17">
        <f>CT172*VLOOKUP('Données projet'!$B$13,Paramètres!$A$1:$I$89,3,0)*VLOOKUP('Données projet'!$B$13,Paramètres!$A$1:$I$89,5,0)</f>
        <v>-8.128608897095547E-14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134.70214882504786</v>
      </c>
      <c r="CZ172" s="59">
        <f t="shared" si="150"/>
        <v>102.18553029667771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6.7766218641673107E-2</v>
      </c>
      <c r="DG172" s="21">
        <f>EXP(-LN(2)/25)*DG171+(1-EXP(-LN(2)/25))/(LN(2)/25)*Calculateur!DB172*Calculateur!DD172*VLOOKUP('Données projet'!$B$13,Paramètres!$A$1:$I$89,3,0)*0.475*44/12</f>
        <v>0.26601416661769922</v>
      </c>
      <c r="DH172" s="21">
        <f>EXP(-LN(2)/2)*DH171+(1-EXP(-LN(2)/2))/(LN(2)/2)*DB172*DE172*VLOOKUP('Données projet'!$B$13,Paramètres!$A$1:$I$89,3,0)*0.475*44/12</f>
        <v>9.2307814468720734E-21</v>
      </c>
      <c r="DI172" s="22">
        <f t="shared" si="175"/>
        <v>0.33378038525937231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-2.8421709430404007E-13</v>
      </c>
      <c r="DP172" s="17">
        <f>DO172*VLOOKUP('Données projet'!$B$14,Paramètres!$A$1:$I$89,3,0)*VLOOKUP('Données projet'!$B$14,Paramètres!$A$1:$I$89,5,0)</f>
        <v>-1.69961822393816E-13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179.32848817523677</v>
      </c>
      <c r="DU172" s="59">
        <f t="shared" si="152"/>
        <v>131.3292389103035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</v>
      </c>
      <c r="EB172" s="21">
        <f>EXP(-LN(2)/25)*EB171+(1-EXP(-LN(2)/25))/(LN(2)/25)*Calculateur!DW172*Calculateur!DY172*VLOOKUP('Données projet'!$B$14,Paramètres!$A$1:$I$89,3,0)*0.475*44/12</f>
        <v>0.27937736739166624</v>
      </c>
      <c r="EC172" s="21">
        <f>EXP(-LN(2)/2)*EC171+(1-EXP(-LN(2)/2))/(LN(2)/2)*DW172*DZ172*VLOOKUP('Données projet'!$B$14,Paramètres!$A$1:$I$89,3,0)*0.475*44/12</f>
        <v>6.3043148195273146E-21</v>
      </c>
      <c r="ED172" s="22">
        <f t="shared" si="178"/>
        <v>0.27937736739166624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-2.2737367544323206E-13</v>
      </c>
      <c r="EK172" s="17">
        <f>EJ172*VLOOKUP('Données projet'!$B$15,Paramètres!$A$1:$I$89,3,0)*VLOOKUP('Données projet'!$B$15,Paramètres!$A$1:$I$89,5,0)</f>
        <v>-1.0049916454590858E-13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191.932060106699</v>
      </c>
      <c r="EP172" s="59">
        <f t="shared" si="154"/>
        <v>260.28593152736903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0.15575986285833274</v>
      </c>
      <c r="EW172" s="21">
        <f>EXP(-LN(2)/25)*EW171+(1-EXP(-LN(2)/25))/(LN(2)/25)*Calculateur!ER172*Calculateur!ET172*VLOOKUP('Données projet'!$B$15,Paramètres!$A$1:$I$89,3,0)*0.475*44/12</f>
        <v>0.26749989989551826</v>
      </c>
      <c r="EX172" s="21">
        <f>EXP(-LN(2)/2)*EX171+(1-EXP(-LN(2)/2))/(LN(2)/2)*ER172*EU172*VLOOKUP('Données projet'!$B$15,Paramètres!$A$1:$I$89,3,0)*0.475*44/12</f>
        <v>1.603221254824127E-21</v>
      </c>
      <c r="EY172" s="22">
        <f t="shared" si="181"/>
        <v>0.42325976275385102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181.00000000000009</v>
      </c>
      <c r="FF172" s="17">
        <f>FE172*VLOOKUP('Données projet'!$B$16,Paramètres!$A$1:$I$89,3,0)*VLOOKUP('Données projet'!$B$16,Paramètres!$A$1:$I$89,5,0)</f>
        <v>175.06320000000008</v>
      </c>
      <c r="FG172" s="13">
        <f t="shared" si="182"/>
        <v>44.222067746824763</v>
      </c>
      <c r="FH172" s="20">
        <f t="shared" si="183"/>
        <v>381.92184132571992</v>
      </c>
      <c r="FI172" s="59">
        <f t="shared" si="131"/>
        <v>675.25517465905318</v>
      </c>
      <c r="FJ172" s="59">
        <f ca="1">AVERAGE(OFFSET($FI$3,0,0,'Données projet'!$E$16+1,1))-AVERAGE(OFFSET($H$3,0,0,'Données projet'!$E$16+1,1))</f>
        <v>102.86738524979938</v>
      </c>
      <c r="FK172" s="59">
        <f t="shared" si="156"/>
        <v>56.347130462109817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0</v>
      </c>
      <c r="FR172" s="21">
        <f>EXP(-LN(2)/25)*FR171+(1-EXP(-LN(2)/25))/(LN(2)/25)*Calculateur!FM172*Calculateur!FO172*VLOOKUP('Données projet'!$B$16,Paramètres!$A$1:$I$89,3,0)*0.475*44/12</f>
        <v>0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0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300.00000000000068</v>
      </c>
      <c r="GA172" s="17">
        <f>FZ172*VLOOKUP('Données projet'!$B$17,Paramètres!$A$1:$I$89,3,0)*VLOOKUP('Données projet'!$B$17,Paramètres!$A$1:$I$89,5,0)</f>
        <v>201.24000000000046</v>
      </c>
      <c r="GB172" s="13">
        <f t="shared" si="185"/>
        <v>50.01658408633331</v>
      </c>
      <c r="GC172" s="20">
        <f t="shared" si="186"/>
        <v>437.60521728369798</v>
      </c>
      <c r="GD172" s="59">
        <f t="shared" si="134"/>
        <v>730.9385506170313</v>
      </c>
      <c r="GE172" s="59">
        <f ca="1">AVERAGE(OFFSET($GD$3,0,0,'Données projet'!$E$17+1,1))-AVERAGE(OFFSET($H$3,0,0,'Données projet'!$E$17+1,1))</f>
        <v>168.00454652899231</v>
      </c>
      <c r="GF172" s="59">
        <f t="shared" si="158"/>
        <v>135.31958994080446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0</v>
      </c>
      <c r="GM172" s="21">
        <f>EXP(-LN(2)/25)*GM171+(1-EXP(-LN(2)/25))/(LN(2)/25)*Calculateur!GH172*Calculateur!GJ172*VLOOKUP('Données projet'!$B$17,Paramètres!$A$1:$I$89,3,0)*0.475*44/12</f>
        <v>0</v>
      </c>
      <c r="GN172" s="21">
        <f>EXP(-LN(2)/2)*GN171+(1-EXP(-LN(2)/2))/(LN(2)/2)*GH172*GK172*VLOOKUP('Données projet'!$B$17,Paramètres!$A$1:$I$89,3,0)*0.475*44/12</f>
        <v>0</v>
      </c>
      <c r="GO172" s="21">
        <f t="shared" si="187"/>
        <v>0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4.5474735088646412E-13</v>
      </c>
      <c r="O173" s="13">
        <f>N173*VLOOKUP('Données projet'!$B$9,Paramètres!$A$1:$I$89,3,0)*VLOOKUP('Données projet'!$B$9,Paramètres!$A$1:$I$89,5,0)</f>
        <v>4.1145540308207271E-13</v>
      </c>
      <c r="P173" s="13">
        <f t="shared" si="141"/>
        <v>5.2428527960910789E-12</v>
      </c>
      <c r="Q173" s="20">
        <f t="shared" si="162"/>
        <v>9.8479201135599071E-12</v>
      </c>
      <c r="R173" s="59">
        <f t="shared" si="109"/>
        <v>293.33333333334315</v>
      </c>
      <c r="S173" s="59">
        <f ca="1">AVERAGE(OFFSET($R$3,0,0,'Données projet'!$E$9+1,1))-AVERAGE(OFFSET($H$3,0,0,'Données projet'!$E$9+1,1))</f>
        <v>221.7429870520005</v>
      </c>
      <c r="T173" s="59">
        <f t="shared" si="142"/>
        <v>182.2029938397186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0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-5.6843418860808015E-13</v>
      </c>
      <c r="AJ173" s="13">
        <f>AI173*VLOOKUP('Données projet'!$B$10,Paramètres!$A$1:$I$89,3,0)*VLOOKUP('Données projet'!$B$10,Paramètres!$A$1:$I$89,5,0)</f>
        <v>-5.1431925385259092E-13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153.45079678708987</v>
      </c>
      <c r="AO173" s="59">
        <f t="shared" si="144"/>
        <v>115.4217868409637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0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3.4106051316484809E-13</v>
      </c>
      <c r="BE173" s="13">
        <f>BD173*VLOOKUP('Données projet'!$B$11,Paramètres!$A$1:$I$89,3,0)*VLOOKUP('Données projet'!$B$11,Paramètres!$A$1:$I$89,5,0)</f>
        <v>1.5961632016114892E-13</v>
      </c>
      <c r="BF173" s="13">
        <f t="shared" si="167"/>
        <v>2.2708641912150958E-12</v>
      </c>
      <c r="BG173" s="20">
        <f t="shared" si="168"/>
        <v>4.2330868906469593E-12</v>
      </c>
      <c r="BH173" s="59">
        <f t="shared" si="116"/>
        <v>293.33333333333752</v>
      </c>
      <c r="BI173" s="59">
        <f ca="1">AVERAGE(OFFSET($BH$3,0,0,'Données projet'!$E$11+1,1))-AVERAGE(OFFSET($H$3,0,0,'Données projet'!$E$11+1,1))</f>
        <v>158.58786357608489</v>
      </c>
      <c r="BJ173" s="59">
        <f t="shared" si="146"/>
        <v>163.20074068819849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0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>
        <f>BY173*VLOOKUP('Données projet'!$B$12,Paramètres!$A$1:$I$89,3,0)*VLOOKUP('Données projet'!$B$12,Paramètres!$A$1:$I$89,5,0)</f>
        <v>0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255.41017495879987</v>
      </c>
      <c r="CE173" s="59">
        <f t="shared" si="148"/>
        <v>297.50513563712764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0.52149901872238902</v>
      </c>
      <c r="CL173" s="21">
        <f>EXP(-LN(2)/25)*CL172+(1-EXP(-LN(2)/25))/(LN(2)/25)*Calculateur!CG173*Calculateur!CI173*VLOOKUP('Données projet'!$B$12,Paramètres!$A$1:$I$89,3,0)*0.475*44/12</f>
        <v>0.5746017330523997</v>
      </c>
      <c r="CM173" s="21">
        <f>EXP(-LN(2)/2)*CM172+(1-EXP(-LN(2)/2))/(LN(2)/2)*CG173*CJ173*VLOOKUP('Données projet'!$B$12,Paramètres!$A$1:$I$89,3,0)*0.475*44/12</f>
        <v>2.0668612845213981E-20</v>
      </c>
      <c r="CN173" s="22">
        <f t="shared" si="172"/>
        <v>1.0961007517747887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-1.4210854715202004E-13</v>
      </c>
      <c r="CU173" s="17">
        <f>CT173*VLOOKUP('Données projet'!$B$13,Paramètres!$A$1:$I$89,3,0)*VLOOKUP('Données projet'!$B$13,Paramètres!$A$1:$I$89,5,0)</f>
        <v>-8.128608897095547E-14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134.70214882504786</v>
      </c>
      <c r="CZ173" s="59">
        <f t="shared" si="150"/>
        <v>102.18553029667771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6.6437364427421944E-2</v>
      </c>
      <c r="DG173" s="21">
        <f>EXP(-LN(2)/25)*DG172+(1-EXP(-LN(2)/25))/(LN(2)/25)*Calculateur!DB173*Calculateur!DD173*VLOOKUP('Données projet'!$B$13,Paramètres!$A$1:$I$89,3,0)*0.475*44/12</f>
        <v>0.25873999524246122</v>
      </c>
      <c r="DH173" s="21">
        <f>EXP(-LN(2)/2)*DH172+(1-EXP(-LN(2)/2))/(LN(2)/2)*DB173*DE173*VLOOKUP('Données projet'!$B$13,Paramètres!$A$1:$I$89,3,0)*0.475*44/12</f>
        <v>6.5271481567342138E-21</v>
      </c>
      <c r="DI173" s="22">
        <f t="shared" si="175"/>
        <v>0.32517735966988315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-2.8421709430404007E-13</v>
      </c>
      <c r="DP173" s="17">
        <f>DO173*VLOOKUP('Données projet'!$B$14,Paramètres!$A$1:$I$89,3,0)*VLOOKUP('Données projet'!$B$14,Paramètres!$A$1:$I$89,5,0)</f>
        <v>-1.69961822393816E-13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179.32848817523677</v>
      </c>
      <c r="DU173" s="59">
        <f t="shared" si="152"/>
        <v>131.3292389103035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</v>
      </c>
      <c r="EB173" s="21">
        <f>EXP(-LN(2)/25)*EB172+(1-EXP(-LN(2)/25))/(LN(2)/25)*Calculateur!DW173*Calculateur!DY173*VLOOKUP('Données projet'!$B$14,Paramètres!$A$1:$I$89,3,0)*0.475*44/12</f>
        <v>0.27173777858852388</v>
      </c>
      <c r="EC173" s="21">
        <f>EXP(-LN(2)/2)*EC172+(1-EXP(-LN(2)/2))/(LN(2)/2)*DW173*DZ173*VLOOKUP('Données projet'!$B$14,Paramètres!$A$1:$I$89,3,0)*0.475*44/12</f>
        <v>4.4578237596226096E-21</v>
      </c>
      <c r="ED173" s="22">
        <f t="shared" si="178"/>
        <v>0.27173777858852388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-2.2737367544323206E-13</v>
      </c>
      <c r="EK173" s="17">
        <f>EJ173*VLOOKUP('Données projet'!$B$15,Paramètres!$A$1:$I$89,3,0)*VLOOKUP('Données projet'!$B$15,Paramètres!$A$1:$I$89,5,0)</f>
        <v>-1.0049916454590858E-13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191.932060106699</v>
      </c>
      <c r="EP173" s="59">
        <f t="shared" si="154"/>
        <v>260.28593152736903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0.15270550695181628</v>
      </c>
      <c r="EW173" s="21">
        <f>EXP(-LN(2)/25)*EW172+(1-EXP(-LN(2)/25))/(LN(2)/25)*Calculateur!ER173*Calculateur!ET173*VLOOKUP('Données projet'!$B$15,Paramètres!$A$1:$I$89,3,0)*0.475*44/12</f>
        <v>0.26018510106566695</v>
      </c>
      <c r="EX173" s="21">
        <f>EXP(-LN(2)/2)*EX172+(1-EXP(-LN(2)/2))/(LN(2)/2)*ER173*EU173*VLOOKUP('Données projet'!$B$15,Paramètres!$A$1:$I$89,3,0)*0.475*44/12</f>
        <v>1.1336486210285461E-21</v>
      </c>
      <c r="EY173" s="22">
        <f t="shared" si="181"/>
        <v>0.41289060801748323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181.00000000000009</v>
      </c>
      <c r="FF173" s="17">
        <f>FE173*VLOOKUP('Données projet'!$B$16,Paramètres!$A$1:$I$89,3,0)*VLOOKUP('Données projet'!$B$16,Paramètres!$A$1:$I$89,5,0)</f>
        <v>175.06320000000008</v>
      </c>
      <c r="FG173" s="13">
        <f t="shared" si="182"/>
        <v>44.222067746824763</v>
      </c>
      <c r="FH173" s="20">
        <f t="shared" si="183"/>
        <v>381.92184132571992</v>
      </c>
      <c r="FI173" s="59">
        <f t="shared" si="131"/>
        <v>675.25517465905318</v>
      </c>
      <c r="FJ173" s="59">
        <f ca="1">AVERAGE(OFFSET($FI$3,0,0,'Données projet'!$E$16+1,1))-AVERAGE(OFFSET($H$3,0,0,'Données projet'!$E$16+1,1))</f>
        <v>102.86738524979938</v>
      </c>
      <c r="FK173" s="59">
        <f t="shared" si="156"/>
        <v>56.347130462109817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0</v>
      </c>
      <c r="FR173" s="21">
        <f>EXP(-LN(2)/25)*FR172+(1-EXP(-LN(2)/25))/(LN(2)/25)*Calculateur!FM173*Calculateur!FO173*VLOOKUP('Données projet'!$B$16,Paramètres!$A$1:$I$89,3,0)*0.475*44/12</f>
        <v>0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0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300.00000000000068</v>
      </c>
      <c r="GA173" s="17">
        <f>FZ173*VLOOKUP('Données projet'!$B$17,Paramètres!$A$1:$I$89,3,0)*VLOOKUP('Données projet'!$B$17,Paramètres!$A$1:$I$89,5,0)</f>
        <v>201.24000000000046</v>
      </c>
      <c r="GB173" s="13">
        <f t="shared" si="185"/>
        <v>50.01658408633331</v>
      </c>
      <c r="GC173" s="20">
        <f t="shared" si="186"/>
        <v>437.60521728369798</v>
      </c>
      <c r="GD173" s="59">
        <f t="shared" si="134"/>
        <v>730.9385506170313</v>
      </c>
      <c r="GE173" s="59">
        <f ca="1">AVERAGE(OFFSET($GD$3,0,0,'Données projet'!$E$17+1,1))-AVERAGE(OFFSET($H$3,0,0,'Données projet'!$E$17+1,1))</f>
        <v>168.00454652899231</v>
      </c>
      <c r="GF173" s="59">
        <f t="shared" si="158"/>
        <v>135.31958994080446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0</v>
      </c>
      <c r="GM173" s="21">
        <f>EXP(-LN(2)/25)*GM172+(1-EXP(-LN(2)/25))/(LN(2)/25)*Calculateur!GH173*Calculateur!GJ173*VLOOKUP('Données projet'!$B$17,Paramètres!$A$1:$I$89,3,0)*0.475*44/12</f>
        <v>0</v>
      </c>
      <c r="GN173" s="21">
        <f>EXP(-LN(2)/2)*GN172+(1-EXP(-LN(2)/2))/(LN(2)/2)*GH173*GK173*VLOOKUP('Données projet'!$B$17,Paramètres!$A$1:$I$89,3,0)*0.475*44/12</f>
        <v>0</v>
      </c>
      <c r="GO173" s="21">
        <f t="shared" si="187"/>
        <v>0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4.5474735088646412E-13</v>
      </c>
      <c r="O174" s="13">
        <f>N174*VLOOKUP('Données projet'!$B$9,Paramètres!$A$1:$I$89,3,0)*VLOOKUP('Données projet'!$B$9,Paramètres!$A$1:$I$89,5,0)</f>
        <v>4.1145540308207271E-13</v>
      </c>
      <c r="P174" s="13">
        <f t="shared" si="141"/>
        <v>5.2428527960910789E-12</v>
      </c>
      <c r="Q174" s="20">
        <f t="shared" si="162"/>
        <v>9.8479201135599071E-12</v>
      </c>
      <c r="R174" s="59">
        <f t="shared" si="109"/>
        <v>293.33333333334315</v>
      </c>
      <c r="S174" s="59">
        <f ca="1">AVERAGE(OFFSET($R$3,0,0,'Données projet'!$E$9+1,1))-AVERAGE(OFFSET($H$3,0,0,'Données projet'!$E$9+1,1))</f>
        <v>221.7429870520005</v>
      </c>
      <c r="T174" s="59">
        <f t="shared" si="142"/>
        <v>182.2029938397186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0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-5.6843418860808015E-13</v>
      </c>
      <c r="AJ174" s="13">
        <f>AI174*VLOOKUP('Données projet'!$B$10,Paramètres!$A$1:$I$89,3,0)*VLOOKUP('Données projet'!$B$10,Paramètres!$A$1:$I$89,5,0)</f>
        <v>-5.1431925385259092E-13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153.45079678708987</v>
      </c>
      <c r="AO174" s="59">
        <f t="shared" si="144"/>
        <v>115.4217868409637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0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3.4106051316484809E-13</v>
      </c>
      <c r="BE174" s="13">
        <f>BD174*VLOOKUP('Données projet'!$B$11,Paramètres!$A$1:$I$89,3,0)*VLOOKUP('Données projet'!$B$11,Paramètres!$A$1:$I$89,5,0)</f>
        <v>1.5961632016114892E-13</v>
      </c>
      <c r="BF174" s="13">
        <f t="shared" si="167"/>
        <v>2.2708641912150958E-12</v>
      </c>
      <c r="BG174" s="20">
        <f t="shared" si="168"/>
        <v>4.2330868906469593E-12</v>
      </c>
      <c r="BH174" s="59">
        <f t="shared" si="116"/>
        <v>293.33333333333752</v>
      </c>
      <c r="BI174" s="59">
        <f ca="1">AVERAGE(OFFSET($BH$3,0,0,'Données projet'!$E$11+1,1))-AVERAGE(OFFSET($H$3,0,0,'Données projet'!$E$11+1,1))</f>
        <v>158.58786357608489</v>
      </c>
      <c r="BJ174" s="59">
        <f t="shared" si="146"/>
        <v>163.20074068819849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0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>
        <f>BY174*VLOOKUP('Données projet'!$B$12,Paramètres!$A$1:$I$89,3,0)*VLOOKUP('Données projet'!$B$12,Paramètres!$A$1:$I$89,5,0)</f>
        <v>0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255.41017495879987</v>
      </c>
      <c r="CE174" s="59">
        <f t="shared" si="148"/>
        <v>297.50513563712764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0.51127274104823628</v>
      </c>
      <c r="CL174" s="21">
        <f>EXP(-LN(2)/25)*CL173+(1-EXP(-LN(2)/25))/(LN(2)/25)*Calculateur!CG174*Calculateur!CI174*VLOOKUP('Données projet'!$B$12,Paramètres!$A$1:$I$89,3,0)*0.475*44/12</f>
        <v>0.55888921844508999</v>
      </c>
      <c r="CM174" s="21">
        <f>EXP(-LN(2)/2)*CM173+(1-EXP(-LN(2)/2))/(LN(2)/2)*CG174*CJ174*VLOOKUP('Données projet'!$B$12,Paramètres!$A$1:$I$89,3,0)*0.475*44/12</f>
        <v>1.4614916300570188E-20</v>
      </c>
      <c r="CN174" s="22">
        <f t="shared" si="172"/>
        <v>1.0701619594933263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-1.4210854715202004E-13</v>
      </c>
      <c r="CU174" s="17">
        <f>CT174*VLOOKUP('Données projet'!$B$13,Paramètres!$A$1:$I$89,3,0)*VLOOKUP('Données projet'!$B$13,Paramètres!$A$1:$I$89,5,0)</f>
        <v>-8.128608897095547E-14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134.70214882504786</v>
      </c>
      <c r="CZ174" s="59">
        <f t="shared" si="150"/>
        <v>102.18553029667771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6.5134568233791212E-2</v>
      </c>
      <c r="DG174" s="21">
        <f>EXP(-LN(2)/25)*DG173+(1-EXP(-LN(2)/25))/(LN(2)/25)*Calculateur!DB174*Calculateur!DD174*VLOOKUP('Données projet'!$B$13,Paramètres!$A$1:$I$89,3,0)*0.475*44/12</f>
        <v>0.25166473646601112</v>
      </c>
      <c r="DH174" s="21">
        <f>EXP(-LN(2)/2)*DH173+(1-EXP(-LN(2)/2))/(LN(2)/2)*DB174*DE174*VLOOKUP('Données projet'!$B$13,Paramètres!$A$1:$I$89,3,0)*0.475*44/12</f>
        <v>4.6153907234360367E-21</v>
      </c>
      <c r="DI174" s="22">
        <f t="shared" si="175"/>
        <v>0.31679930469980233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-2.8421709430404007E-13</v>
      </c>
      <c r="DP174" s="17">
        <f>DO174*VLOOKUP('Données projet'!$B$14,Paramètres!$A$1:$I$89,3,0)*VLOOKUP('Données projet'!$B$14,Paramètres!$A$1:$I$89,5,0)</f>
        <v>-1.69961822393816E-13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179.32848817523677</v>
      </c>
      <c r="DU174" s="59">
        <f t="shared" si="152"/>
        <v>131.3292389103035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</v>
      </c>
      <c r="EB174" s="21">
        <f>EXP(-LN(2)/25)*EB173+(1-EXP(-LN(2)/25))/(LN(2)/25)*Calculateur!DW174*Calculateur!DY174*VLOOKUP('Données projet'!$B$14,Paramètres!$A$1:$I$89,3,0)*0.475*44/12</f>
        <v>0.264307094742952</v>
      </c>
      <c r="EC174" s="21">
        <f>EXP(-LN(2)/2)*EC173+(1-EXP(-LN(2)/2))/(LN(2)/2)*DW174*DZ174*VLOOKUP('Données projet'!$B$14,Paramètres!$A$1:$I$89,3,0)*0.475*44/12</f>
        <v>3.1521574097636573E-21</v>
      </c>
      <c r="ED174" s="22">
        <f t="shared" si="178"/>
        <v>0.264307094742952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-2.2737367544323206E-13</v>
      </c>
      <c r="EK174" s="17">
        <f>EJ174*VLOOKUP('Données projet'!$B$15,Paramètres!$A$1:$I$89,3,0)*VLOOKUP('Données projet'!$B$15,Paramètres!$A$1:$I$89,5,0)</f>
        <v>-1.0049916454590858E-13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191.932060106699</v>
      </c>
      <c r="EP174" s="59">
        <f t="shared" si="154"/>
        <v>260.28593152736903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0.14971104510165348</v>
      </c>
      <c r="EW174" s="21">
        <f>EXP(-LN(2)/25)*EW173+(1-EXP(-LN(2)/25))/(LN(2)/25)*Calculateur!ER174*Calculateur!ET174*VLOOKUP('Données projet'!$B$15,Paramètres!$A$1:$I$89,3,0)*0.475*44/12</f>
        <v>0.25307032579448646</v>
      </c>
      <c r="EX174" s="21">
        <f>EXP(-LN(2)/2)*EX173+(1-EXP(-LN(2)/2))/(LN(2)/2)*ER174*EU174*VLOOKUP('Données projet'!$B$15,Paramètres!$A$1:$I$89,3,0)*0.475*44/12</f>
        <v>8.0161062741206351E-22</v>
      </c>
      <c r="EY174" s="22">
        <f t="shared" si="181"/>
        <v>0.40278137089613997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181.00000000000009</v>
      </c>
      <c r="FF174" s="17">
        <f>FE174*VLOOKUP('Données projet'!$B$16,Paramètres!$A$1:$I$89,3,0)*VLOOKUP('Données projet'!$B$16,Paramètres!$A$1:$I$89,5,0)</f>
        <v>175.06320000000008</v>
      </c>
      <c r="FG174" s="13">
        <f t="shared" si="182"/>
        <v>44.222067746824763</v>
      </c>
      <c r="FH174" s="20">
        <f t="shared" si="183"/>
        <v>381.92184132571992</v>
      </c>
      <c r="FI174" s="59">
        <f t="shared" si="131"/>
        <v>675.25517465905318</v>
      </c>
      <c r="FJ174" s="59">
        <f ca="1">AVERAGE(OFFSET($FI$3,0,0,'Données projet'!$E$16+1,1))-AVERAGE(OFFSET($H$3,0,0,'Données projet'!$E$16+1,1))</f>
        <v>102.86738524979938</v>
      </c>
      <c r="FK174" s="59">
        <f t="shared" si="156"/>
        <v>56.347130462109817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0</v>
      </c>
      <c r="FR174" s="21">
        <f>EXP(-LN(2)/25)*FR173+(1-EXP(-LN(2)/25))/(LN(2)/25)*Calculateur!FM174*Calculateur!FO174*VLOOKUP('Données projet'!$B$16,Paramètres!$A$1:$I$89,3,0)*0.475*44/12</f>
        <v>0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0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300.00000000000068</v>
      </c>
      <c r="GA174" s="17">
        <f>FZ174*VLOOKUP('Données projet'!$B$17,Paramètres!$A$1:$I$89,3,0)*VLOOKUP('Données projet'!$B$17,Paramètres!$A$1:$I$89,5,0)</f>
        <v>201.24000000000046</v>
      </c>
      <c r="GB174" s="13">
        <f t="shared" si="185"/>
        <v>50.01658408633331</v>
      </c>
      <c r="GC174" s="20">
        <f t="shared" si="186"/>
        <v>437.60521728369798</v>
      </c>
      <c r="GD174" s="59">
        <f t="shared" si="134"/>
        <v>730.9385506170313</v>
      </c>
      <c r="GE174" s="59">
        <f ca="1">AVERAGE(OFFSET($GD$3,0,0,'Données projet'!$E$17+1,1))-AVERAGE(OFFSET($H$3,0,0,'Données projet'!$E$17+1,1))</f>
        <v>168.00454652899231</v>
      </c>
      <c r="GF174" s="59">
        <f t="shared" si="158"/>
        <v>135.31958994080446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0</v>
      </c>
      <c r="GM174" s="21">
        <f>EXP(-LN(2)/25)*GM173+(1-EXP(-LN(2)/25))/(LN(2)/25)*Calculateur!GH174*Calculateur!GJ174*VLOOKUP('Données projet'!$B$17,Paramètres!$A$1:$I$89,3,0)*0.475*44/12</f>
        <v>0</v>
      </c>
      <c r="GN174" s="21">
        <f>EXP(-LN(2)/2)*GN173+(1-EXP(-LN(2)/2))/(LN(2)/2)*GH174*GK174*VLOOKUP('Données projet'!$B$17,Paramètres!$A$1:$I$89,3,0)*0.475*44/12</f>
        <v>0</v>
      </c>
      <c r="GO174" s="21">
        <f t="shared" si="187"/>
        <v>0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4.5474735088646412E-13</v>
      </c>
      <c r="O175" s="13">
        <f>N175*VLOOKUP('Données projet'!$B$9,Paramètres!$A$1:$I$89,3,0)*VLOOKUP('Données projet'!$B$9,Paramètres!$A$1:$I$89,5,0)</f>
        <v>4.1145540308207271E-13</v>
      </c>
      <c r="P175" s="13">
        <f t="shared" si="141"/>
        <v>5.2428527960910789E-12</v>
      </c>
      <c r="Q175" s="20">
        <f t="shared" si="162"/>
        <v>9.8479201135599071E-12</v>
      </c>
      <c r="R175" s="59">
        <f t="shared" si="109"/>
        <v>293.33333333334315</v>
      </c>
      <c r="S175" s="59">
        <f ca="1">AVERAGE(OFFSET($R$3,0,0,'Données projet'!$E$9+1,1))-AVERAGE(OFFSET($H$3,0,0,'Données projet'!$E$9+1,1))</f>
        <v>221.7429870520005</v>
      </c>
      <c r="T175" s="59">
        <f t="shared" si="142"/>
        <v>182.2029938397186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0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-5.6843418860808015E-13</v>
      </c>
      <c r="AJ175" s="13">
        <f>AI175*VLOOKUP('Données projet'!$B$10,Paramètres!$A$1:$I$89,3,0)*VLOOKUP('Données projet'!$B$10,Paramètres!$A$1:$I$89,5,0)</f>
        <v>-5.1431925385259092E-13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153.45079678708987</v>
      </c>
      <c r="AO175" s="59">
        <f t="shared" si="144"/>
        <v>115.4217868409637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0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3.4106051316484809E-13</v>
      </c>
      <c r="BE175" s="13">
        <f>BD175*VLOOKUP('Données projet'!$B$11,Paramètres!$A$1:$I$89,3,0)*VLOOKUP('Données projet'!$B$11,Paramètres!$A$1:$I$89,5,0)</f>
        <v>1.5961632016114892E-13</v>
      </c>
      <c r="BF175" s="13">
        <f t="shared" si="167"/>
        <v>2.2708641912150958E-12</v>
      </c>
      <c r="BG175" s="20">
        <f t="shared" si="168"/>
        <v>4.2330868906469593E-12</v>
      </c>
      <c r="BH175" s="59">
        <f t="shared" si="116"/>
        <v>293.33333333333752</v>
      </c>
      <c r="BI175" s="59">
        <f ca="1">AVERAGE(OFFSET($BH$3,0,0,'Données projet'!$E$11+1,1))-AVERAGE(OFFSET($H$3,0,0,'Données projet'!$E$11+1,1))</f>
        <v>158.58786357608489</v>
      </c>
      <c r="BJ175" s="59">
        <f t="shared" si="146"/>
        <v>163.20074068819849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0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>
        <f>BY175*VLOOKUP('Données projet'!$B$12,Paramètres!$A$1:$I$89,3,0)*VLOOKUP('Données projet'!$B$12,Paramètres!$A$1:$I$89,5,0)</f>
        <v>0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255.41017495879987</v>
      </c>
      <c r="CE175" s="59">
        <f t="shared" si="148"/>
        <v>297.50513563712764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0.50124699444186016</v>
      </c>
      <c r="CL175" s="21">
        <f>EXP(-LN(2)/25)*CL174+(1-EXP(-LN(2)/25))/(LN(2)/25)*Calculateur!CG175*Calculateur!CI175*VLOOKUP('Données projet'!$B$12,Paramètres!$A$1:$I$89,3,0)*0.475*44/12</f>
        <v>0.54360636337600232</v>
      </c>
      <c r="CM175" s="21">
        <f>EXP(-LN(2)/2)*CM174+(1-EXP(-LN(2)/2))/(LN(2)/2)*CG175*CJ175*VLOOKUP('Données projet'!$B$12,Paramètres!$A$1:$I$89,3,0)*0.475*44/12</f>
        <v>1.0334306422606991E-20</v>
      </c>
      <c r="CN175" s="22">
        <f t="shared" si="172"/>
        <v>1.0448533578178625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-1.4210854715202004E-13</v>
      </c>
      <c r="CU175" s="17">
        <f>CT175*VLOOKUP('Données projet'!$B$13,Paramètres!$A$1:$I$89,3,0)*VLOOKUP('Données projet'!$B$13,Paramètres!$A$1:$I$89,5,0)</f>
        <v>-8.128608897095547E-14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134.70214882504786</v>
      </c>
      <c r="CZ175" s="59">
        <f t="shared" si="150"/>
        <v>102.18553029667771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6.3857319078890362E-2</v>
      </c>
      <c r="DG175" s="21">
        <f>EXP(-LN(2)/25)*DG174+(1-EXP(-LN(2)/25))/(LN(2)/25)*Calculateur!DB175*Calculateur!DD175*VLOOKUP('Données projet'!$B$13,Paramètres!$A$1:$I$89,3,0)*0.475*44/12</f>
        <v>0.24478295101287473</v>
      </c>
      <c r="DH175" s="21">
        <f>EXP(-LN(2)/2)*DH174+(1-EXP(-LN(2)/2))/(LN(2)/2)*DB175*DE175*VLOOKUP('Données projet'!$B$13,Paramètres!$A$1:$I$89,3,0)*0.475*44/12</f>
        <v>3.2635740783671069E-21</v>
      </c>
      <c r="DI175" s="22">
        <f t="shared" si="175"/>
        <v>0.30864027009176509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-2.8421709430404007E-13</v>
      </c>
      <c r="DP175" s="17">
        <f>DO175*VLOOKUP('Données projet'!$B$14,Paramètres!$A$1:$I$89,3,0)*VLOOKUP('Données projet'!$B$14,Paramètres!$A$1:$I$89,5,0)</f>
        <v>-1.69961822393816E-13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179.32848817523677</v>
      </c>
      <c r="DU175" s="59">
        <f t="shared" si="152"/>
        <v>131.3292389103035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</v>
      </c>
      <c r="EB175" s="21">
        <f>EXP(-LN(2)/25)*EB174+(1-EXP(-LN(2)/25))/(LN(2)/25)*Calculateur!DW175*Calculateur!DY175*VLOOKUP('Données projet'!$B$14,Paramètres!$A$1:$I$89,3,0)*0.475*44/12</f>
        <v>0.25707960333789992</v>
      </c>
      <c r="EC175" s="21">
        <f>EXP(-LN(2)/2)*EC174+(1-EXP(-LN(2)/2))/(LN(2)/2)*DW175*DZ175*VLOOKUP('Données projet'!$B$14,Paramètres!$A$1:$I$89,3,0)*0.475*44/12</f>
        <v>2.2289118798113048E-21</v>
      </c>
      <c r="ED175" s="22">
        <f t="shared" si="178"/>
        <v>0.25707960333789992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-2.2737367544323206E-13</v>
      </c>
      <c r="EK175" s="17">
        <f>EJ175*VLOOKUP('Données projet'!$B$15,Paramètres!$A$1:$I$89,3,0)*VLOOKUP('Données projet'!$B$15,Paramètres!$A$1:$I$89,5,0)</f>
        <v>-1.0049916454590858E-13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191.932060106699</v>
      </c>
      <c r="EP175" s="59">
        <f t="shared" si="154"/>
        <v>260.28593152736903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0.14677530282193099</v>
      </c>
      <c r="EW175" s="21">
        <f>EXP(-LN(2)/25)*EW174+(1-EXP(-LN(2)/25))/(LN(2)/25)*Calculateur!ER175*Calculateur!ET175*VLOOKUP('Données projet'!$B$15,Paramètres!$A$1:$I$89,3,0)*0.475*44/12</f>
        <v>0.24615010442724619</v>
      </c>
      <c r="EX175" s="21">
        <f>EXP(-LN(2)/2)*EX174+(1-EXP(-LN(2)/2))/(LN(2)/2)*ER175*EU175*VLOOKUP('Données projet'!$B$15,Paramètres!$A$1:$I$89,3,0)*0.475*44/12</f>
        <v>5.6682431051427306E-22</v>
      </c>
      <c r="EY175" s="22">
        <f t="shared" si="181"/>
        <v>0.39292540724917718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181.00000000000009</v>
      </c>
      <c r="FF175" s="17">
        <f>FE175*VLOOKUP('Données projet'!$B$16,Paramètres!$A$1:$I$89,3,0)*VLOOKUP('Données projet'!$B$16,Paramètres!$A$1:$I$89,5,0)</f>
        <v>175.06320000000008</v>
      </c>
      <c r="FG175" s="13">
        <f t="shared" si="182"/>
        <v>44.222067746824763</v>
      </c>
      <c r="FH175" s="20">
        <f t="shared" si="183"/>
        <v>381.92184132571992</v>
      </c>
      <c r="FI175" s="59">
        <f t="shared" si="131"/>
        <v>675.25517465905318</v>
      </c>
      <c r="FJ175" s="59">
        <f ca="1">AVERAGE(OFFSET($FI$3,0,0,'Données projet'!$E$16+1,1))-AVERAGE(OFFSET($H$3,0,0,'Données projet'!$E$16+1,1))</f>
        <v>102.86738524979938</v>
      </c>
      <c r="FK175" s="59">
        <f t="shared" si="156"/>
        <v>56.347130462109817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0</v>
      </c>
      <c r="FR175" s="21">
        <f>EXP(-LN(2)/25)*FR174+(1-EXP(-LN(2)/25))/(LN(2)/25)*Calculateur!FM175*Calculateur!FO175*VLOOKUP('Données projet'!$B$16,Paramètres!$A$1:$I$89,3,0)*0.475*44/12</f>
        <v>0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0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300.00000000000068</v>
      </c>
      <c r="GA175" s="17">
        <f>FZ175*VLOOKUP('Données projet'!$B$17,Paramètres!$A$1:$I$89,3,0)*VLOOKUP('Données projet'!$B$17,Paramètres!$A$1:$I$89,5,0)</f>
        <v>201.24000000000046</v>
      </c>
      <c r="GB175" s="13">
        <f t="shared" si="185"/>
        <v>50.01658408633331</v>
      </c>
      <c r="GC175" s="20">
        <f t="shared" si="186"/>
        <v>437.60521728369798</v>
      </c>
      <c r="GD175" s="59">
        <f t="shared" si="134"/>
        <v>730.9385506170313</v>
      </c>
      <c r="GE175" s="59">
        <f ca="1">AVERAGE(OFFSET($GD$3,0,0,'Données projet'!$E$17+1,1))-AVERAGE(OFFSET($H$3,0,0,'Données projet'!$E$17+1,1))</f>
        <v>168.00454652899231</v>
      </c>
      <c r="GF175" s="59">
        <f t="shared" si="158"/>
        <v>135.31958994080446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0</v>
      </c>
      <c r="GM175" s="21">
        <f>EXP(-LN(2)/25)*GM174+(1-EXP(-LN(2)/25))/(LN(2)/25)*Calculateur!GH175*Calculateur!GJ175*VLOOKUP('Données projet'!$B$17,Paramètres!$A$1:$I$89,3,0)*0.475*44/12</f>
        <v>0</v>
      </c>
      <c r="GN175" s="21">
        <f>EXP(-LN(2)/2)*GN174+(1-EXP(-LN(2)/2))/(LN(2)/2)*GH175*GK175*VLOOKUP('Données projet'!$B$17,Paramètres!$A$1:$I$89,3,0)*0.475*44/12</f>
        <v>0</v>
      </c>
      <c r="GO175" s="21">
        <f t="shared" si="187"/>
        <v>0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4.5474735088646412E-13</v>
      </c>
      <c r="O176" s="13">
        <f>N176*VLOOKUP('Données projet'!$B$9,Paramètres!$A$1:$I$89,3,0)*VLOOKUP('Données projet'!$B$9,Paramètres!$A$1:$I$89,5,0)</f>
        <v>4.1145540308207271E-13</v>
      </c>
      <c r="P176" s="13">
        <f t="shared" si="141"/>
        <v>5.2428527960910789E-12</v>
      </c>
      <c r="Q176" s="20">
        <f t="shared" si="162"/>
        <v>9.8479201135599071E-12</v>
      </c>
      <c r="R176" s="59">
        <f t="shared" si="109"/>
        <v>293.33333333334315</v>
      </c>
      <c r="S176" s="59">
        <f ca="1">AVERAGE(OFFSET($R$3,0,0,'Données projet'!$E$9+1,1))-AVERAGE(OFFSET($H$3,0,0,'Données projet'!$E$9+1,1))</f>
        <v>221.7429870520005</v>
      </c>
      <c r="T176" s="59">
        <f t="shared" si="142"/>
        <v>182.2029938397186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0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-5.6843418860808015E-13</v>
      </c>
      <c r="AJ176" s="13">
        <f>AI176*VLOOKUP('Données projet'!$B$10,Paramètres!$A$1:$I$89,3,0)*VLOOKUP('Données projet'!$B$10,Paramètres!$A$1:$I$89,5,0)</f>
        <v>-5.1431925385259092E-13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153.45079678708987</v>
      </c>
      <c r="AO176" s="59">
        <f t="shared" si="144"/>
        <v>115.4217868409637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0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3.4106051316484809E-13</v>
      </c>
      <c r="BE176" s="13">
        <f>BD176*VLOOKUP('Données projet'!$B$11,Paramètres!$A$1:$I$89,3,0)*VLOOKUP('Données projet'!$B$11,Paramètres!$A$1:$I$89,5,0)</f>
        <v>1.5961632016114892E-13</v>
      </c>
      <c r="BF176" s="13">
        <f t="shared" si="167"/>
        <v>2.2708641912150958E-12</v>
      </c>
      <c r="BG176" s="20">
        <f t="shared" si="168"/>
        <v>4.2330868906469593E-12</v>
      </c>
      <c r="BH176" s="59">
        <f t="shared" si="116"/>
        <v>293.33333333333752</v>
      </c>
      <c r="BI176" s="59">
        <f ca="1">AVERAGE(OFFSET($BH$3,0,0,'Données projet'!$E$11+1,1))-AVERAGE(OFFSET($H$3,0,0,'Données projet'!$E$11+1,1))</f>
        <v>158.58786357608489</v>
      </c>
      <c r="BJ176" s="59">
        <f t="shared" si="146"/>
        <v>163.20074068819849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0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>
        <f>BY176*VLOOKUP('Données projet'!$B$12,Paramètres!$A$1:$I$89,3,0)*VLOOKUP('Données projet'!$B$12,Paramètres!$A$1:$I$89,5,0)</f>
        <v>0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255.41017495879987</v>
      </c>
      <c r="CE176" s="59">
        <f t="shared" si="148"/>
        <v>297.50513563712764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0.49141784661133353</v>
      </c>
      <c r="CL176" s="21">
        <f>EXP(-LN(2)/25)*CL175+(1-EXP(-LN(2)/25))/(LN(2)/25)*Calculateur!CG176*Calculateur!CI176*VLOOKUP('Données projet'!$B$12,Paramètres!$A$1:$I$89,3,0)*0.475*44/12</f>
        <v>0.52874141878246927</v>
      </c>
      <c r="CM176" s="21">
        <f>EXP(-LN(2)/2)*CM175+(1-EXP(-LN(2)/2))/(LN(2)/2)*CG176*CJ176*VLOOKUP('Données projet'!$B$12,Paramètres!$A$1:$I$89,3,0)*0.475*44/12</f>
        <v>7.3074581502850939E-21</v>
      </c>
      <c r="CN176" s="22">
        <f t="shared" si="172"/>
        <v>1.0201592653938027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-1.4210854715202004E-13</v>
      </c>
      <c r="CU176" s="17">
        <f>CT176*VLOOKUP('Données projet'!$B$13,Paramètres!$A$1:$I$89,3,0)*VLOOKUP('Données projet'!$B$13,Paramètres!$A$1:$I$89,5,0)</f>
        <v>-8.128608897095547E-14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134.70214882504786</v>
      </c>
      <c r="CZ176" s="59">
        <f t="shared" si="150"/>
        <v>102.18553029667771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6.2605116000872055E-2</v>
      </c>
      <c r="DG176" s="21">
        <f>EXP(-LN(2)/25)*DG175+(1-EXP(-LN(2)/25))/(LN(2)/25)*Calculateur!DB176*Calculateur!DD176*VLOOKUP('Données projet'!$B$13,Paramètres!$A$1:$I$89,3,0)*0.475*44/12</f>
        <v>0.23808934834485174</v>
      </c>
      <c r="DH176" s="21">
        <f>EXP(-LN(2)/2)*DH175+(1-EXP(-LN(2)/2))/(LN(2)/2)*DB176*DE176*VLOOKUP('Données projet'!$B$13,Paramètres!$A$1:$I$89,3,0)*0.475*44/12</f>
        <v>2.3076953617180183E-21</v>
      </c>
      <c r="DI176" s="22">
        <f t="shared" si="175"/>
        <v>0.30069446434572378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-2.8421709430404007E-13</v>
      </c>
      <c r="DP176" s="17">
        <f>DO176*VLOOKUP('Données projet'!$B$14,Paramètres!$A$1:$I$89,3,0)*VLOOKUP('Données projet'!$B$14,Paramètres!$A$1:$I$89,5,0)</f>
        <v>-1.69961822393816E-13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179.32848817523677</v>
      </c>
      <c r="DU176" s="59">
        <f t="shared" si="152"/>
        <v>131.3292389103035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</v>
      </c>
      <c r="EB176" s="21">
        <f>EXP(-LN(2)/25)*EB175+(1-EXP(-LN(2)/25))/(LN(2)/25)*Calculateur!DW176*Calculateur!DY176*VLOOKUP('Données projet'!$B$14,Paramètres!$A$1:$I$89,3,0)*0.475*44/12</f>
        <v>0.25004974806539626</v>
      </c>
      <c r="EC176" s="21">
        <f>EXP(-LN(2)/2)*EC175+(1-EXP(-LN(2)/2))/(LN(2)/2)*DW176*DZ176*VLOOKUP('Données projet'!$B$14,Paramètres!$A$1:$I$89,3,0)*0.475*44/12</f>
        <v>1.5760787048818286E-21</v>
      </c>
      <c r="ED176" s="22">
        <f t="shared" si="178"/>
        <v>0.25004974806539626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-2.2737367544323206E-13</v>
      </c>
      <c r="EK176" s="17">
        <f>EJ176*VLOOKUP('Données projet'!$B$15,Paramètres!$A$1:$I$89,3,0)*VLOOKUP('Données projet'!$B$15,Paramètres!$A$1:$I$89,5,0)</f>
        <v>-1.0049916454590858E-13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191.932060106699</v>
      </c>
      <c r="EP176" s="59">
        <f t="shared" si="154"/>
        <v>260.28593152736903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0.14389712865768789</v>
      </c>
      <c r="EW176" s="21">
        <f>EXP(-LN(2)/25)*EW175+(1-EXP(-LN(2)/25))/(LN(2)/25)*Calculateur!ER176*Calculateur!ET176*VLOOKUP('Données projet'!$B$15,Paramètres!$A$1:$I$89,3,0)*0.475*44/12</f>
        <v>0.23941911687721174</v>
      </c>
      <c r="EX176" s="21">
        <f>EXP(-LN(2)/2)*EX175+(1-EXP(-LN(2)/2))/(LN(2)/2)*ER176*EU176*VLOOKUP('Données projet'!$B$15,Paramètres!$A$1:$I$89,3,0)*0.475*44/12</f>
        <v>4.0080531370603176E-22</v>
      </c>
      <c r="EY176" s="22">
        <f t="shared" si="181"/>
        <v>0.38331624553489962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181.00000000000009</v>
      </c>
      <c r="FF176" s="17">
        <f>FE176*VLOOKUP('Données projet'!$B$16,Paramètres!$A$1:$I$89,3,0)*VLOOKUP('Données projet'!$B$16,Paramètres!$A$1:$I$89,5,0)</f>
        <v>175.06320000000008</v>
      </c>
      <c r="FG176" s="13">
        <f t="shared" si="182"/>
        <v>44.222067746824763</v>
      </c>
      <c r="FH176" s="20">
        <f t="shared" si="183"/>
        <v>381.92184132571992</v>
      </c>
      <c r="FI176" s="59">
        <f t="shared" si="131"/>
        <v>675.25517465905318</v>
      </c>
      <c r="FJ176" s="59">
        <f ca="1">AVERAGE(OFFSET($FI$3,0,0,'Données projet'!$E$16+1,1))-AVERAGE(OFFSET($H$3,0,0,'Données projet'!$E$16+1,1))</f>
        <v>102.86738524979938</v>
      </c>
      <c r="FK176" s="59">
        <f t="shared" si="156"/>
        <v>56.347130462109817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0</v>
      </c>
      <c r="FR176" s="21">
        <f>EXP(-LN(2)/25)*FR175+(1-EXP(-LN(2)/25))/(LN(2)/25)*Calculateur!FM176*Calculateur!FO176*VLOOKUP('Données projet'!$B$16,Paramètres!$A$1:$I$89,3,0)*0.475*44/12</f>
        <v>0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0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300.00000000000068</v>
      </c>
      <c r="GA176" s="17">
        <f>FZ176*VLOOKUP('Données projet'!$B$17,Paramètres!$A$1:$I$89,3,0)*VLOOKUP('Données projet'!$B$17,Paramètres!$A$1:$I$89,5,0)</f>
        <v>201.24000000000046</v>
      </c>
      <c r="GB176" s="13">
        <f t="shared" si="185"/>
        <v>50.01658408633331</v>
      </c>
      <c r="GC176" s="20">
        <f t="shared" si="186"/>
        <v>437.60521728369798</v>
      </c>
      <c r="GD176" s="59">
        <f t="shared" si="134"/>
        <v>730.9385506170313</v>
      </c>
      <c r="GE176" s="59">
        <f ca="1">AVERAGE(OFFSET($GD$3,0,0,'Données projet'!$E$17+1,1))-AVERAGE(OFFSET($H$3,0,0,'Données projet'!$E$17+1,1))</f>
        <v>168.00454652899231</v>
      </c>
      <c r="GF176" s="59">
        <f t="shared" si="158"/>
        <v>135.31958994080446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0</v>
      </c>
      <c r="GM176" s="21">
        <f>EXP(-LN(2)/25)*GM175+(1-EXP(-LN(2)/25))/(LN(2)/25)*Calculateur!GH176*Calculateur!GJ176*VLOOKUP('Données projet'!$B$17,Paramètres!$A$1:$I$89,3,0)*0.475*44/12</f>
        <v>0</v>
      </c>
      <c r="GN176" s="21">
        <f>EXP(-LN(2)/2)*GN175+(1-EXP(-LN(2)/2))/(LN(2)/2)*GH176*GK176*VLOOKUP('Données projet'!$B$17,Paramètres!$A$1:$I$89,3,0)*0.475*44/12</f>
        <v>0</v>
      </c>
      <c r="GO176" s="21">
        <f t="shared" si="187"/>
        <v>0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4.5474735088646412E-13</v>
      </c>
      <c r="O177" s="13">
        <f>N177*VLOOKUP('Données projet'!$B$9,Paramètres!$A$1:$I$89,3,0)*VLOOKUP('Données projet'!$B$9,Paramètres!$A$1:$I$89,5,0)</f>
        <v>4.1145540308207271E-13</v>
      </c>
      <c r="P177" s="13">
        <f t="shared" si="141"/>
        <v>5.2428527960910789E-12</v>
      </c>
      <c r="Q177" s="20">
        <f t="shared" si="162"/>
        <v>9.8479201135599071E-12</v>
      </c>
      <c r="R177" s="59">
        <f t="shared" si="109"/>
        <v>293.33333333334315</v>
      </c>
      <c r="S177" s="59">
        <f ca="1">AVERAGE(OFFSET($R$3,0,0,'Données projet'!$E$9+1,1))-AVERAGE(OFFSET($H$3,0,0,'Données projet'!$E$9+1,1))</f>
        <v>221.7429870520005</v>
      </c>
      <c r="T177" s="59">
        <f t="shared" si="142"/>
        <v>182.2029938397186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0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-5.6843418860808015E-13</v>
      </c>
      <c r="AJ177" s="13">
        <f>AI177*VLOOKUP('Données projet'!$B$10,Paramètres!$A$1:$I$89,3,0)*VLOOKUP('Données projet'!$B$10,Paramètres!$A$1:$I$89,5,0)</f>
        <v>-5.1431925385259092E-13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153.45079678708987</v>
      </c>
      <c r="AO177" s="59">
        <f t="shared" si="144"/>
        <v>115.4217868409637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0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3.4106051316484809E-13</v>
      </c>
      <c r="BE177" s="13">
        <f>BD177*VLOOKUP('Données projet'!$B$11,Paramètres!$A$1:$I$89,3,0)*VLOOKUP('Données projet'!$B$11,Paramètres!$A$1:$I$89,5,0)</f>
        <v>1.5961632016114892E-13</v>
      </c>
      <c r="BF177" s="13">
        <f t="shared" si="167"/>
        <v>2.2708641912150958E-12</v>
      </c>
      <c r="BG177" s="20">
        <f t="shared" si="168"/>
        <v>4.2330868906469593E-12</v>
      </c>
      <c r="BH177" s="59">
        <f t="shared" si="116"/>
        <v>293.33333333333752</v>
      </c>
      <c r="BI177" s="59">
        <f ca="1">AVERAGE(OFFSET($BH$3,0,0,'Données projet'!$E$11+1,1))-AVERAGE(OFFSET($H$3,0,0,'Données projet'!$E$11+1,1))</f>
        <v>158.58786357608489</v>
      </c>
      <c r="BJ177" s="59">
        <f t="shared" si="146"/>
        <v>163.20074068819849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0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>
        <f>BY177*VLOOKUP('Données projet'!$B$12,Paramètres!$A$1:$I$89,3,0)*VLOOKUP('Données projet'!$B$12,Paramètres!$A$1:$I$89,5,0)</f>
        <v>0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255.41017495879987</v>
      </c>
      <c r="CE177" s="59">
        <f t="shared" si="148"/>
        <v>297.50513563712764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0.48178144237457532</v>
      </c>
      <c r="CL177" s="21">
        <f>EXP(-LN(2)/25)*CL176+(1-EXP(-LN(2)/25))/(LN(2)/25)*Calculateur!CG177*Calculateur!CI177*VLOOKUP('Données projet'!$B$12,Paramètres!$A$1:$I$89,3,0)*0.475*44/12</f>
        <v>0.51428295688055992</v>
      </c>
      <c r="CM177" s="21">
        <f>EXP(-LN(2)/2)*CM176+(1-EXP(-LN(2)/2))/(LN(2)/2)*CG177*CJ177*VLOOKUP('Données projet'!$B$12,Paramètres!$A$1:$I$89,3,0)*0.475*44/12</f>
        <v>5.1671532113034953E-21</v>
      </c>
      <c r="CN177" s="22">
        <f t="shared" si="172"/>
        <v>0.99606439925513524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-1.4210854715202004E-13</v>
      </c>
      <c r="CU177" s="17">
        <f>CT177*VLOOKUP('Données projet'!$B$13,Paramètres!$A$1:$I$89,3,0)*VLOOKUP('Données projet'!$B$13,Paramètres!$A$1:$I$89,5,0)</f>
        <v>-8.128608897095547E-14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134.70214882504786</v>
      </c>
      <c r="CZ177" s="59">
        <f t="shared" si="150"/>
        <v>102.18553029667771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6.1377467861445226E-2</v>
      </c>
      <c r="DG177" s="21">
        <f>EXP(-LN(2)/25)*DG176+(1-EXP(-LN(2)/25))/(LN(2)/25)*Calculateur!DB177*Calculateur!DD177*VLOOKUP('Données projet'!$B$13,Paramètres!$A$1:$I$89,3,0)*0.475*44/12</f>
        <v>0.23157878259378709</v>
      </c>
      <c r="DH177" s="21">
        <f>EXP(-LN(2)/2)*DH176+(1-EXP(-LN(2)/2))/(LN(2)/2)*DB177*DE177*VLOOKUP('Données projet'!$B$13,Paramètres!$A$1:$I$89,3,0)*0.475*44/12</f>
        <v>1.6317870391835535E-21</v>
      </c>
      <c r="DI177" s="22">
        <f t="shared" si="175"/>
        <v>0.29295625045523233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-2.8421709430404007E-13</v>
      </c>
      <c r="DP177" s="17">
        <f>DO177*VLOOKUP('Données projet'!$B$14,Paramètres!$A$1:$I$89,3,0)*VLOOKUP('Données projet'!$B$14,Paramètres!$A$1:$I$89,5,0)</f>
        <v>-1.69961822393816E-13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179.32848817523677</v>
      </c>
      <c r="DU177" s="59">
        <f t="shared" si="152"/>
        <v>131.3292389103035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</v>
      </c>
      <c r="EB177" s="21">
        <f>EXP(-LN(2)/25)*EB176+(1-EXP(-LN(2)/25))/(LN(2)/25)*Calculateur!DW177*Calculateur!DY177*VLOOKUP('Données projet'!$B$14,Paramètres!$A$1:$I$89,3,0)*0.475*44/12</f>
        <v>0.24321212455500324</v>
      </c>
      <c r="EC177" s="21">
        <f>EXP(-LN(2)/2)*EC176+(1-EXP(-LN(2)/2))/(LN(2)/2)*DW177*DZ177*VLOOKUP('Données projet'!$B$14,Paramètres!$A$1:$I$89,3,0)*0.475*44/12</f>
        <v>1.1144559399056524E-21</v>
      </c>
      <c r="ED177" s="22">
        <f t="shared" si="178"/>
        <v>0.24321212455500324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-2.2737367544323206E-13</v>
      </c>
      <c r="EK177" s="17">
        <f>EJ177*VLOOKUP('Données projet'!$B$15,Paramètres!$A$1:$I$89,3,0)*VLOOKUP('Données projet'!$B$15,Paramètres!$A$1:$I$89,5,0)</f>
        <v>-1.0049916454590858E-13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191.932060106699</v>
      </c>
      <c r="EP177" s="59">
        <f t="shared" si="154"/>
        <v>260.28593152736903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0.14107539373329267</v>
      </c>
      <c r="EW177" s="21">
        <f>EXP(-LN(2)/25)*EW176+(1-EXP(-LN(2)/25))/(LN(2)/25)*Calculateur!ER177*Calculateur!ET177*VLOOKUP('Données projet'!$B$15,Paramètres!$A$1:$I$89,3,0)*0.475*44/12</f>
        <v>0.23287218853570021</v>
      </c>
      <c r="EX177" s="21">
        <f>EXP(-LN(2)/2)*EX176+(1-EXP(-LN(2)/2))/(LN(2)/2)*ER177*EU177*VLOOKUP('Données projet'!$B$15,Paramètres!$A$1:$I$89,3,0)*0.475*44/12</f>
        <v>2.8341215525713653E-22</v>
      </c>
      <c r="EY177" s="22">
        <f t="shared" si="181"/>
        <v>0.37394758226899288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181.00000000000009</v>
      </c>
      <c r="FF177" s="17">
        <f>FE177*VLOOKUP('Données projet'!$B$16,Paramètres!$A$1:$I$89,3,0)*VLOOKUP('Données projet'!$B$16,Paramètres!$A$1:$I$89,5,0)</f>
        <v>175.06320000000008</v>
      </c>
      <c r="FG177" s="13">
        <f t="shared" si="182"/>
        <v>44.222067746824763</v>
      </c>
      <c r="FH177" s="20">
        <f t="shared" si="183"/>
        <v>381.92184132571992</v>
      </c>
      <c r="FI177" s="59">
        <f t="shared" si="131"/>
        <v>675.25517465905318</v>
      </c>
      <c r="FJ177" s="59">
        <f ca="1">AVERAGE(OFFSET($FI$3,0,0,'Données projet'!$E$16+1,1))-AVERAGE(OFFSET($H$3,0,0,'Données projet'!$E$16+1,1))</f>
        <v>102.86738524979938</v>
      </c>
      <c r="FK177" s="59">
        <f t="shared" si="156"/>
        <v>56.347130462109817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0</v>
      </c>
      <c r="FR177" s="21">
        <f>EXP(-LN(2)/25)*FR176+(1-EXP(-LN(2)/25))/(LN(2)/25)*Calculateur!FM177*Calculateur!FO177*VLOOKUP('Données projet'!$B$16,Paramètres!$A$1:$I$89,3,0)*0.475*44/12</f>
        <v>0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0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300.00000000000068</v>
      </c>
      <c r="GA177" s="17">
        <f>FZ177*VLOOKUP('Données projet'!$B$17,Paramètres!$A$1:$I$89,3,0)*VLOOKUP('Données projet'!$B$17,Paramètres!$A$1:$I$89,5,0)</f>
        <v>201.24000000000046</v>
      </c>
      <c r="GB177" s="13">
        <f t="shared" si="185"/>
        <v>50.01658408633331</v>
      </c>
      <c r="GC177" s="20">
        <f t="shared" si="186"/>
        <v>437.60521728369798</v>
      </c>
      <c r="GD177" s="59">
        <f t="shared" si="134"/>
        <v>730.9385506170313</v>
      </c>
      <c r="GE177" s="59">
        <f ca="1">AVERAGE(OFFSET($GD$3,0,0,'Données projet'!$E$17+1,1))-AVERAGE(OFFSET($H$3,0,0,'Données projet'!$E$17+1,1))</f>
        <v>168.00454652899231</v>
      </c>
      <c r="GF177" s="59">
        <f t="shared" si="158"/>
        <v>135.31958994080446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0</v>
      </c>
      <c r="GM177" s="21">
        <f>EXP(-LN(2)/25)*GM176+(1-EXP(-LN(2)/25))/(LN(2)/25)*Calculateur!GH177*Calculateur!GJ177*VLOOKUP('Données projet'!$B$17,Paramètres!$A$1:$I$89,3,0)*0.475*44/12</f>
        <v>0</v>
      </c>
      <c r="GN177" s="21">
        <f>EXP(-LN(2)/2)*GN176+(1-EXP(-LN(2)/2))/(LN(2)/2)*GH177*GK177*VLOOKUP('Données projet'!$B$17,Paramètres!$A$1:$I$89,3,0)*0.475*44/12</f>
        <v>0</v>
      </c>
      <c r="GO177" s="21">
        <f t="shared" si="187"/>
        <v>0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4.5474735088646412E-13</v>
      </c>
      <c r="O178" s="13">
        <f>N178*VLOOKUP('Données projet'!$B$9,Paramètres!$A$1:$I$89,3,0)*VLOOKUP('Données projet'!$B$9,Paramètres!$A$1:$I$89,5,0)</f>
        <v>4.1145540308207271E-13</v>
      </c>
      <c r="P178" s="13">
        <f t="shared" si="141"/>
        <v>5.2428527960910789E-12</v>
      </c>
      <c r="Q178" s="20">
        <f t="shared" si="162"/>
        <v>9.8479201135599071E-12</v>
      </c>
      <c r="R178" s="59">
        <f t="shared" si="109"/>
        <v>293.33333333334315</v>
      </c>
      <c r="S178" s="59">
        <f ca="1">AVERAGE(OFFSET($R$3,0,0,'Données projet'!$E$9+1,1))-AVERAGE(OFFSET($H$3,0,0,'Données projet'!$E$9+1,1))</f>
        <v>221.7429870520005</v>
      </c>
      <c r="T178" s="59">
        <f t="shared" si="142"/>
        <v>182.2029938397186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0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-5.6843418860808015E-13</v>
      </c>
      <c r="AJ178" s="13">
        <f>AI178*VLOOKUP('Données projet'!$B$10,Paramètres!$A$1:$I$89,3,0)*VLOOKUP('Données projet'!$B$10,Paramètres!$A$1:$I$89,5,0)</f>
        <v>-5.1431925385259092E-13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153.45079678708987</v>
      </c>
      <c r="AO178" s="59">
        <f t="shared" si="144"/>
        <v>115.4217868409637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0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3.4106051316484809E-13</v>
      </c>
      <c r="BE178" s="13">
        <f>BD178*VLOOKUP('Données projet'!$B$11,Paramètres!$A$1:$I$89,3,0)*VLOOKUP('Données projet'!$B$11,Paramètres!$A$1:$I$89,5,0)</f>
        <v>1.5961632016114892E-13</v>
      </c>
      <c r="BF178" s="13">
        <f t="shared" si="167"/>
        <v>2.2708641912150958E-12</v>
      </c>
      <c r="BG178" s="20">
        <f t="shared" si="168"/>
        <v>4.2330868906469593E-12</v>
      </c>
      <c r="BH178" s="59">
        <f t="shared" si="116"/>
        <v>293.33333333333752</v>
      </c>
      <c r="BI178" s="59">
        <f ca="1">AVERAGE(OFFSET($BH$3,0,0,'Données projet'!$E$11+1,1))-AVERAGE(OFFSET($H$3,0,0,'Données projet'!$E$11+1,1))</f>
        <v>158.58786357608489</v>
      </c>
      <c r="BJ178" s="59">
        <f t="shared" si="146"/>
        <v>163.20074068819849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0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>
        <f>BY178*VLOOKUP('Données projet'!$B$12,Paramètres!$A$1:$I$89,3,0)*VLOOKUP('Données projet'!$B$12,Paramètres!$A$1:$I$89,5,0)</f>
        <v>0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255.41017495879987</v>
      </c>
      <c r="CE178" s="59">
        <f t="shared" si="148"/>
        <v>297.50513563712764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0.47233400214727372</v>
      </c>
      <c r="CL178" s="21">
        <f>EXP(-LN(2)/25)*CL177+(1-EXP(-LN(2)/25))/(LN(2)/25)*Calculateur!CG178*Calculateur!CI178*VLOOKUP('Données projet'!$B$12,Paramètres!$A$1:$I$89,3,0)*0.475*44/12</f>
        <v>0.50021986237969573</v>
      </c>
      <c r="CM178" s="21">
        <f>EXP(-LN(2)/2)*CM177+(1-EXP(-LN(2)/2))/(LN(2)/2)*CG178*CJ178*VLOOKUP('Données projet'!$B$12,Paramètres!$A$1:$I$89,3,0)*0.475*44/12</f>
        <v>3.653729075142547E-21</v>
      </c>
      <c r="CN178" s="22">
        <f t="shared" si="172"/>
        <v>0.97255386452696946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-1.4210854715202004E-13</v>
      </c>
      <c r="CU178" s="17">
        <f>CT178*VLOOKUP('Données projet'!$B$13,Paramètres!$A$1:$I$89,3,0)*VLOOKUP('Données projet'!$B$13,Paramètres!$A$1:$I$89,5,0)</f>
        <v>-8.128608897095547E-14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134.70214882504786</v>
      </c>
      <c r="CZ178" s="59">
        <f t="shared" si="150"/>
        <v>102.18553029667771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6.0173893153241127E-2</v>
      </c>
      <c r="DG178" s="21">
        <f>EXP(-LN(2)/25)*DG177+(1-EXP(-LN(2)/25))/(LN(2)/25)*Calculateur!DB178*Calculateur!DD178*VLOOKUP('Données projet'!$B$13,Paramètres!$A$1:$I$89,3,0)*0.475*44/12</f>
        <v>0.22524624860556108</v>
      </c>
      <c r="DH178" s="21">
        <f>EXP(-LN(2)/2)*DH177+(1-EXP(-LN(2)/2))/(LN(2)/2)*DB178*DE178*VLOOKUP('Données projet'!$B$13,Paramètres!$A$1:$I$89,3,0)*0.475*44/12</f>
        <v>1.1538476808590092E-21</v>
      </c>
      <c r="DI178" s="22">
        <f t="shared" si="175"/>
        <v>0.2854201417588022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-2.8421709430404007E-13</v>
      </c>
      <c r="DP178" s="17">
        <f>DO178*VLOOKUP('Données projet'!$B$14,Paramètres!$A$1:$I$89,3,0)*VLOOKUP('Données projet'!$B$14,Paramètres!$A$1:$I$89,5,0)</f>
        <v>-1.69961822393816E-13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179.32848817523677</v>
      </c>
      <c r="DU178" s="59">
        <f t="shared" si="152"/>
        <v>131.3292389103035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</v>
      </c>
      <c r="EB178" s="21">
        <f>EXP(-LN(2)/25)*EB177+(1-EXP(-LN(2)/25))/(LN(2)/25)*Calculateur!DW178*Calculateur!DY178*VLOOKUP('Données projet'!$B$14,Paramètres!$A$1:$I$89,3,0)*0.475*44/12</f>
        <v>0.23656147621907692</v>
      </c>
      <c r="EC178" s="21">
        <f>EXP(-LN(2)/2)*EC177+(1-EXP(-LN(2)/2))/(LN(2)/2)*DW178*DZ178*VLOOKUP('Données projet'!$B$14,Paramètres!$A$1:$I$89,3,0)*0.475*44/12</f>
        <v>7.8803935244091432E-22</v>
      </c>
      <c r="ED178" s="22">
        <f t="shared" si="178"/>
        <v>0.23656147621907692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-2.2737367544323206E-13</v>
      </c>
      <c r="EK178" s="17">
        <f>EJ178*VLOOKUP('Données projet'!$B$15,Paramètres!$A$1:$I$89,3,0)*VLOOKUP('Données projet'!$B$15,Paramètres!$A$1:$I$89,5,0)</f>
        <v>-1.0049916454590858E-13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191.932060106699</v>
      </c>
      <c r="EP178" s="59">
        <f t="shared" si="154"/>
        <v>260.28593152736903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0.1383089913096765</v>
      </c>
      <c r="EW178" s="21">
        <f>EXP(-LN(2)/25)*EW177+(1-EXP(-LN(2)/25))/(LN(2)/25)*Calculateur!ER178*Calculateur!ET178*VLOOKUP('Données projet'!$B$15,Paramètres!$A$1:$I$89,3,0)*0.475*44/12</f>
        <v>0.22650428629397534</v>
      </c>
      <c r="EX178" s="21">
        <f>EXP(-LN(2)/2)*EX177+(1-EXP(-LN(2)/2))/(LN(2)/2)*ER178*EU178*VLOOKUP('Données projet'!$B$15,Paramètres!$A$1:$I$89,3,0)*0.475*44/12</f>
        <v>2.0040265685301588E-22</v>
      </c>
      <c r="EY178" s="22">
        <f t="shared" si="181"/>
        <v>0.36481327760365184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181.00000000000009</v>
      </c>
      <c r="FF178" s="17">
        <f>FE178*VLOOKUP('Données projet'!$B$16,Paramètres!$A$1:$I$89,3,0)*VLOOKUP('Données projet'!$B$16,Paramètres!$A$1:$I$89,5,0)</f>
        <v>175.06320000000008</v>
      </c>
      <c r="FG178" s="13">
        <f t="shared" si="182"/>
        <v>44.222067746824763</v>
      </c>
      <c r="FH178" s="20">
        <f t="shared" si="183"/>
        <v>381.92184132571992</v>
      </c>
      <c r="FI178" s="59">
        <f t="shared" si="131"/>
        <v>675.25517465905318</v>
      </c>
      <c r="FJ178" s="59">
        <f ca="1">AVERAGE(OFFSET($FI$3,0,0,'Données projet'!$E$16+1,1))-AVERAGE(OFFSET($H$3,0,0,'Données projet'!$E$16+1,1))</f>
        <v>102.86738524979938</v>
      </c>
      <c r="FK178" s="59">
        <f t="shared" si="156"/>
        <v>56.347130462109817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0</v>
      </c>
      <c r="FR178" s="21">
        <f>EXP(-LN(2)/25)*FR177+(1-EXP(-LN(2)/25))/(LN(2)/25)*Calculateur!FM178*Calculateur!FO178*VLOOKUP('Données projet'!$B$16,Paramètres!$A$1:$I$89,3,0)*0.475*44/12</f>
        <v>0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0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300.00000000000068</v>
      </c>
      <c r="GA178" s="17">
        <f>FZ178*VLOOKUP('Données projet'!$B$17,Paramètres!$A$1:$I$89,3,0)*VLOOKUP('Données projet'!$B$17,Paramètres!$A$1:$I$89,5,0)</f>
        <v>201.24000000000046</v>
      </c>
      <c r="GB178" s="13">
        <f t="shared" si="185"/>
        <v>50.01658408633331</v>
      </c>
      <c r="GC178" s="20">
        <f t="shared" si="186"/>
        <v>437.60521728369798</v>
      </c>
      <c r="GD178" s="59">
        <f t="shared" si="134"/>
        <v>730.9385506170313</v>
      </c>
      <c r="GE178" s="59">
        <f ca="1">AVERAGE(OFFSET($GD$3,0,0,'Données projet'!$E$17+1,1))-AVERAGE(OFFSET($H$3,0,0,'Données projet'!$E$17+1,1))</f>
        <v>168.00454652899231</v>
      </c>
      <c r="GF178" s="59">
        <f t="shared" si="158"/>
        <v>135.31958994080446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0</v>
      </c>
      <c r="GM178" s="21">
        <f>EXP(-LN(2)/25)*GM177+(1-EXP(-LN(2)/25))/(LN(2)/25)*Calculateur!GH178*Calculateur!GJ178*VLOOKUP('Données projet'!$B$17,Paramètres!$A$1:$I$89,3,0)*0.475*44/12</f>
        <v>0</v>
      </c>
      <c r="GN178" s="21">
        <f>EXP(-LN(2)/2)*GN177+(1-EXP(-LN(2)/2))/(LN(2)/2)*GH178*GK178*VLOOKUP('Données projet'!$B$17,Paramètres!$A$1:$I$89,3,0)*0.475*44/12</f>
        <v>0</v>
      </c>
      <c r="GO178" s="21">
        <f t="shared" si="187"/>
        <v>0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4.5474735088646412E-13</v>
      </c>
      <c r="O179" s="13">
        <f>N179*VLOOKUP('Données projet'!$B$9,Paramètres!$A$1:$I$89,3,0)*VLOOKUP('Données projet'!$B$9,Paramètres!$A$1:$I$89,5,0)</f>
        <v>4.1145540308207271E-13</v>
      </c>
      <c r="P179" s="13">
        <f t="shared" si="141"/>
        <v>5.2428527960910789E-12</v>
      </c>
      <c r="Q179" s="20">
        <f t="shared" si="162"/>
        <v>9.8479201135599071E-12</v>
      </c>
      <c r="R179" s="59">
        <f t="shared" si="109"/>
        <v>293.33333333334315</v>
      </c>
      <c r="S179" s="59">
        <f ca="1">AVERAGE(OFFSET($R$3,0,0,'Données projet'!$E$9+1,1))-AVERAGE(OFFSET($H$3,0,0,'Données projet'!$E$9+1,1))</f>
        <v>221.7429870520005</v>
      </c>
      <c r="T179" s="59">
        <f t="shared" si="142"/>
        <v>182.2029938397186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0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-5.6843418860808015E-13</v>
      </c>
      <c r="AJ179" s="13">
        <f>AI179*VLOOKUP('Données projet'!$B$10,Paramètres!$A$1:$I$89,3,0)*VLOOKUP('Données projet'!$B$10,Paramètres!$A$1:$I$89,5,0)</f>
        <v>-5.1431925385259092E-13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153.45079678708987</v>
      </c>
      <c r="AO179" s="59">
        <f t="shared" si="144"/>
        <v>115.4217868409637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0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3.4106051316484809E-13</v>
      </c>
      <c r="BE179" s="13">
        <f>BD179*VLOOKUP('Données projet'!$B$11,Paramètres!$A$1:$I$89,3,0)*VLOOKUP('Données projet'!$B$11,Paramètres!$A$1:$I$89,5,0)</f>
        <v>1.5961632016114892E-13</v>
      </c>
      <c r="BF179" s="13">
        <f t="shared" si="167"/>
        <v>2.2708641912150958E-12</v>
      </c>
      <c r="BG179" s="20">
        <f t="shared" si="168"/>
        <v>4.2330868906469593E-12</v>
      </c>
      <c r="BH179" s="59">
        <f t="shared" si="116"/>
        <v>293.33333333333752</v>
      </c>
      <c r="BI179" s="59">
        <f ca="1">AVERAGE(OFFSET($BH$3,0,0,'Données projet'!$E$11+1,1))-AVERAGE(OFFSET($H$3,0,0,'Données projet'!$E$11+1,1))</f>
        <v>158.58786357608489</v>
      </c>
      <c r="BJ179" s="59">
        <f t="shared" si="146"/>
        <v>163.20074068819849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0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>
        <f>BY179*VLOOKUP('Données projet'!$B$12,Paramètres!$A$1:$I$89,3,0)*VLOOKUP('Données projet'!$B$12,Paramètres!$A$1:$I$89,5,0)</f>
        <v>0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255.41017495879987</v>
      </c>
      <c r="CE179" s="59">
        <f t="shared" si="148"/>
        <v>297.50513563712764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0.46307182046045997</v>
      </c>
      <c r="CL179" s="21">
        <f>EXP(-LN(2)/25)*CL178+(1-EXP(-LN(2)/25))/(LN(2)/25)*Calculateur!CG179*Calculateur!CI179*VLOOKUP('Données projet'!$B$12,Paramètres!$A$1:$I$89,3,0)*0.475*44/12</f>
        <v>0.48654132393750366</v>
      </c>
      <c r="CM179" s="21">
        <f>EXP(-LN(2)/2)*CM178+(1-EXP(-LN(2)/2))/(LN(2)/2)*CG179*CJ179*VLOOKUP('Données projet'!$B$12,Paramètres!$A$1:$I$89,3,0)*0.475*44/12</f>
        <v>2.5835766056517477E-21</v>
      </c>
      <c r="CN179" s="22">
        <f t="shared" si="172"/>
        <v>0.94961314439796363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-1.4210854715202004E-13</v>
      </c>
      <c r="CU179" s="17">
        <f>CT179*VLOOKUP('Données projet'!$B$13,Paramètres!$A$1:$I$89,3,0)*VLOOKUP('Données projet'!$B$13,Paramètres!$A$1:$I$89,5,0)</f>
        <v>-8.128608897095547E-14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134.70214882504786</v>
      </c>
      <c r="CZ179" s="59">
        <f t="shared" si="150"/>
        <v>102.18553029667771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5.8993919810956828E-2</v>
      </c>
      <c r="DG179" s="21">
        <f>EXP(-LN(2)/25)*DG178+(1-EXP(-LN(2)/25))/(LN(2)/25)*Calculateur!DB179*Calculateur!DD179*VLOOKUP('Données projet'!$B$13,Paramètres!$A$1:$I$89,3,0)*0.475*44/12</f>
        <v>0.2190868780922566</v>
      </c>
      <c r="DH179" s="21">
        <f>EXP(-LN(2)/2)*DH178+(1-EXP(-LN(2)/2))/(LN(2)/2)*DB179*DE179*VLOOKUP('Données projet'!$B$13,Paramètres!$A$1:$I$89,3,0)*0.475*44/12</f>
        <v>8.1589351959177673E-22</v>
      </c>
      <c r="DI179" s="22">
        <f t="shared" si="175"/>
        <v>0.27808079790321344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-2.8421709430404007E-13</v>
      </c>
      <c r="DP179" s="17">
        <f>DO179*VLOOKUP('Données projet'!$B$14,Paramètres!$A$1:$I$89,3,0)*VLOOKUP('Données projet'!$B$14,Paramètres!$A$1:$I$89,5,0)</f>
        <v>-1.69961822393816E-13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179.32848817523677</v>
      </c>
      <c r="DU179" s="59">
        <f t="shared" si="152"/>
        <v>131.3292389103035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</v>
      </c>
      <c r="EB179" s="21">
        <f>EXP(-LN(2)/25)*EB178+(1-EXP(-LN(2)/25))/(LN(2)/25)*Calculateur!DW179*Calculateur!DY179*VLOOKUP('Données projet'!$B$14,Paramètres!$A$1:$I$89,3,0)*0.475*44/12</f>
        <v>0.23009269021163889</v>
      </c>
      <c r="EC179" s="21">
        <f>EXP(-LN(2)/2)*EC178+(1-EXP(-LN(2)/2))/(LN(2)/2)*DW179*DZ179*VLOOKUP('Données projet'!$B$14,Paramètres!$A$1:$I$89,3,0)*0.475*44/12</f>
        <v>5.5722796995282621E-22</v>
      </c>
      <c r="ED179" s="22">
        <f t="shared" si="178"/>
        <v>0.23009269021163889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-2.2737367544323206E-13</v>
      </c>
      <c r="EK179" s="17">
        <f>EJ179*VLOOKUP('Données projet'!$B$15,Paramètres!$A$1:$I$89,3,0)*VLOOKUP('Données projet'!$B$15,Paramètres!$A$1:$I$89,5,0)</f>
        <v>-1.0049916454590858E-13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191.932060106699</v>
      </c>
      <c r="EP179" s="59">
        <f t="shared" si="154"/>
        <v>260.28593152736903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0.13559683635024858</v>
      </c>
      <c r="EW179" s="21">
        <f>EXP(-LN(2)/25)*EW178+(1-EXP(-LN(2)/25))/(LN(2)/25)*Calculateur!ER179*Calculateur!ET179*VLOOKUP('Données projet'!$B$15,Paramètres!$A$1:$I$89,3,0)*0.475*44/12</f>
        <v>0.22031051467392385</v>
      </c>
      <c r="EX179" s="21">
        <f>EXP(-LN(2)/2)*EX178+(1-EXP(-LN(2)/2))/(LN(2)/2)*ER179*EU179*VLOOKUP('Données projet'!$B$15,Paramètres!$A$1:$I$89,3,0)*0.475*44/12</f>
        <v>1.4170607762856827E-22</v>
      </c>
      <c r="EY179" s="22">
        <f t="shared" si="181"/>
        <v>0.35590735102417242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181.00000000000009</v>
      </c>
      <c r="FF179" s="17">
        <f>FE179*VLOOKUP('Données projet'!$B$16,Paramètres!$A$1:$I$89,3,0)*VLOOKUP('Données projet'!$B$16,Paramètres!$A$1:$I$89,5,0)</f>
        <v>175.06320000000008</v>
      </c>
      <c r="FG179" s="13">
        <f t="shared" si="182"/>
        <v>44.222067746824763</v>
      </c>
      <c r="FH179" s="20">
        <f t="shared" si="183"/>
        <v>381.92184132571992</v>
      </c>
      <c r="FI179" s="59">
        <f t="shared" si="131"/>
        <v>675.25517465905318</v>
      </c>
      <c r="FJ179" s="59">
        <f ca="1">AVERAGE(OFFSET($FI$3,0,0,'Données projet'!$E$16+1,1))-AVERAGE(OFFSET($H$3,0,0,'Données projet'!$E$16+1,1))</f>
        <v>102.86738524979938</v>
      </c>
      <c r="FK179" s="59">
        <f t="shared" si="156"/>
        <v>56.347130462109817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0</v>
      </c>
      <c r="FR179" s="21">
        <f>EXP(-LN(2)/25)*FR178+(1-EXP(-LN(2)/25))/(LN(2)/25)*Calculateur!FM179*Calculateur!FO179*VLOOKUP('Données projet'!$B$16,Paramètres!$A$1:$I$89,3,0)*0.475*44/12</f>
        <v>0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0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300.00000000000068</v>
      </c>
      <c r="GA179" s="17">
        <f>FZ179*VLOOKUP('Données projet'!$B$17,Paramètres!$A$1:$I$89,3,0)*VLOOKUP('Données projet'!$B$17,Paramètres!$A$1:$I$89,5,0)</f>
        <v>201.24000000000046</v>
      </c>
      <c r="GB179" s="13">
        <f t="shared" si="185"/>
        <v>50.01658408633331</v>
      </c>
      <c r="GC179" s="20">
        <f t="shared" si="186"/>
        <v>437.60521728369798</v>
      </c>
      <c r="GD179" s="59">
        <f t="shared" si="134"/>
        <v>730.9385506170313</v>
      </c>
      <c r="GE179" s="59">
        <f ca="1">AVERAGE(OFFSET($GD$3,0,0,'Données projet'!$E$17+1,1))-AVERAGE(OFFSET($H$3,0,0,'Données projet'!$E$17+1,1))</f>
        <v>168.00454652899231</v>
      </c>
      <c r="GF179" s="59">
        <f t="shared" si="158"/>
        <v>135.31958994080446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0</v>
      </c>
      <c r="GM179" s="21">
        <f>EXP(-LN(2)/25)*GM178+(1-EXP(-LN(2)/25))/(LN(2)/25)*Calculateur!GH179*Calculateur!GJ179*VLOOKUP('Données projet'!$B$17,Paramètres!$A$1:$I$89,3,0)*0.475*44/12</f>
        <v>0</v>
      </c>
      <c r="GN179" s="21">
        <f>EXP(-LN(2)/2)*GN178+(1-EXP(-LN(2)/2))/(LN(2)/2)*GH179*GK179*VLOOKUP('Données projet'!$B$17,Paramètres!$A$1:$I$89,3,0)*0.475*44/12</f>
        <v>0</v>
      </c>
      <c r="GO179" s="21">
        <f t="shared" si="187"/>
        <v>0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4.5474735088646412E-13</v>
      </c>
      <c r="O180" s="13">
        <f>N180*VLOOKUP('Données projet'!$B$9,Paramètres!$A$1:$I$89,3,0)*VLOOKUP('Données projet'!$B$9,Paramètres!$A$1:$I$89,5,0)</f>
        <v>4.1145540308207271E-13</v>
      </c>
      <c r="P180" s="13">
        <f t="shared" si="141"/>
        <v>5.2428527960910789E-12</v>
      </c>
      <c r="Q180" s="20">
        <f t="shared" si="162"/>
        <v>9.8479201135599071E-12</v>
      </c>
      <c r="R180" s="59">
        <f t="shared" si="109"/>
        <v>293.33333333334315</v>
      </c>
      <c r="S180" s="59">
        <f ca="1">AVERAGE(OFFSET($R$3,0,0,'Données projet'!$E$9+1,1))-AVERAGE(OFFSET($H$3,0,0,'Données projet'!$E$9+1,1))</f>
        <v>221.7429870520005</v>
      </c>
      <c r="T180" s="59">
        <f t="shared" si="142"/>
        <v>182.2029938397186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0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-5.6843418860808015E-13</v>
      </c>
      <c r="AJ180" s="13">
        <f>AI180*VLOOKUP('Données projet'!$B$10,Paramètres!$A$1:$I$89,3,0)*VLOOKUP('Données projet'!$B$10,Paramètres!$A$1:$I$89,5,0)</f>
        <v>-5.1431925385259092E-13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153.45079678708987</v>
      </c>
      <c r="AO180" s="59">
        <f t="shared" si="144"/>
        <v>115.4217868409637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0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3.4106051316484809E-13</v>
      </c>
      <c r="BE180" s="13">
        <f>BD180*VLOOKUP('Données projet'!$B$11,Paramètres!$A$1:$I$89,3,0)*VLOOKUP('Données projet'!$B$11,Paramètres!$A$1:$I$89,5,0)</f>
        <v>1.5961632016114892E-13</v>
      </c>
      <c r="BF180" s="13">
        <f t="shared" si="167"/>
        <v>2.2708641912150958E-12</v>
      </c>
      <c r="BG180" s="20">
        <f t="shared" si="168"/>
        <v>4.2330868906469593E-12</v>
      </c>
      <c r="BH180" s="59">
        <f t="shared" si="116"/>
        <v>293.33333333333752</v>
      </c>
      <c r="BI180" s="59">
        <f ca="1">AVERAGE(OFFSET($BH$3,0,0,'Données projet'!$E$11+1,1))-AVERAGE(OFFSET($H$3,0,0,'Données projet'!$E$11+1,1))</f>
        <v>158.58786357608489</v>
      </c>
      <c r="BJ180" s="59">
        <f t="shared" si="146"/>
        <v>163.20074068819849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0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>
        <f>BY180*VLOOKUP('Données projet'!$B$12,Paramètres!$A$1:$I$89,3,0)*VLOOKUP('Données projet'!$B$12,Paramètres!$A$1:$I$89,5,0)</f>
        <v>0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255.41017495879987</v>
      </c>
      <c r="CE180" s="59">
        <f t="shared" si="148"/>
        <v>297.50513563712764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0.4539912645071516</v>
      </c>
      <c r="CL180" s="21">
        <f>EXP(-LN(2)/25)*CL179+(1-EXP(-LN(2)/25))/(LN(2)/25)*Calculateur!CG180*Calculateur!CI180*VLOOKUP('Données projet'!$B$12,Paramètres!$A$1:$I$89,3,0)*0.475*44/12</f>
        <v>0.47323682584833637</v>
      </c>
      <c r="CM180" s="21">
        <f>EXP(-LN(2)/2)*CM179+(1-EXP(-LN(2)/2))/(LN(2)/2)*CG180*CJ180*VLOOKUP('Données projet'!$B$12,Paramètres!$A$1:$I$89,3,0)*0.475*44/12</f>
        <v>1.8268645375712735E-21</v>
      </c>
      <c r="CN180" s="22">
        <f t="shared" si="172"/>
        <v>0.92722809035548792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-1.4210854715202004E-13</v>
      </c>
      <c r="CU180" s="17">
        <f>CT180*VLOOKUP('Données projet'!$B$13,Paramètres!$A$1:$I$89,3,0)*VLOOKUP('Données projet'!$B$13,Paramètres!$A$1:$I$89,5,0)</f>
        <v>-8.128608897095547E-14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134.70214882504786</v>
      </c>
      <c r="CZ180" s="59">
        <f t="shared" si="150"/>
        <v>102.18553029667771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5.7837085026202051E-2</v>
      </c>
      <c r="DG180" s="21">
        <f>EXP(-LN(2)/25)*DG179+(1-EXP(-LN(2)/25))/(LN(2)/25)*Calculateur!DB180*Calculateur!DD180*VLOOKUP('Données projet'!$B$13,Paramètres!$A$1:$I$89,3,0)*0.475*44/12</f>
        <v>0.21309593588954565</v>
      </c>
      <c r="DH180" s="21">
        <f>EXP(-LN(2)/2)*DH179+(1-EXP(-LN(2)/2))/(LN(2)/2)*DB180*DE180*VLOOKUP('Données projet'!$B$13,Paramètres!$A$1:$I$89,3,0)*0.475*44/12</f>
        <v>5.7692384042950459E-22</v>
      </c>
      <c r="DI180" s="22">
        <f t="shared" si="175"/>
        <v>0.27093302091574767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-2.8421709430404007E-13</v>
      </c>
      <c r="DP180" s="17">
        <f>DO180*VLOOKUP('Données projet'!$B$14,Paramètres!$A$1:$I$89,3,0)*VLOOKUP('Données projet'!$B$14,Paramètres!$A$1:$I$89,5,0)</f>
        <v>-1.69961822393816E-13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179.32848817523677</v>
      </c>
      <c r="DU180" s="59">
        <f t="shared" si="152"/>
        <v>131.3292389103035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</v>
      </c>
      <c r="EB180" s="21">
        <f>EXP(-LN(2)/25)*EB179+(1-EXP(-LN(2)/25))/(LN(2)/25)*Calculateur!DW180*Calculateur!DY180*VLOOKUP('Données projet'!$B$14,Paramètres!$A$1:$I$89,3,0)*0.475*44/12</f>
        <v>0.22380079349775292</v>
      </c>
      <c r="EC180" s="21">
        <f>EXP(-LN(2)/2)*EC179+(1-EXP(-LN(2)/2))/(LN(2)/2)*DW180*DZ180*VLOOKUP('Données projet'!$B$14,Paramètres!$A$1:$I$89,3,0)*0.475*44/12</f>
        <v>3.9401967622045716E-22</v>
      </c>
      <c r="ED180" s="22">
        <f t="shared" si="178"/>
        <v>0.22380079349775292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-2.2737367544323206E-13</v>
      </c>
      <c r="EK180" s="17">
        <f>EJ180*VLOOKUP('Données projet'!$B$15,Paramètres!$A$1:$I$89,3,0)*VLOOKUP('Données projet'!$B$15,Paramètres!$A$1:$I$89,5,0)</f>
        <v>-1.0049916454590858E-13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191.932060106699</v>
      </c>
      <c r="EP180" s="59">
        <f t="shared" si="154"/>
        <v>260.28593152736903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0.13293786509532385</v>
      </c>
      <c r="EW180" s="21">
        <f>EXP(-LN(2)/25)*EW179+(1-EXP(-LN(2)/25))/(LN(2)/25)*Calculateur!ER180*Calculateur!ET180*VLOOKUP('Données projet'!$B$15,Paramètres!$A$1:$I$89,3,0)*0.475*44/12</f>
        <v>0.21428611206453896</v>
      </c>
      <c r="EX180" s="21">
        <f>EXP(-LN(2)/2)*EX179+(1-EXP(-LN(2)/2))/(LN(2)/2)*ER180*EU180*VLOOKUP('Données projet'!$B$15,Paramètres!$A$1:$I$89,3,0)*0.475*44/12</f>
        <v>1.0020132842650794E-22</v>
      </c>
      <c r="EY180" s="22">
        <f t="shared" si="181"/>
        <v>0.34722397715986281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181.00000000000009</v>
      </c>
      <c r="FF180" s="17">
        <f>FE180*VLOOKUP('Données projet'!$B$16,Paramètres!$A$1:$I$89,3,0)*VLOOKUP('Données projet'!$B$16,Paramètres!$A$1:$I$89,5,0)</f>
        <v>175.06320000000008</v>
      </c>
      <c r="FG180" s="13">
        <f t="shared" si="182"/>
        <v>44.222067746824763</v>
      </c>
      <c r="FH180" s="20">
        <f t="shared" si="183"/>
        <v>381.92184132571992</v>
      </c>
      <c r="FI180" s="59">
        <f t="shared" si="131"/>
        <v>675.25517465905318</v>
      </c>
      <c r="FJ180" s="59">
        <f ca="1">AVERAGE(OFFSET($FI$3,0,0,'Données projet'!$E$16+1,1))-AVERAGE(OFFSET($H$3,0,0,'Données projet'!$E$16+1,1))</f>
        <v>102.86738524979938</v>
      </c>
      <c r="FK180" s="59">
        <f t="shared" si="156"/>
        <v>56.347130462109817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0</v>
      </c>
      <c r="FR180" s="21">
        <f>EXP(-LN(2)/25)*FR179+(1-EXP(-LN(2)/25))/(LN(2)/25)*Calculateur!FM180*Calculateur!FO180*VLOOKUP('Données projet'!$B$16,Paramètres!$A$1:$I$89,3,0)*0.475*44/12</f>
        <v>0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0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300.00000000000068</v>
      </c>
      <c r="GA180" s="17">
        <f>FZ180*VLOOKUP('Données projet'!$B$17,Paramètres!$A$1:$I$89,3,0)*VLOOKUP('Données projet'!$B$17,Paramètres!$A$1:$I$89,5,0)</f>
        <v>201.24000000000046</v>
      </c>
      <c r="GB180" s="13">
        <f t="shared" si="185"/>
        <v>50.01658408633331</v>
      </c>
      <c r="GC180" s="20">
        <f t="shared" si="186"/>
        <v>437.60521728369798</v>
      </c>
      <c r="GD180" s="59">
        <f t="shared" si="134"/>
        <v>730.9385506170313</v>
      </c>
      <c r="GE180" s="59">
        <f ca="1">AVERAGE(OFFSET($GD$3,0,0,'Données projet'!$E$17+1,1))-AVERAGE(OFFSET($H$3,0,0,'Données projet'!$E$17+1,1))</f>
        <v>168.00454652899231</v>
      </c>
      <c r="GF180" s="59">
        <f t="shared" si="158"/>
        <v>135.31958994080446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0</v>
      </c>
      <c r="GM180" s="21">
        <f>EXP(-LN(2)/25)*GM179+(1-EXP(-LN(2)/25))/(LN(2)/25)*Calculateur!GH180*Calculateur!GJ180*VLOOKUP('Données projet'!$B$17,Paramètres!$A$1:$I$89,3,0)*0.475*44/12</f>
        <v>0</v>
      </c>
      <c r="GN180" s="21">
        <f>EXP(-LN(2)/2)*GN179+(1-EXP(-LN(2)/2))/(LN(2)/2)*GH180*GK180*VLOOKUP('Données projet'!$B$17,Paramètres!$A$1:$I$89,3,0)*0.475*44/12</f>
        <v>0</v>
      </c>
      <c r="GO180" s="21">
        <f t="shared" si="187"/>
        <v>0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4.5474735088646412E-13</v>
      </c>
      <c r="O181" s="13">
        <f>N181*VLOOKUP('Données projet'!$B$9,Paramètres!$A$1:$I$89,3,0)*VLOOKUP('Données projet'!$B$9,Paramètres!$A$1:$I$89,5,0)</f>
        <v>4.1145540308207271E-13</v>
      </c>
      <c r="P181" s="13">
        <f t="shared" si="141"/>
        <v>5.2428527960910789E-12</v>
      </c>
      <c r="Q181" s="20">
        <f t="shared" si="162"/>
        <v>9.8479201135599071E-12</v>
      </c>
      <c r="R181" s="59">
        <f t="shared" si="109"/>
        <v>293.33333333334315</v>
      </c>
      <c r="S181" s="59">
        <f ca="1">AVERAGE(OFFSET($R$3,0,0,'Données projet'!$E$9+1,1))-AVERAGE(OFFSET($H$3,0,0,'Données projet'!$E$9+1,1))</f>
        <v>221.7429870520005</v>
      </c>
      <c r="T181" s="59">
        <f t="shared" si="142"/>
        <v>182.2029938397186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0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-5.6843418860808015E-13</v>
      </c>
      <c r="AJ181" s="13">
        <f>AI181*VLOOKUP('Données projet'!$B$10,Paramètres!$A$1:$I$89,3,0)*VLOOKUP('Données projet'!$B$10,Paramètres!$A$1:$I$89,5,0)</f>
        <v>-5.1431925385259092E-13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153.45079678708987</v>
      </c>
      <c r="AO181" s="59">
        <f t="shared" si="144"/>
        <v>115.4217868409637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0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3.4106051316484809E-13</v>
      </c>
      <c r="BE181" s="13">
        <f>BD181*VLOOKUP('Données projet'!$B$11,Paramètres!$A$1:$I$89,3,0)*VLOOKUP('Données projet'!$B$11,Paramètres!$A$1:$I$89,5,0)</f>
        <v>1.5961632016114892E-13</v>
      </c>
      <c r="BF181" s="13">
        <f t="shared" si="167"/>
        <v>2.2708641912150958E-12</v>
      </c>
      <c r="BG181" s="20">
        <f t="shared" si="168"/>
        <v>4.2330868906469593E-12</v>
      </c>
      <c r="BH181" s="59">
        <f t="shared" si="116"/>
        <v>293.33333333333752</v>
      </c>
      <c r="BI181" s="59">
        <f ca="1">AVERAGE(OFFSET($BH$3,0,0,'Données projet'!$E$11+1,1))-AVERAGE(OFFSET($H$3,0,0,'Données projet'!$E$11+1,1))</f>
        <v>158.58786357608489</v>
      </c>
      <c r="BJ181" s="59">
        <f t="shared" si="146"/>
        <v>163.20074068819849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0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>
        <f>BY181*VLOOKUP('Données projet'!$B$12,Paramètres!$A$1:$I$89,3,0)*VLOOKUP('Données projet'!$B$12,Paramètres!$A$1:$I$89,5,0)</f>
        <v>0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255.41017495879987</v>
      </c>
      <c r="CE181" s="59">
        <f t="shared" si="148"/>
        <v>297.50513563712764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0.44508877271749536</v>
      </c>
      <c r="CL181" s="21">
        <f>EXP(-LN(2)/25)*CL180+(1-EXP(-LN(2)/25))/(LN(2)/25)*Calculateur!CG181*Calculateur!CI181*VLOOKUP('Données projet'!$B$12,Paramètres!$A$1:$I$89,3,0)*0.475*44/12</f>
        <v>0.46029613995907054</v>
      </c>
      <c r="CM181" s="21">
        <f>EXP(-LN(2)/2)*CM180+(1-EXP(-LN(2)/2))/(LN(2)/2)*CG181*CJ181*VLOOKUP('Données projet'!$B$12,Paramètres!$A$1:$I$89,3,0)*0.475*44/12</f>
        <v>1.2917883028258738E-21</v>
      </c>
      <c r="CN181" s="22">
        <f t="shared" si="172"/>
        <v>0.90538491267656585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-1.4210854715202004E-13</v>
      </c>
      <c r="CU181" s="17">
        <f>CT181*VLOOKUP('Données projet'!$B$13,Paramètres!$A$1:$I$89,3,0)*VLOOKUP('Données projet'!$B$13,Paramètres!$A$1:$I$89,5,0)</f>
        <v>-8.128608897095547E-14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134.70214882504786</v>
      </c>
      <c r="CZ181" s="59">
        <f t="shared" si="150"/>
        <v>102.18553029667771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5.6702935065976769E-2</v>
      </c>
      <c r="DG181" s="21">
        <f>EXP(-LN(2)/25)*DG180+(1-EXP(-LN(2)/25))/(LN(2)/25)*Calculateur!DB181*Calculateur!DD181*VLOOKUP('Données projet'!$B$13,Paramètres!$A$1:$I$89,3,0)*0.475*44/12</f>
        <v>0.20726881631641778</v>
      </c>
      <c r="DH181" s="21">
        <f>EXP(-LN(2)/2)*DH180+(1-EXP(-LN(2)/2))/(LN(2)/2)*DB181*DE181*VLOOKUP('Données projet'!$B$13,Paramètres!$A$1:$I$89,3,0)*0.475*44/12</f>
        <v>4.0794675979588836E-22</v>
      </c>
      <c r="DI181" s="22">
        <f t="shared" si="175"/>
        <v>0.26397175138239454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-2.8421709430404007E-13</v>
      </c>
      <c r="DP181" s="17">
        <f>DO181*VLOOKUP('Données projet'!$B$14,Paramètres!$A$1:$I$89,3,0)*VLOOKUP('Données projet'!$B$14,Paramètres!$A$1:$I$89,5,0)</f>
        <v>-1.69961822393816E-13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179.32848817523677</v>
      </c>
      <c r="DU181" s="59">
        <f t="shared" si="152"/>
        <v>131.3292389103035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</v>
      </c>
      <c r="EB181" s="21">
        <f>EXP(-LN(2)/25)*EB180+(1-EXP(-LN(2)/25))/(LN(2)/25)*Calculateur!DW181*Calculateur!DY181*VLOOKUP('Données projet'!$B$14,Paramètres!$A$1:$I$89,3,0)*0.475*44/12</f>
        <v>0.21768094903038465</v>
      </c>
      <c r="EC181" s="21">
        <f>EXP(-LN(2)/2)*EC180+(1-EXP(-LN(2)/2))/(LN(2)/2)*DW181*DZ181*VLOOKUP('Données projet'!$B$14,Paramètres!$A$1:$I$89,3,0)*0.475*44/12</f>
        <v>2.786139849764131E-22</v>
      </c>
      <c r="ED181" s="22">
        <f t="shared" si="178"/>
        <v>0.21768094903038465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-2.2737367544323206E-13</v>
      </c>
      <c r="EK181" s="17">
        <f>EJ181*VLOOKUP('Données projet'!$B$15,Paramètres!$A$1:$I$89,3,0)*VLOOKUP('Données projet'!$B$15,Paramètres!$A$1:$I$89,5,0)</f>
        <v>-1.0049916454590858E-13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191.932060106699</v>
      </c>
      <c r="EP181" s="59">
        <f t="shared" si="154"/>
        <v>260.28593152736903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0.13033103464489587</v>
      </c>
      <c r="EW181" s="21">
        <f>EXP(-LN(2)/25)*EW180+(1-EXP(-LN(2)/25))/(LN(2)/25)*Calculateur!ER181*Calculateur!ET181*VLOOKUP('Données projet'!$B$15,Paramètres!$A$1:$I$89,3,0)*0.475*44/12</f>
        <v>0.20842644706131727</v>
      </c>
      <c r="EX181" s="21">
        <f>EXP(-LN(2)/2)*EX180+(1-EXP(-LN(2)/2))/(LN(2)/2)*ER181*EU181*VLOOKUP('Données projet'!$B$15,Paramètres!$A$1:$I$89,3,0)*0.475*44/12</f>
        <v>7.0853038814284133E-23</v>
      </c>
      <c r="EY181" s="22">
        <f t="shared" si="181"/>
        <v>0.33875748170621311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181.00000000000009</v>
      </c>
      <c r="FF181" s="17">
        <f>FE181*VLOOKUP('Données projet'!$B$16,Paramètres!$A$1:$I$89,3,0)*VLOOKUP('Données projet'!$B$16,Paramètres!$A$1:$I$89,5,0)</f>
        <v>175.06320000000008</v>
      </c>
      <c r="FG181" s="13">
        <f t="shared" si="182"/>
        <v>44.222067746824763</v>
      </c>
      <c r="FH181" s="20">
        <f t="shared" si="183"/>
        <v>381.92184132571992</v>
      </c>
      <c r="FI181" s="59">
        <f t="shared" si="131"/>
        <v>675.25517465905318</v>
      </c>
      <c r="FJ181" s="59">
        <f ca="1">AVERAGE(OFFSET($FI$3,0,0,'Données projet'!$E$16+1,1))-AVERAGE(OFFSET($H$3,0,0,'Données projet'!$E$16+1,1))</f>
        <v>102.86738524979938</v>
      </c>
      <c r="FK181" s="59">
        <f t="shared" si="156"/>
        <v>56.347130462109817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0</v>
      </c>
      <c r="FR181" s="21">
        <f>EXP(-LN(2)/25)*FR180+(1-EXP(-LN(2)/25))/(LN(2)/25)*Calculateur!FM181*Calculateur!FO181*VLOOKUP('Données projet'!$B$16,Paramètres!$A$1:$I$89,3,0)*0.475*44/12</f>
        <v>0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0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300.00000000000068</v>
      </c>
      <c r="GA181" s="17">
        <f>FZ181*VLOOKUP('Données projet'!$B$17,Paramètres!$A$1:$I$89,3,0)*VLOOKUP('Données projet'!$B$17,Paramètres!$A$1:$I$89,5,0)</f>
        <v>201.24000000000046</v>
      </c>
      <c r="GB181" s="13">
        <f t="shared" si="185"/>
        <v>50.01658408633331</v>
      </c>
      <c r="GC181" s="20">
        <f t="shared" si="186"/>
        <v>437.60521728369798</v>
      </c>
      <c r="GD181" s="59">
        <f t="shared" si="134"/>
        <v>730.9385506170313</v>
      </c>
      <c r="GE181" s="59">
        <f ca="1">AVERAGE(OFFSET($GD$3,0,0,'Données projet'!$E$17+1,1))-AVERAGE(OFFSET($H$3,0,0,'Données projet'!$E$17+1,1))</f>
        <v>168.00454652899231</v>
      </c>
      <c r="GF181" s="59">
        <f t="shared" si="158"/>
        <v>135.31958994080446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0</v>
      </c>
      <c r="GM181" s="21">
        <f>EXP(-LN(2)/25)*GM180+(1-EXP(-LN(2)/25))/(LN(2)/25)*Calculateur!GH181*Calculateur!GJ181*VLOOKUP('Données projet'!$B$17,Paramètres!$A$1:$I$89,3,0)*0.475*44/12</f>
        <v>0</v>
      </c>
      <c r="GN181" s="21">
        <f>EXP(-LN(2)/2)*GN180+(1-EXP(-LN(2)/2))/(LN(2)/2)*GH181*GK181*VLOOKUP('Données projet'!$B$17,Paramètres!$A$1:$I$89,3,0)*0.475*44/12</f>
        <v>0</v>
      </c>
      <c r="GO181" s="21">
        <f t="shared" si="187"/>
        <v>0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4.5474735088646412E-13</v>
      </c>
      <c r="O182" s="13">
        <f>N182*VLOOKUP('Données projet'!$B$9,Paramètres!$A$1:$I$89,3,0)*VLOOKUP('Données projet'!$B$9,Paramètres!$A$1:$I$89,5,0)</f>
        <v>4.1145540308207271E-13</v>
      </c>
      <c r="P182" s="13">
        <f t="shared" si="141"/>
        <v>5.2428527960910789E-12</v>
      </c>
      <c r="Q182" s="20">
        <f t="shared" si="162"/>
        <v>9.8479201135599071E-12</v>
      </c>
      <c r="R182" s="59">
        <f t="shared" si="109"/>
        <v>293.33333333334315</v>
      </c>
      <c r="S182" s="59">
        <f ca="1">AVERAGE(OFFSET($R$3,0,0,'Données projet'!$E$9+1,1))-AVERAGE(OFFSET($H$3,0,0,'Données projet'!$E$9+1,1))</f>
        <v>221.7429870520005</v>
      </c>
      <c r="T182" s="59">
        <f t="shared" si="142"/>
        <v>182.2029938397186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0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-5.6843418860808015E-13</v>
      </c>
      <c r="AJ182" s="13">
        <f>AI182*VLOOKUP('Données projet'!$B$10,Paramètres!$A$1:$I$89,3,0)*VLOOKUP('Données projet'!$B$10,Paramètres!$A$1:$I$89,5,0)</f>
        <v>-5.1431925385259092E-13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153.45079678708987</v>
      </c>
      <c r="AO182" s="59">
        <f t="shared" si="144"/>
        <v>115.4217868409637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0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3.4106051316484809E-13</v>
      </c>
      <c r="BE182" s="13">
        <f>BD182*VLOOKUP('Données projet'!$B$11,Paramètres!$A$1:$I$89,3,0)*VLOOKUP('Données projet'!$B$11,Paramètres!$A$1:$I$89,5,0)</f>
        <v>1.5961632016114892E-13</v>
      </c>
      <c r="BF182" s="13">
        <f t="shared" si="167"/>
        <v>2.2708641912150958E-12</v>
      </c>
      <c r="BG182" s="20">
        <f t="shared" si="168"/>
        <v>4.2330868906469593E-12</v>
      </c>
      <c r="BH182" s="59">
        <f t="shared" si="116"/>
        <v>293.33333333333752</v>
      </c>
      <c r="BI182" s="59">
        <f ca="1">AVERAGE(OFFSET($BH$3,0,0,'Données projet'!$E$11+1,1))-AVERAGE(OFFSET($H$3,0,0,'Données projet'!$E$11+1,1))</f>
        <v>158.58786357608489</v>
      </c>
      <c r="BJ182" s="59">
        <f t="shared" si="146"/>
        <v>163.20074068819849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0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>
        <f>BY182*VLOOKUP('Données projet'!$B$12,Paramètres!$A$1:$I$89,3,0)*VLOOKUP('Données projet'!$B$12,Paramètres!$A$1:$I$89,5,0)</f>
        <v>0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255.41017495879987</v>
      </c>
      <c r="CE182" s="59">
        <f t="shared" si="148"/>
        <v>297.50513563712764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0.43636085336185049</v>
      </c>
      <c r="CL182" s="21">
        <f>EXP(-LN(2)/25)*CL181+(1-EXP(-LN(2)/25))/(LN(2)/25)*Calculateur!CG182*Calculateur!CI182*VLOOKUP('Données projet'!$B$12,Paramètres!$A$1:$I$89,3,0)*0.475*44/12</f>
        <v>0.44770931780596779</v>
      </c>
      <c r="CM182" s="21">
        <f>EXP(-LN(2)/2)*CM181+(1-EXP(-LN(2)/2))/(LN(2)/2)*CG182*CJ182*VLOOKUP('Données projet'!$B$12,Paramètres!$A$1:$I$89,3,0)*0.475*44/12</f>
        <v>9.1343226878563674E-22</v>
      </c>
      <c r="CN182" s="22">
        <f t="shared" si="172"/>
        <v>0.88407017116781828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-1.4210854715202004E-13</v>
      </c>
      <c r="CU182" s="17">
        <f>CT182*VLOOKUP('Données projet'!$B$13,Paramètres!$A$1:$I$89,3,0)*VLOOKUP('Données projet'!$B$13,Paramètres!$A$1:$I$89,5,0)</f>
        <v>-8.128608897095547E-14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134.70214882504786</v>
      </c>
      <c r="CZ182" s="59">
        <f t="shared" si="150"/>
        <v>102.18553029667771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5.5591025094708334E-2</v>
      </c>
      <c r="DG182" s="21">
        <f>EXP(-LN(2)/25)*DG181+(1-EXP(-LN(2)/25))/(LN(2)/25)*Calculateur!DB182*Calculateur!DD182*VLOOKUP('Données projet'!$B$13,Paramètres!$A$1:$I$89,3,0)*0.475*44/12</f>
        <v>0.201601039634452</v>
      </c>
      <c r="DH182" s="21">
        <f>EXP(-LN(2)/2)*DH181+(1-EXP(-LN(2)/2))/(LN(2)/2)*DB182*DE182*VLOOKUP('Données projet'!$B$13,Paramètres!$A$1:$I$89,3,0)*0.475*44/12</f>
        <v>2.8846192021475229E-22</v>
      </c>
      <c r="DI182" s="22">
        <f t="shared" si="175"/>
        <v>0.25719206472916034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-2.8421709430404007E-13</v>
      </c>
      <c r="DP182" s="17">
        <f>DO182*VLOOKUP('Données projet'!$B$14,Paramètres!$A$1:$I$89,3,0)*VLOOKUP('Données projet'!$B$14,Paramètres!$A$1:$I$89,5,0)</f>
        <v>-1.69961822393816E-13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179.32848817523677</v>
      </c>
      <c r="DU182" s="59">
        <f t="shared" si="152"/>
        <v>131.3292389103035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</v>
      </c>
      <c r="EB182" s="21">
        <f>EXP(-LN(2)/25)*EB181+(1-EXP(-LN(2)/25))/(LN(2)/25)*Calculateur!DW182*Calculateur!DY182*VLOOKUP('Données projet'!$B$14,Paramètres!$A$1:$I$89,3,0)*0.475*44/12</f>
        <v>0.21172845203180518</v>
      </c>
      <c r="EC182" s="21">
        <f>EXP(-LN(2)/2)*EC181+(1-EXP(-LN(2)/2))/(LN(2)/2)*DW182*DZ182*VLOOKUP('Données projet'!$B$14,Paramètres!$A$1:$I$89,3,0)*0.475*44/12</f>
        <v>1.9700983811022858E-22</v>
      </c>
      <c r="ED182" s="22">
        <f t="shared" si="178"/>
        <v>0.21172845203180518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-2.2737367544323206E-13</v>
      </c>
      <c r="EK182" s="17">
        <f>EJ182*VLOOKUP('Données projet'!$B$15,Paramètres!$A$1:$I$89,3,0)*VLOOKUP('Données projet'!$B$15,Paramètres!$A$1:$I$89,5,0)</f>
        <v>-1.0049916454590858E-13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191.932060106699</v>
      </c>
      <c r="EP182" s="59">
        <f t="shared" si="154"/>
        <v>260.28593152736903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0.1277753225495912</v>
      </c>
      <c r="EW182" s="21">
        <f>EXP(-LN(2)/25)*EW181+(1-EXP(-LN(2)/25))/(LN(2)/25)*Calculateur!ER182*Calculateur!ET182*VLOOKUP('Données projet'!$B$15,Paramètres!$A$1:$I$89,3,0)*0.475*44/12</f>
        <v>0.20272701490575507</v>
      </c>
      <c r="EX182" s="21">
        <f>EXP(-LN(2)/2)*EX181+(1-EXP(-LN(2)/2))/(LN(2)/2)*ER182*EU182*VLOOKUP('Données projet'!$B$15,Paramètres!$A$1:$I$89,3,0)*0.475*44/12</f>
        <v>5.0100664213253969E-23</v>
      </c>
      <c r="EY182" s="22">
        <f t="shared" si="181"/>
        <v>0.3305023374553463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181.00000000000009</v>
      </c>
      <c r="FF182" s="17">
        <f>FE182*VLOOKUP('Données projet'!$B$16,Paramètres!$A$1:$I$89,3,0)*VLOOKUP('Données projet'!$B$16,Paramètres!$A$1:$I$89,5,0)</f>
        <v>175.06320000000008</v>
      </c>
      <c r="FG182" s="13">
        <f t="shared" si="182"/>
        <v>44.222067746824763</v>
      </c>
      <c r="FH182" s="20">
        <f t="shared" si="183"/>
        <v>381.92184132571992</v>
      </c>
      <c r="FI182" s="59">
        <f t="shared" si="131"/>
        <v>675.25517465905318</v>
      </c>
      <c r="FJ182" s="59">
        <f ca="1">AVERAGE(OFFSET($FI$3,0,0,'Données projet'!$E$16+1,1))-AVERAGE(OFFSET($H$3,0,0,'Données projet'!$E$16+1,1))</f>
        <v>102.86738524979938</v>
      </c>
      <c r="FK182" s="59">
        <f t="shared" si="156"/>
        <v>56.347130462109817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0</v>
      </c>
      <c r="FR182" s="21">
        <f>EXP(-LN(2)/25)*FR181+(1-EXP(-LN(2)/25))/(LN(2)/25)*Calculateur!FM182*Calculateur!FO182*VLOOKUP('Données projet'!$B$16,Paramètres!$A$1:$I$89,3,0)*0.475*44/12</f>
        <v>0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0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300.00000000000068</v>
      </c>
      <c r="GA182" s="17">
        <f>FZ182*VLOOKUP('Données projet'!$B$17,Paramètres!$A$1:$I$89,3,0)*VLOOKUP('Données projet'!$B$17,Paramètres!$A$1:$I$89,5,0)</f>
        <v>201.24000000000046</v>
      </c>
      <c r="GB182" s="13">
        <f t="shared" si="185"/>
        <v>50.01658408633331</v>
      </c>
      <c r="GC182" s="20">
        <f t="shared" si="186"/>
        <v>437.60521728369798</v>
      </c>
      <c r="GD182" s="59">
        <f t="shared" si="134"/>
        <v>730.9385506170313</v>
      </c>
      <c r="GE182" s="59">
        <f ca="1">AVERAGE(OFFSET($GD$3,0,0,'Données projet'!$E$17+1,1))-AVERAGE(OFFSET($H$3,0,0,'Données projet'!$E$17+1,1))</f>
        <v>168.00454652899231</v>
      </c>
      <c r="GF182" s="59">
        <f t="shared" si="158"/>
        <v>135.31958994080446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0</v>
      </c>
      <c r="GM182" s="21">
        <f>EXP(-LN(2)/25)*GM181+(1-EXP(-LN(2)/25))/(LN(2)/25)*Calculateur!GH182*Calculateur!GJ182*VLOOKUP('Données projet'!$B$17,Paramètres!$A$1:$I$89,3,0)*0.475*44/12</f>
        <v>0</v>
      </c>
      <c r="GN182" s="21">
        <f>EXP(-LN(2)/2)*GN181+(1-EXP(-LN(2)/2))/(LN(2)/2)*GH182*GK182*VLOOKUP('Données projet'!$B$17,Paramètres!$A$1:$I$89,3,0)*0.475*44/12</f>
        <v>0</v>
      </c>
      <c r="GO182" s="21">
        <f t="shared" si="187"/>
        <v>0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4.5474735088646412E-13</v>
      </c>
      <c r="O183" s="13">
        <f>N183*VLOOKUP('Données projet'!$B$9,Paramètres!$A$1:$I$89,3,0)*VLOOKUP('Données projet'!$B$9,Paramètres!$A$1:$I$89,5,0)</f>
        <v>4.1145540308207271E-13</v>
      </c>
      <c r="P183" s="13">
        <f t="shared" si="141"/>
        <v>5.2428527960910789E-12</v>
      </c>
      <c r="Q183" s="20">
        <f t="shared" si="162"/>
        <v>9.8479201135599071E-12</v>
      </c>
      <c r="R183" s="59">
        <f t="shared" si="109"/>
        <v>293.33333333334315</v>
      </c>
      <c r="S183" s="59">
        <f ca="1">AVERAGE(OFFSET($R$3,0,0,'Données projet'!$E$9+1,1))-AVERAGE(OFFSET($H$3,0,0,'Données projet'!$E$9+1,1))</f>
        <v>221.7429870520005</v>
      </c>
      <c r="T183" s="59">
        <f t="shared" si="142"/>
        <v>182.2029938397186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0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-5.6843418860808015E-13</v>
      </c>
      <c r="AJ183" s="13">
        <f>AI183*VLOOKUP('Données projet'!$B$10,Paramètres!$A$1:$I$89,3,0)*VLOOKUP('Données projet'!$B$10,Paramètres!$A$1:$I$89,5,0)</f>
        <v>-5.1431925385259092E-13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153.45079678708987</v>
      </c>
      <c r="AO183" s="59">
        <f t="shared" si="144"/>
        <v>115.4217868409637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0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3.4106051316484809E-13</v>
      </c>
      <c r="BE183" s="13">
        <f>BD183*VLOOKUP('Données projet'!$B$11,Paramètres!$A$1:$I$89,3,0)*VLOOKUP('Données projet'!$B$11,Paramètres!$A$1:$I$89,5,0)</f>
        <v>1.5961632016114892E-13</v>
      </c>
      <c r="BF183" s="13">
        <f t="shared" si="167"/>
        <v>2.2708641912150958E-12</v>
      </c>
      <c r="BG183" s="20">
        <f t="shared" si="168"/>
        <v>4.2330868906469593E-12</v>
      </c>
      <c r="BH183" s="59">
        <f t="shared" si="116"/>
        <v>293.33333333333752</v>
      </c>
      <c r="BI183" s="59">
        <f ca="1">AVERAGE(OFFSET($BH$3,0,0,'Données projet'!$E$11+1,1))-AVERAGE(OFFSET($H$3,0,0,'Données projet'!$E$11+1,1))</f>
        <v>158.58786357608489</v>
      </c>
      <c r="BJ183" s="59">
        <f t="shared" si="146"/>
        <v>163.20074068819849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0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>
        <f>BY183*VLOOKUP('Données projet'!$B$12,Paramètres!$A$1:$I$89,3,0)*VLOOKUP('Données projet'!$B$12,Paramètres!$A$1:$I$89,5,0)</f>
        <v>0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255.41017495879987</v>
      </c>
      <c r="CE183" s="59">
        <f t="shared" si="148"/>
        <v>297.50513563712764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0.42780408318126462</v>
      </c>
      <c r="CL183" s="21">
        <f>EXP(-LN(2)/25)*CL182+(1-EXP(-LN(2)/25))/(LN(2)/25)*Calculateur!CG183*Calculateur!CI183*VLOOKUP('Données projet'!$B$12,Paramètres!$A$1:$I$89,3,0)*0.475*44/12</f>
        <v>0.43546668296655383</v>
      </c>
      <c r="CM183" s="21">
        <f>EXP(-LN(2)/2)*CM182+(1-EXP(-LN(2)/2))/(LN(2)/2)*CG183*CJ183*VLOOKUP('Données projet'!$B$12,Paramètres!$A$1:$I$89,3,0)*0.475*44/12</f>
        <v>6.4589415141293692E-22</v>
      </c>
      <c r="CN183" s="22">
        <f t="shared" si="172"/>
        <v>0.8632707661478185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-1.4210854715202004E-13</v>
      </c>
      <c r="CU183" s="17">
        <f>CT183*VLOOKUP('Données projet'!$B$13,Paramètres!$A$1:$I$89,3,0)*VLOOKUP('Données projet'!$B$13,Paramètres!$A$1:$I$89,5,0)</f>
        <v>-8.128608897095547E-14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134.70214882504786</v>
      </c>
      <c r="CZ183" s="59">
        <f t="shared" si="150"/>
        <v>102.18553029667771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5.4500918999778353E-2</v>
      </c>
      <c r="DG183" s="21">
        <f>EXP(-LN(2)/25)*DG182+(1-EXP(-LN(2)/25))/(LN(2)/25)*Calculateur!DB183*Calculateur!DD183*VLOOKUP('Données projet'!$B$13,Paramètres!$A$1:$I$89,3,0)*0.475*44/12</f>
        <v>0.19608824860391</v>
      </c>
      <c r="DH183" s="21">
        <f>EXP(-LN(2)/2)*DH182+(1-EXP(-LN(2)/2))/(LN(2)/2)*DB183*DE183*VLOOKUP('Données projet'!$B$13,Paramètres!$A$1:$I$89,3,0)*0.475*44/12</f>
        <v>2.0397337989794418E-22</v>
      </c>
      <c r="DI183" s="22">
        <f t="shared" si="175"/>
        <v>0.25058916760368832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-2.8421709430404007E-13</v>
      </c>
      <c r="DP183" s="17">
        <f>DO183*VLOOKUP('Données projet'!$B$14,Paramètres!$A$1:$I$89,3,0)*VLOOKUP('Données projet'!$B$14,Paramètres!$A$1:$I$89,5,0)</f>
        <v>-1.69961822393816E-13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179.32848817523677</v>
      </c>
      <c r="DU183" s="59">
        <f t="shared" si="152"/>
        <v>131.3292389103035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</v>
      </c>
      <c r="EB183" s="21">
        <f>EXP(-LN(2)/25)*EB182+(1-EXP(-LN(2)/25))/(LN(2)/25)*Calculateur!DW183*Calculateur!DY183*VLOOKUP('Données projet'!$B$14,Paramètres!$A$1:$I$89,3,0)*0.475*44/12</f>
        <v>0.20593872637668009</v>
      </c>
      <c r="EC183" s="21">
        <f>EXP(-LN(2)/2)*EC182+(1-EXP(-LN(2)/2))/(LN(2)/2)*DW183*DZ183*VLOOKUP('Données projet'!$B$14,Paramètres!$A$1:$I$89,3,0)*0.475*44/12</f>
        <v>1.3930699248820655E-22</v>
      </c>
      <c r="ED183" s="22">
        <f t="shared" si="178"/>
        <v>0.20593872637668009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-2.2737367544323206E-13</v>
      </c>
      <c r="EK183" s="17">
        <f>EJ183*VLOOKUP('Données projet'!$B$15,Paramètres!$A$1:$I$89,3,0)*VLOOKUP('Données projet'!$B$15,Paramètres!$A$1:$I$89,5,0)</f>
        <v>-1.0049916454590858E-13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191.932060106699</v>
      </c>
      <c r="EP183" s="59">
        <f t="shared" si="154"/>
        <v>260.28593152736903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0.12526972640964501</v>
      </c>
      <c r="EW183" s="21">
        <f>EXP(-LN(2)/25)*EW182+(1-EXP(-LN(2)/25))/(LN(2)/25)*Calculateur!ER183*Calculateur!ET183*VLOOKUP('Données projet'!$B$15,Paramètres!$A$1:$I$89,3,0)*0.475*44/12</f>
        <v>0.19718343402220681</v>
      </c>
      <c r="EX183" s="21">
        <f>EXP(-LN(2)/2)*EX182+(1-EXP(-LN(2)/2))/(LN(2)/2)*ER183*EU183*VLOOKUP('Données projet'!$B$15,Paramètres!$A$1:$I$89,3,0)*0.475*44/12</f>
        <v>3.5426519407142066E-23</v>
      </c>
      <c r="EY183" s="22">
        <f t="shared" si="181"/>
        <v>0.32245316043185179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181.00000000000009</v>
      </c>
      <c r="FF183" s="17">
        <f>FE183*VLOOKUP('Données projet'!$B$16,Paramètres!$A$1:$I$89,3,0)*VLOOKUP('Données projet'!$B$16,Paramètres!$A$1:$I$89,5,0)</f>
        <v>175.06320000000008</v>
      </c>
      <c r="FG183" s="13">
        <f t="shared" si="182"/>
        <v>44.222067746824763</v>
      </c>
      <c r="FH183" s="20">
        <f t="shared" si="183"/>
        <v>381.92184132571992</v>
      </c>
      <c r="FI183" s="59">
        <f t="shared" si="131"/>
        <v>675.25517465905318</v>
      </c>
      <c r="FJ183" s="59">
        <f ca="1">AVERAGE(OFFSET($FI$3,0,0,'Données projet'!$E$16+1,1))-AVERAGE(OFFSET($H$3,0,0,'Données projet'!$E$16+1,1))</f>
        <v>102.86738524979938</v>
      </c>
      <c r="FK183" s="59">
        <f t="shared" si="156"/>
        <v>56.347130462109817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0</v>
      </c>
      <c r="FR183" s="21">
        <f>EXP(-LN(2)/25)*FR182+(1-EXP(-LN(2)/25))/(LN(2)/25)*Calculateur!FM183*Calculateur!FO183*VLOOKUP('Données projet'!$B$16,Paramètres!$A$1:$I$89,3,0)*0.475*44/12</f>
        <v>0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0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300.00000000000068</v>
      </c>
      <c r="GA183" s="17">
        <f>FZ183*VLOOKUP('Données projet'!$B$17,Paramètres!$A$1:$I$89,3,0)*VLOOKUP('Données projet'!$B$17,Paramètres!$A$1:$I$89,5,0)</f>
        <v>201.24000000000046</v>
      </c>
      <c r="GB183" s="13">
        <f t="shared" si="185"/>
        <v>50.01658408633331</v>
      </c>
      <c r="GC183" s="20">
        <f t="shared" si="186"/>
        <v>437.60521728369798</v>
      </c>
      <c r="GD183" s="59">
        <f t="shared" si="134"/>
        <v>730.9385506170313</v>
      </c>
      <c r="GE183" s="59">
        <f ca="1">AVERAGE(OFFSET($GD$3,0,0,'Données projet'!$E$17+1,1))-AVERAGE(OFFSET($H$3,0,0,'Données projet'!$E$17+1,1))</f>
        <v>168.00454652899231</v>
      </c>
      <c r="GF183" s="59">
        <f t="shared" si="158"/>
        <v>135.31958994080446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0</v>
      </c>
      <c r="GM183" s="21">
        <f>EXP(-LN(2)/25)*GM182+(1-EXP(-LN(2)/25))/(LN(2)/25)*Calculateur!GH183*Calculateur!GJ183*VLOOKUP('Données projet'!$B$17,Paramètres!$A$1:$I$89,3,0)*0.475*44/12</f>
        <v>0</v>
      </c>
      <c r="GN183" s="21">
        <f>EXP(-LN(2)/2)*GN182+(1-EXP(-LN(2)/2))/(LN(2)/2)*GH183*GK183*VLOOKUP('Données projet'!$B$17,Paramètres!$A$1:$I$89,3,0)*0.475*44/12</f>
        <v>0</v>
      </c>
      <c r="GO183" s="21">
        <f t="shared" si="187"/>
        <v>0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4.5474735088646412E-13</v>
      </c>
      <c r="O184" s="13">
        <f>N184*VLOOKUP('Données projet'!$B$9,Paramètres!$A$1:$I$89,3,0)*VLOOKUP('Données projet'!$B$9,Paramètres!$A$1:$I$89,5,0)</f>
        <v>4.1145540308207271E-13</v>
      </c>
      <c r="P184" s="13">
        <f t="shared" si="141"/>
        <v>5.2428527960910789E-12</v>
      </c>
      <c r="Q184" s="20">
        <f t="shared" si="162"/>
        <v>9.8479201135599071E-12</v>
      </c>
      <c r="R184" s="59">
        <f t="shared" si="109"/>
        <v>293.33333333334315</v>
      </c>
      <c r="S184" s="59">
        <f ca="1">AVERAGE(OFFSET($R$3,0,0,'Données projet'!$E$9+1,1))-AVERAGE(OFFSET($H$3,0,0,'Données projet'!$E$9+1,1))</f>
        <v>221.7429870520005</v>
      </c>
      <c r="T184" s="59">
        <f t="shared" si="142"/>
        <v>182.2029938397186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0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-5.6843418860808015E-13</v>
      </c>
      <c r="AJ184" s="13">
        <f>AI184*VLOOKUP('Données projet'!$B$10,Paramètres!$A$1:$I$89,3,0)*VLOOKUP('Données projet'!$B$10,Paramètres!$A$1:$I$89,5,0)</f>
        <v>-5.1431925385259092E-13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153.45079678708987</v>
      </c>
      <c r="AO184" s="59">
        <f t="shared" si="144"/>
        <v>115.4217868409637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0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3.4106051316484809E-13</v>
      </c>
      <c r="BE184" s="13">
        <f>BD184*VLOOKUP('Données projet'!$B$11,Paramètres!$A$1:$I$89,3,0)*VLOOKUP('Données projet'!$B$11,Paramètres!$A$1:$I$89,5,0)</f>
        <v>1.5961632016114892E-13</v>
      </c>
      <c r="BF184" s="13">
        <f t="shared" si="167"/>
        <v>2.2708641912150958E-12</v>
      </c>
      <c r="BG184" s="20">
        <f t="shared" si="168"/>
        <v>4.2330868906469593E-12</v>
      </c>
      <c r="BH184" s="59">
        <f t="shared" si="116"/>
        <v>293.33333333333752</v>
      </c>
      <c r="BI184" s="59">
        <f ca="1">AVERAGE(OFFSET($BH$3,0,0,'Données projet'!$E$11+1,1))-AVERAGE(OFFSET($H$3,0,0,'Données projet'!$E$11+1,1))</f>
        <v>158.58786357608489</v>
      </c>
      <c r="BJ184" s="59">
        <f t="shared" si="146"/>
        <v>163.20074068819849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0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>
        <f>BY184*VLOOKUP('Données projet'!$B$12,Paramètres!$A$1:$I$89,3,0)*VLOOKUP('Données projet'!$B$12,Paramètres!$A$1:$I$89,5,0)</f>
        <v>0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255.41017495879987</v>
      </c>
      <c r="CE184" s="59">
        <f t="shared" si="148"/>
        <v>297.50513563712764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0.41941510604480559</v>
      </c>
      <c r="CL184" s="21">
        <f>EXP(-LN(2)/25)*CL183+(1-EXP(-LN(2)/25))/(LN(2)/25)*Calculateur!CG184*Calculateur!CI184*VLOOKUP('Données projet'!$B$12,Paramètres!$A$1:$I$89,3,0)*0.475*44/12</f>
        <v>0.42355882362063585</v>
      </c>
      <c r="CM184" s="21">
        <f>EXP(-LN(2)/2)*CM183+(1-EXP(-LN(2)/2))/(LN(2)/2)*CG184*CJ184*VLOOKUP('Données projet'!$B$12,Paramètres!$A$1:$I$89,3,0)*0.475*44/12</f>
        <v>4.5671613439281837E-22</v>
      </c>
      <c r="CN184" s="22">
        <f t="shared" si="172"/>
        <v>0.84297392966544149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-1.4210854715202004E-13</v>
      </c>
      <c r="CU184" s="17">
        <f>CT184*VLOOKUP('Données projet'!$B$13,Paramètres!$A$1:$I$89,3,0)*VLOOKUP('Données projet'!$B$13,Paramètres!$A$1:$I$89,5,0)</f>
        <v>-8.128608897095547E-14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134.70214882504786</v>
      </c>
      <c r="CZ184" s="59">
        <f t="shared" si="150"/>
        <v>102.18553029667771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5.343218922047089E-2</v>
      </c>
      <c r="DG184" s="21">
        <f>EXP(-LN(2)/25)*DG183+(1-EXP(-LN(2)/25))/(LN(2)/25)*Calculateur!DB184*Calculateur!DD184*VLOOKUP('Données projet'!$B$13,Paramètres!$A$1:$I$89,3,0)*0.475*44/12</f>
        <v>0.19072620513400326</v>
      </c>
      <c r="DH184" s="21">
        <f>EXP(-LN(2)/2)*DH183+(1-EXP(-LN(2)/2))/(LN(2)/2)*DB184*DE184*VLOOKUP('Données projet'!$B$13,Paramètres!$A$1:$I$89,3,0)*0.475*44/12</f>
        <v>1.4423096010737615E-22</v>
      </c>
      <c r="DI184" s="22">
        <f t="shared" si="175"/>
        <v>0.24415839435447415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-2.8421709430404007E-13</v>
      </c>
      <c r="DP184" s="17">
        <f>DO184*VLOOKUP('Données projet'!$B$14,Paramètres!$A$1:$I$89,3,0)*VLOOKUP('Données projet'!$B$14,Paramètres!$A$1:$I$89,5,0)</f>
        <v>-1.69961822393816E-13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179.32848817523677</v>
      </c>
      <c r="DU184" s="59">
        <f t="shared" si="152"/>
        <v>131.3292389103035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</v>
      </c>
      <c r="EB184" s="21">
        <f>EXP(-LN(2)/25)*EB183+(1-EXP(-LN(2)/25))/(LN(2)/25)*Calculateur!DW184*Calculateur!DY184*VLOOKUP('Données projet'!$B$14,Paramètres!$A$1:$I$89,3,0)*0.475*44/12</f>
        <v>0.20030732107406282</v>
      </c>
      <c r="EC184" s="21">
        <f>EXP(-LN(2)/2)*EC183+(1-EXP(-LN(2)/2))/(LN(2)/2)*DW184*DZ184*VLOOKUP('Données projet'!$B$14,Paramètres!$A$1:$I$89,3,0)*0.475*44/12</f>
        <v>9.8504919055114291E-23</v>
      </c>
      <c r="ED184" s="22">
        <f t="shared" si="178"/>
        <v>0.20030732107406282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-2.2737367544323206E-13</v>
      </c>
      <c r="EK184" s="17">
        <f>EJ184*VLOOKUP('Données projet'!$B$15,Paramètres!$A$1:$I$89,3,0)*VLOOKUP('Données projet'!$B$15,Paramètres!$A$1:$I$89,5,0)</f>
        <v>-1.0049916454590858E-13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191.932060106699</v>
      </c>
      <c r="EP184" s="59">
        <f t="shared" si="154"/>
        <v>260.28593152736903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0.12281326348174042</v>
      </c>
      <c r="EW184" s="21">
        <f>EXP(-LN(2)/25)*EW183+(1-EXP(-LN(2)/25))/(LN(2)/25)*Calculateur!ER184*Calculateur!ET184*VLOOKUP('Données projet'!$B$15,Paramètres!$A$1:$I$89,3,0)*0.475*44/12</f>
        <v>0.19179144264944345</v>
      </c>
      <c r="EX184" s="21">
        <f>EXP(-LN(2)/2)*EX183+(1-EXP(-LN(2)/2))/(LN(2)/2)*ER184*EU184*VLOOKUP('Données projet'!$B$15,Paramètres!$A$1:$I$89,3,0)*0.475*44/12</f>
        <v>2.5050332106626985E-23</v>
      </c>
      <c r="EY184" s="22">
        <f t="shared" si="181"/>
        <v>0.31460470613118385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181.00000000000009</v>
      </c>
      <c r="FF184" s="17">
        <f>FE184*VLOOKUP('Données projet'!$B$16,Paramètres!$A$1:$I$89,3,0)*VLOOKUP('Données projet'!$B$16,Paramètres!$A$1:$I$89,5,0)</f>
        <v>175.06320000000008</v>
      </c>
      <c r="FG184" s="13">
        <f t="shared" si="182"/>
        <v>44.222067746824763</v>
      </c>
      <c r="FH184" s="20">
        <f t="shared" si="183"/>
        <v>381.92184132571992</v>
      </c>
      <c r="FI184" s="59">
        <f t="shared" si="131"/>
        <v>675.25517465905318</v>
      </c>
      <c r="FJ184" s="59">
        <f ca="1">AVERAGE(OFFSET($FI$3,0,0,'Données projet'!$E$16+1,1))-AVERAGE(OFFSET($H$3,0,0,'Données projet'!$E$16+1,1))</f>
        <v>102.86738524979938</v>
      </c>
      <c r="FK184" s="59">
        <f t="shared" si="156"/>
        <v>56.347130462109817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0</v>
      </c>
      <c r="FR184" s="21">
        <f>EXP(-LN(2)/25)*FR183+(1-EXP(-LN(2)/25))/(LN(2)/25)*Calculateur!FM184*Calculateur!FO184*VLOOKUP('Données projet'!$B$16,Paramètres!$A$1:$I$89,3,0)*0.475*44/12</f>
        <v>0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0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300.00000000000068</v>
      </c>
      <c r="GA184" s="17">
        <f>FZ184*VLOOKUP('Données projet'!$B$17,Paramètres!$A$1:$I$89,3,0)*VLOOKUP('Données projet'!$B$17,Paramètres!$A$1:$I$89,5,0)</f>
        <v>201.24000000000046</v>
      </c>
      <c r="GB184" s="13">
        <f t="shared" si="185"/>
        <v>50.01658408633331</v>
      </c>
      <c r="GC184" s="20">
        <f t="shared" si="186"/>
        <v>437.60521728369798</v>
      </c>
      <c r="GD184" s="59">
        <f t="shared" si="134"/>
        <v>730.9385506170313</v>
      </c>
      <c r="GE184" s="59">
        <f ca="1">AVERAGE(OFFSET($GD$3,0,0,'Données projet'!$E$17+1,1))-AVERAGE(OFFSET($H$3,0,0,'Données projet'!$E$17+1,1))</f>
        <v>168.00454652899231</v>
      </c>
      <c r="GF184" s="59">
        <f t="shared" si="158"/>
        <v>135.31958994080446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0</v>
      </c>
      <c r="GM184" s="21">
        <f>EXP(-LN(2)/25)*GM183+(1-EXP(-LN(2)/25))/(LN(2)/25)*Calculateur!GH184*Calculateur!GJ184*VLOOKUP('Données projet'!$B$17,Paramètres!$A$1:$I$89,3,0)*0.475*44/12</f>
        <v>0</v>
      </c>
      <c r="GN184" s="21">
        <f>EXP(-LN(2)/2)*GN183+(1-EXP(-LN(2)/2))/(LN(2)/2)*GH184*GK184*VLOOKUP('Données projet'!$B$17,Paramètres!$A$1:$I$89,3,0)*0.475*44/12</f>
        <v>0</v>
      </c>
      <c r="GO184" s="21">
        <f t="shared" si="187"/>
        <v>0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4.5474735088646412E-13</v>
      </c>
      <c r="O185" s="13">
        <f>N185*VLOOKUP('Données projet'!$B$9,Paramètres!$A$1:$I$89,3,0)*VLOOKUP('Données projet'!$B$9,Paramètres!$A$1:$I$89,5,0)</f>
        <v>4.1145540308207271E-13</v>
      </c>
      <c r="P185" s="13">
        <f t="shared" si="141"/>
        <v>5.2428527960910789E-12</v>
      </c>
      <c r="Q185" s="20">
        <f t="shared" si="162"/>
        <v>9.8479201135599071E-12</v>
      </c>
      <c r="R185" s="59">
        <f t="shared" si="109"/>
        <v>293.33333333334315</v>
      </c>
      <c r="S185" s="59">
        <f ca="1">AVERAGE(OFFSET($R$3,0,0,'Données projet'!$E$9+1,1))-AVERAGE(OFFSET($H$3,0,0,'Données projet'!$E$9+1,1))</f>
        <v>221.7429870520005</v>
      </c>
      <c r="T185" s="59">
        <f t="shared" si="142"/>
        <v>182.2029938397186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0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-5.6843418860808015E-13</v>
      </c>
      <c r="AJ185" s="13">
        <f>AI185*VLOOKUP('Données projet'!$B$10,Paramètres!$A$1:$I$89,3,0)*VLOOKUP('Données projet'!$B$10,Paramètres!$A$1:$I$89,5,0)</f>
        <v>-5.1431925385259092E-13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153.45079678708987</v>
      </c>
      <c r="AO185" s="59">
        <f t="shared" si="144"/>
        <v>115.4217868409637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0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3.4106051316484809E-13</v>
      </c>
      <c r="BE185" s="13">
        <f>BD185*VLOOKUP('Données projet'!$B$11,Paramètres!$A$1:$I$89,3,0)*VLOOKUP('Données projet'!$B$11,Paramètres!$A$1:$I$89,5,0)</f>
        <v>1.5961632016114892E-13</v>
      </c>
      <c r="BF185" s="13">
        <f t="shared" si="167"/>
        <v>2.2708641912150958E-12</v>
      </c>
      <c r="BG185" s="20">
        <f t="shared" si="168"/>
        <v>4.2330868906469593E-12</v>
      </c>
      <c r="BH185" s="59">
        <f t="shared" si="116"/>
        <v>293.33333333333752</v>
      </c>
      <c r="BI185" s="59">
        <f ca="1">AVERAGE(OFFSET($BH$3,0,0,'Données projet'!$E$11+1,1))-AVERAGE(OFFSET($H$3,0,0,'Données projet'!$E$11+1,1))</f>
        <v>158.58786357608489</v>
      </c>
      <c r="BJ185" s="59">
        <f t="shared" si="146"/>
        <v>163.20074068819849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0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>
        <f>BY185*VLOOKUP('Données projet'!$B$12,Paramètres!$A$1:$I$89,3,0)*VLOOKUP('Données projet'!$B$12,Paramètres!$A$1:$I$89,5,0)</f>
        <v>0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255.41017495879987</v>
      </c>
      <c r="CE185" s="59">
        <f t="shared" si="148"/>
        <v>297.50513563712764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0.41119063163322173</v>
      </c>
      <c r="CL185" s="21">
        <f>EXP(-LN(2)/25)*CL184+(1-EXP(-LN(2)/25))/(LN(2)/25)*Calculateur!CG185*Calculateur!CI185*VLOOKUP('Données projet'!$B$12,Paramètres!$A$1:$I$89,3,0)*0.475*44/12</f>
        <v>0.41197658531473907</v>
      </c>
      <c r="CM185" s="21">
        <f>EXP(-LN(2)/2)*CM184+(1-EXP(-LN(2)/2))/(LN(2)/2)*CG185*CJ185*VLOOKUP('Données projet'!$B$12,Paramètres!$A$1:$I$89,3,0)*0.475*44/12</f>
        <v>3.2294707570646846E-22</v>
      </c>
      <c r="CN185" s="22">
        <f t="shared" si="172"/>
        <v>0.8231672169479608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-1.4210854715202004E-13</v>
      </c>
      <c r="CU185" s="17">
        <f>CT185*VLOOKUP('Données projet'!$B$13,Paramètres!$A$1:$I$89,3,0)*VLOOKUP('Données projet'!$B$13,Paramètres!$A$1:$I$89,5,0)</f>
        <v>-8.128608897095547E-14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134.70214882504786</v>
      </c>
      <c r="CZ185" s="59">
        <f t="shared" si="150"/>
        <v>102.18553029667771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5.2384416580274845E-2</v>
      </c>
      <c r="DG185" s="21">
        <f>EXP(-LN(2)/25)*DG184+(1-EXP(-LN(2)/25))/(LN(2)/25)*Calculateur!DB185*Calculateur!DD185*VLOOKUP('Données projet'!$B$13,Paramètres!$A$1:$I$89,3,0)*0.475*44/12</f>
        <v>0.18551078702475873</v>
      </c>
      <c r="DH185" s="21">
        <f>EXP(-LN(2)/2)*DH184+(1-EXP(-LN(2)/2))/(LN(2)/2)*DB185*DE185*VLOOKUP('Données projet'!$B$13,Paramètres!$A$1:$I$89,3,0)*0.475*44/12</f>
        <v>1.0198668994897209E-22</v>
      </c>
      <c r="DI185" s="22">
        <f t="shared" si="175"/>
        <v>0.23789520360503358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-2.8421709430404007E-13</v>
      </c>
      <c r="DP185" s="17">
        <f>DO185*VLOOKUP('Données projet'!$B$14,Paramètres!$A$1:$I$89,3,0)*VLOOKUP('Données projet'!$B$14,Paramètres!$A$1:$I$89,5,0)</f>
        <v>-1.69961822393816E-13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179.32848817523677</v>
      </c>
      <c r="DU185" s="59">
        <f t="shared" si="152"/>
        <v>131.3292389103035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</v>
      </c>
      <c r="EB185" s="21">
        <f>EXP(-LN(2)/25)*EB184+(1-EXP(-LN(2)/25))/(LN(2)/25)*Calculateur!DW185*Calculateur!DY185*VLOOKUP('Données projet'!$B$14,Paramètres!$A$1:$I$89,3,0)*0.475*44/12</f>
        <v>0.19482990684558837</v>
      </c>
      <c r="EC185" s="21">
        <f>EXP(-LN(2)/2)*EC184+(1-EXP(-LN(2)/2))/(LN(2)/2)*DW185*DZ185*VLOOKUP('Données projet'!$B$14,Paramètres!$A$1:$I$89,3,0)*0.475*44/12</f>
        <v>6.9653496244103276E-23</v>
      </c>
      <c r="ED185" s="22">
        <f t="shared" si="178"/>
        <v>0.19482990684558837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-2.2737367544323206E-13</v>
      </c>
      <c r="EK185" s="17">
        <f>EJ185*VLOOKUP('Données projet'!$B$15,Paramètres!$A$1:$I$89,3,0)*VLOOKUP('Données projet'!$B$15,Paramètres!$A$1:$I$89,5,0)</f>
        <v>-1.0049916454590858E-13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191.932060106699</v>
      </c>
      <c r="EP185" s="59">
        <f t="shared" si="154"/>
        <v>260.28593152736903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0.12040497029355759</v>
      </c>
      <c r="EW185" s="21">
        <f>EXP(-LN(2)/25)*EW184+(1-EXP(-LN(2)/25))/(LN(2)/25)*Calculateur!ER185*Calculateur!ET185*VLOOKUP('Données projet'!$B$15,Paramètres!$A$1:$I$89,3,0)*0.475*44/12</f>
        <v>0.1865468955643208</v>
      </c>
      <c r="EX185" s="21">
        <f>EXP(-LN(2)/2)*EX184+(1-EXP(-LN(2)/2))/(LN(2)/2)*ER185*EU185*VLOOKUP('Données projet'!$B$15,Paramètres!$A$1:$I$89,3,0)*0.475*44/12</f>
        <v>1.7713259703571033E-23</v>
      </c>
      <c r="EY185" s="22">
        <f t="shared" si="181"/>
        <v>0.30695186585787837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181.00000000000009</v>
      </c>
      <c r="FF185" s="17">
        <f>FE185*VLOOKUP('Données projet'!$B$16,Paramètres!$A$1:$I$89,3,0)*VLOOKUP('Données projet'!$B$16,Paramètres!$A$1:$I$89,5,0)</f>
        <v>175.06320000000008</v>
      </c>
      <c r="FG185" s="13">
        <f t="shared" si="182"/>
        <v>44.222067746824763</v>
      </c>
      <c r="FH185" s="20">
        <f t="shared" si="183"/>
        <v>381.92184132571992</v>
      </c>
      <c r="FI185" s="59">
        <f t="shared" si="131"/>
        <v>675.25517465905318</v>
      </c>
      <c r="FJ185" s="59">
        <f ca="1">AVERAGE(OFFSET($FI$3,0,0,'Données projet'!$E$16+1,1))-AVERAGE(OFFSET($H$3,0,0,'Données projet'!$E$16+1,1))</f>
        <v>102.86738524979938</v>
      </c>
      <c r="FK185" s="59">
        <f t="shared" si="156"/>
        <v>56.347130462109817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0</v>
      </c>
      <c r="FR185" s="21">
        <f>EXP(-LN(2)/25)*FR184+(1-EXP(-LN(2)/25))/(LN(2)/25)*Calculateur!FM185*Calculateur!FO185*VLOOKUP('Données projet'!$B$16,Paramètres!$A$1:$I$89,3,0)*0.475*44/12</f>
        <v>0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0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300.00000000000068</v>
      </c>
      <c r="GA185" s="17">
        <f>FZ185*VLOOKUP('Données projet'!$B$17,Paramètres!$A$1:$I$89,3,0)*VLOOKUP('Données projet'!$B$17,Paramètres!$A$1:$I$89,5,0)</f>
        <v>201.24000000000046</v>
      </c>
      <c r="GB185" s="13">
        <f t="shared" si="185"/>
        <v>50.01658408633331</v>
      </c>
      <c r="GC185" s="20">
        <f t="shared" si="186"/>
        <v>437.60521728369798</v>
      </c>
      <c r="GD185" s="59">
        <f t="shared" si="134"/>
        <v>730.9385506170313</v>
      </c>
      <c r="GE185" s="59">
        <f ca="1">AVERAGE(OFFSET($GD$3,0,0,'Données projet'!$E$17+1,1))-AVERAGE(OFFSET($H$3,0,0,'Données projet'!$E$17+1,1))</f>
        <v>168.00454652899231</v>
      </c>
      <c r="GF185" s="59">
        <f t="shared" si="158"/>
        <v>135.31958994080446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0</v>
      </c>
      <c r="GM185" s="21">
        <f>EXP(-LN(2)/25)*GM184+(1-EXP(-LN(2)/25))/(LN(2)/25)*Calculateur!GH185*Calculateur!GJ185*VLOOKUP('Données projet'!$B$17,Paramètres!$A$1:$I$89,3,0)*0.475*44/12</f>
        <v>0</v>
      </c>
      <c r="GN185" s="21">
        <f>EXP(-LN(2)/2)*GN184+(1-EXP(-LN(2)/2))/(LN(2)/2)*GH185*GK185*VLOOKUP('Données projet'!$B$17,Paramètres!$A$1:$I$89,3,0)*0.475*44/12</f>
        <v>0</v>
      </c>
      <c r="GO185" s="21">
        <f t="shared" si="187"/>
        <v>0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4.5474735088646412E-13</v>
      </c>
      <c r="O186" s="13">
        <f>N186*VLOOKUP('Données projet'!$B$9,Paramètres!$A$1:$I$89,3,0)*VLOOKUP('Données projet'!$B$9,Paramètres!$A$1:$I$89,5,0)</f>
        <v>4.1145540308207271E-13</v>
      </c>
      <c r="P186" s="13">
        <f t="shared" si="141"/>
        <v>5.2428527960910789E-12</v>
      </c>
      <c r="Q186" s="20">
        <f t="shared" si="162"/>
        <v>9.8479201135599071E-12</v>
      </c>
      <c r="R186" s="59">
        <f t="shared" si="109"/>
        <v>293.33333333334315</v>
      </c>
      <c r="S186" s="59">
        <f ca="1">AVERAGE(OFFSET($R$3,0,0,'Données projet'!$E$9+1,1))-AVERAGE(OFFSET($H$3,0,0,'Données projet'!$E$9+1,1))</f>
        <v>221.7429870520005</v>
      </c>
      <c r="T186" s="59">
        <f t="shared" si="142"/>
        <v>182.2029938397186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0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-5.6843418860808015E-13</v>
      </c>
      <c r="AJ186" s="13">
        <f>AI186*VLOOKUP('Données projet'!$B$10,Paramètres!$A$1:$I$89,3,0)*VLOOKUP('Données projet'!$B$10,Paramètres!$A$1:$I$89,5,0)</f>
        <v>-5.1431925385259092E-13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153.45079678708987</v>
      </c>
      <c r="AO186" s="59">
        <f t="shared" si="144"/>
        <v>115.4217868409637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0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3.4106051316484809E-13</v>
      </c>
      <c r="BE186" s="13">
        <f>BD186*VLOOKUP('Données projet'!$B$11,Paramètres!$A$1:$I$89,3,0)*VLOOKUP('Données projet'!$B$11,Paramètres!$A$1:$I$89,5,0)</f>
        <v>1.5961632016114892E-13</v>
      </c>
      <c r="BF186" s="13">
        <f t="shared" si="167"/>
        <v>2.2708641912150958E-12</v>
      </c>
      <c r="BG186" s="20">
        <f t="shared" si="168"/>
        <v>4.2330868906469593E-12</v>
      </c>
      <c r="BH186" s="59">
        <f t="shared" si="116"/>
        <v>293.33333333333752</v>
      </c>
      <c r="BI186" s="59">
        <f ca="1">AVERAGE(OFFSET($BH$3,0,0,'Données projet'!$E$11+1,1))-AVERAGE(OFFSET($H$3,0,0,'Données projet'!$E$11+1,1))</f>
        <v>158.58786357608489</v>
      </c>
      <c r="BJ186" s="59">
        <f t="shared" si="146"/>
        <v>163.20074068819849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0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>
        <f>BY186*VLOOKUP('Données projet'!$B$12,Paramètres!$A$1:$I$89,3,0)*VLOOKUP('Données projet'!$B$12,Paramètres!$A$1:$I$89,5,0)</f>
        <v>0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255.41017495879987</v>
      </c>
      <c r="CE186" s="59">
        <f t="shared" si="148"/>
        <v>297.50513563712764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0.40312743414841495</v>
      </c>
      <c r="CL186" s="21">
        <f>EXP(-LN(2)/25)*CL185+(1-EXP(-LN(2)/25))/(LN(2)/25)*Calculateur!CG186*Calculateur!CI186*VLOOKUP('Données projet'!$B$12,Paramètres!$A$1:$I$89,3,0)*0.475*44/12</f>
        <v>0.40071106392440048</v>
      </c>
      <c r="CM186" s="21">
        <f>EXP(-LN(2)/2)*CM185+(1-EXP(-LN(2)/2))/(LN(2)/2)*CG186*CJ186*VLOOKUP('Données projet'!$B$12,Paramètres!$A$1:$I$89,3,0)*0.475*44/12</f>
        <v>2.2835806719640919E-22</v>
      </c>
      <c r="CN186" s="22">
        <f t="shared" si="172"/>
        <v>0.80383849807281549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-1.4210854715202004E-13</v>
      </c>
      <c r="CU186" s="17">
        <f>CT186*VLOOKUP('Données projet'!$B$13,Paramètres!$A$1:$I$89,3,0)*VLOOKUP('Données projet'!$B$13,Paramètres!$A$1:$I$89,5,0)</f>
        <v>-8.128608897095547E-14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134.70214882504786</v>
      </c>
      <c r="CZ186" s="59">
        <f t="shared" si="150"/>
        <v>102.18553029667771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5.135719012247484E-2</v>
      </c>
      <c r="DG186" s="21">
        <f>EXP(-LN(2)/25)*DG185+(1-EXP(-LN(2)/25))/(LN(2)/25)*Calculateur!DB186*Calculateur!DD186*VLOOKUP('Données projet'!$B$13,Paramètres!$A$1:$I$89,3,0)*0.475*44/12</f>
        <v>0.1804379847979784</v>
      </c>
      <c r="DH186" s="21">
        <f>EXP(-LN(2)/2)*DH185+(1-EXP(-LN(2)/2))/(LN(2)/2)*DB186*DE186*VLOOKUP('Données projet'!$B$13,Paramètres!$A$1:$I$89,3,0)*0.475*44/12</f>
        <v>7.2115480053688073E-23</v>
      </c>
      <c r="DI186" s="22">
        <f t="shared" si="175"/>
        <v>0.23179517492045323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-2.8421709430404007E-13</v>
      </c>
      <c r="DP186" s="17">
        <f>DO186*VLOOKUP('Données projet'!$B$14,Paramètres!$A$1:$I$89,3,0)*VLOOKUP('Données projet'!$B$14,Paramètres!$A$1:$I$89,5,0)</f>
        <v>-1.69961822393816E-13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179.32848817523677</v>
      </c>
      <c r="DU186" s="59">
        <f t="shared" si="152"/>
        <v>131.3292389103035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</v>
      </c>
      <c r="EB186" s="21">
        <f>EXP(-LN(2)/25)*EB185+(1-EXP(-LN(2)/25))/(LN(2)/25)*Calculateur!DW186*Calculateur!DY186*VLOOKUP('Données projet'!$B$14,Paramètres!$A$1:$I$89,3,0)*0.475*44/12</f>
        <v>0.18950227279723625</v>
      </c>
      <c r="EC186" s="21">
        <f>EXP(-LN(2)/2)*EC185+(1-EXP(-LN(2)/2))/(LN(2)/2)*DW186*DZ186*VLOOKUP('Données projet'!$B$14,Paramètres!$A$1:$I$89,3,0)*0.475*44/12</f>
        <v>4.9252459527557145E-23</v>
      </c>
      <c r="ED186" s="22">
        <f t="shared" si="178"/>
        <v>0.18950227279723625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-2.2737367544323206E-13</v>
      </c>
      <c r="EK186" s="17">
        <f>EJ186*VLOOKUP('Données projet'!$B$15,Paramètres!$A$1:$I$89,3,0)*VLOOKUP('Données projet'!$B$15,Paramètres!$A$1:$I$89,5,0)</f>
        <v>-1.0049916454590858E-13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191.932060106699</v>
      </c>
      <c r="EP186" s="59">
        <f t="shared" si="154"/>
        <v>260.28593152736903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0.11804390226588124</v>
      </c>
      <c r="EW186" s="21">
        <f>EXP(-LN(2)/25)*EW185+(1-EXP(-LN(2)/25))/(LN(2)/25)*Calculateur!ER186*Calculateur!ET186*VLOOKUP('Données projet'!$B$15,Paramètres!$A$1:$I$89,3,0)*0.475*44/12</f>
        <v>0.18144576089503958</v>
      </c>
      <c r="EX186" s="21">
        <f>EXP(-LN(2)/2)*EX185+(1-EXP(-LN(2)/2))/(LN(2)/2)*ER186*EU186*VLOOKUP('Données projet'!$B$15,Paramètres!$A$1:$I$89,3,0)*0.475*44/12</f>
        <v>1.2525166053313492E-23</v>
      </c>
      <c r="EY186" s="22">
        <f t="shared" si="181"/>
        <v>0.29948966316092085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181.00000000000009</v>
      </c>
      <c r="FF186" s="17">
        <f>FE186*VLOOKUP('Données projet'!$B$16,Paramètres!$A$1:$I$89,3,0)*VLOOKUP('Données projet'!$B$16,Paramètres!$A$1:$I$89,5,0)</f>
        <v>175.06320000000008</v>
      </c>
      <c r="FG186" s="13">
        <f t="shared" si="182"/>
        <v>44.222067746824763</v>
      </c>
      <c r="FH186" s="20">
        <f t="shared" si="183"/>
        <v>381.92184132571992</v>
      </c>
      <c r="FI186" s="59">
        <f t="shared" si="131"/>
        <v>675.25517465905318</v>
      </c>
      <c r="FJ186" s="59">
        <f ca="1">AVERAGE(OFFSET($FI$3,0,0,'Données projet'!$E$16+1,1))-AVERAGE(OFFSET($H$3,0,0,'Données projet'!$E$16+1,1))</f>
        <v>102.86738524979938</v>
      </c>
      <c r="FK186" s="59">
        <f t="shared" si="156"/>
        <v>56.347130462109817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0</v>
      </c>
      <c r="FR186" s="21">
        <f>EXP(-LN(2)/25)*FR185+(1-EXP(-LN(2)/25))/(LN(2)/25)*Calculateur!FM186*Calculateur!FO186*VLOOKUP('Données projet'!$B$16,Paramètres!$A$1:$I$89,3,0)*0.475*44/12</f>
        <v>0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0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300.00000000000068</v>
      </c>
      <c r="GA186" s="17">
        <f>FZ186*VLOOKUP('Données projet'!$B$17,Paramètres!$A$1:$I$89,3,0)*VLOOKUP('Données projet'!$B$17,Paramètres!$A$1:$I$89,5,0)</f>
        <v>201.24000000000046</v>
      </c>
      <c r="GB186" s="13">
        <f t="shared" si="185"/>
        <v>50.01658408633331</v>
      </c>
      <c r="GC186" s="20">
        <f t="shared" si="186"/>
        <v>437.60521728369798</v>
      </c>
      <c r="GD186" s="59">
        <f t="shared" si="134"/>
        <v>730.9385506170313</v>
      </c>
      <c r="GE186" s="59">
        <f ca="1">AVERAGE(OFFSET($GD$3,0,0,'Données projet'!$E$17+1,1))-AVERAGE(OFFSET($H$3,0,0,'Données projet'!$E$17+1,1))</f>
        <v>168.00454652899231</v>
      </c>
      <c r="GF186" s="59">
        <f t="shared" si="158"/>
        <v>135.31958994080446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0</v>
      </c>
      <c r="GM186" s="21">
        <f>EXP(-LN(2)/25)*GM185+(1-EXP(-LN(2)/25))/(LN(2)/25)*Calculateur!GH186*Calculateur!GJ186*VLOOKUP('Données projet'!$B$17,Paramètres!$A$1:$I$89,3,0)*0.475*44/12</f>
        <v>0</v>
      </c>
      <c r="GN186" s="21">
        <f>EXP(-LN(2)/2)*GN185+(1-EXP(-LN(2)/2))/(LN(2)/2)*GH186*GK186*VLOOKUP('Données projet'!$B$17,Paramètres!$A$1:$I$89,3,0)*0.475*44/12</f>
        <v>0</v>
      </c>
      <c r="GO186" s="21">
        <f t="shared" si="187"/>
        <v>0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4.5474735088646412E-13</v>
      </c>
      <c r="O187" s="13">
        <f>N187*VLOOKUP('Données projet'!$B$9,Paramètres!$A$1:$I$89,3,0)*VLOOKUP('Données projet'!$B$9,Paramètres!$A$1:$I$89,5,0)</f>
        <v>4.1145540308207271E-13</v>
      </c>
      <c r="P187" s="13">
        <f t="shared" si="141"/>
        <v>5.2428527960910789E-12</v>
      </c>
      <c r="Q187" s="20">
        <f t="shared" si="162"/>
        <v>9.8479201135599071E-12</v>
      </c>
      <c r="R187" s="59">
        <f t="shared" si="109"/>
        <v>293.33333333334315</v>
      </c>
      <c r="S187" s="59">
        <f ca="1">AVERAGE(OFFSET($R$3,0,0,'Données projet'!$E$9+1,1))-AVERAGE(OFFSET($H$3,0,0,'Données projet'!$E$9+1,1))</f>
        <v>221.7429870520005</v>
      </c>
      <c r="T187" s="59">
        <f t="shared" si="142"/>
        <v>182.2029938397186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0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-5.6843418860808015E-13</v>
      </c>
      <c r="AJ187" s="13">
        <f>AI187*VLOOKUP('Données projet'!$B$10,Paramètres!$A$1:$I$89,3,0)*VLOOKUP('Données projet'!$B$10,Paramètres!$A$1:$I$89,5,0)</f>
        <v>-5.1431925385259092E-13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153.45079678708987</v>
      </c>
      <c r="AO187" s="59">
        <f t="shared" si="144"/>
        <v>115.4217868409637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0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3.4106051316484809E-13</v>
      </c>
      <c r="BE187" s="13">
        <f>BD187*VLOOKUP('Données projet'!$B$11,Paramètres!$A$1:$I$89,3,0)*VLOOKUP('Données projet'!$B$11,Paramètres!$A$1:$I$89,5,0)</f>
        <v>1.5961632016114892E-13</v>
      </c>
      <c r="BF187" s="13">
        <f t="shared" si="167"/>
        <v>2.2708641912150958E-12</v>
      </c>
      <c r="BG187" s="20">
        <f t="shared" si="168"/>
        <v>4.2330868906469593E-12</v>
      </c>
      <c r="BH187" s="59">
        <f t="shared" si="116"/>
        <v>293.33333333333752</v>
      </c>
      <c r="BI187" s="59">
        <f ca="1">AVERAGE(OFFSET($BH$3,0,0,'Données projet'!$E$11+1,1))-AVERAGE(OFFSET($H$3,0,0,'Données projet'!$E$11+1,1))</f>
        <v>158.58786357608489</v>
      </c>
      <c r="BJ187" s="59">
        <f t="shared" si="146"/>
        <v>163.20074068819849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0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>
        <f>BY187*VLOOKUP('Données projet'!$B$12,Paramètres!$A$1:$I$89,3,0)*VLOOKUP('Données projet'!$B$12,Paramètres!$A$1:$I$89,5,0)</f>
        <v>0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255.41017495879987</v>
      </c>
      <c r="CE187" s="59">
        <f t="shared" si="148"/>
        <v>297.50513563712764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0.3952223510482204</v>
      </c>
      <c r="CL187" s="21">
        <f>EXP(-LN(2)/25)*CL186+(1-EXP(-LN(2)/25))/(LN(2)/25)*Calculateur!CG187*Calculateur!CI187*VLOOKUP('Données projet'!$B$12,Paramètres!$A$1:$I$89,3,0)*0.475*44/12</f>
        <v>0.38975359880890875</v>
      </c>
      <c r="CM187" s="21">
        <f>EXP(-LN(2)/2)*CM186+(1-EXP(-LN(2)/2))/(LN(2)/2)*CG187*CJ187*VLOOKUP('Données projet'!$B$12,Paramètres!$A$1:$I$89,3,0)*0.475*44/12</f>
        <v>1.6147353785323423E-22</v>
      </c>
      <c r="CN187" s="22">
        <f t="shared" si="172"/>
        <v>0.78497594985712915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-1.4210854715202004E-13</v>
      </c>
      <c r="CU187" s="17">
        <f>CT187*VLOOKUP('Données projet'!$B$13,Paramètres!$A$1:$I$89,3,0)*VLOOKUP('Données projet'!$B$13,Paramètres!$A$1:$I$89,5,0)</f>
        <v>-8.128608897095547E-14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134.70214882504786</v>
      </c>
      <c r="CZ187" s="59">
        <f t="shared" si="150"/>
        <v>102.18553029667771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5.0350106948966016E-2</v>
      </c>
      <c r="DG187" s="21">
        <f>EXP(-LN(2)/25)*DG186+(1-EXP(-LN(2)/25))/(LN(2)/25)*Calculateur!DB187*Calculateur!DD187*VLOOKUP('Données projet'!$B$13,Paramètres!$A$1:$I$89,3,0)*0.475*44/12</f>
        <v>0.17550389861485646</v>
      </c>
      <c r="DH187" s="21">
        <f>EXP(-LN(2)/2)*DH186+(1-EXP(-LN(2)/2))/(LN(2)/2)*DB187*DE187*VLOOKUP('Données projet'!$B$13,Paramètres!$A$1:$I$89,3,0)*0.475*44/12</f>
        <v>5.0993344974486046E-23</v>
      </c>
      <c r="DI187" s="22">
        <f t="shared" si="175"/>
        <v>0.22585400556382249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-2.8421709430404007E-13</v>
      </c>
      <c r="DP187" s="17">
        <f>DO187*VLOOKUP('Données projet'!$B$14,Paramètres!$A$1:$I$89,3,0)*VLOOKUP('Données projet'!$B$14,Paramètres!$A$1:$I$89,5,0)</f>
        <v>-1.69961822393816E-13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179.32848817523677</v>
      </c>
      <c r="DU187" s="59">
        <f t="shared" si="152"/>
        <v>131.3292389103035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</v>
      </c>
      <c r="EB187" s="21">
        <f>EXP(-LN(2)/25)*EB186+(1-EXP(-LN(2)/25))/(LN(2)/25)*Calculateur!DW187*Calculateur!DY187*VLOOKUP('Données projet'!$B$14,Paramètres!$A$1:$I$89,3,0)*0.475*44/12</f>
        <v>0.18432032318210442</v>
      </c>
      <c r="EC187" s="21">
        <f>EXP(-LN(2)/2)*EC186+(1-EXP(-LN(2)/2))/(LN(2)/2)*DW187*DZ187*VLOOKUP('Données projet'!$B$14,Paramètres!$A$1:$I$89,3,0)*0.475*44/12</f>
        <v>3.4826748122051638E-23</v>
      </c>
      <c r="ED187" s="22">
        <f t="shared" si="178"/>
        <v>0.18432032318210442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-2.2737367544323206E-13</v>
      </c>
      <c r="EK187" s="17">
        <f>EJ187*VLOOKUP('Données projet'!$B$15,Paramètres!$A$1:$I$89,3,0)*VLOOKUP('Données projet'!$B$15,Paramètres!$A$1:$I$89,5,0)</f>
        <v>-1.0049916454590858E-13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191.932060106699</v>
      </c>
      <c r="EP187" s="59">
        <f t="shared" si="154"/>
        <v>260.28593152736903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0.11572913334211832</v>
      </c>
      <c r="EW187" s="21">
        <f>EXP(-LN(2)/25)*EW186+(1-EXP(-LN(2)/25))/(LN(2)/25)*Calculateur!ER187*Calculateur!ET187*VLOOKUP('Données projet'!$B$15,Paramètres!$A$1:$I$89,3,0)*0.475*44/12</f>
        <v>0.17648411702154687</v>
      </c>
      <c r="EX187" s="21">
        <f>EXP(-LN(2)/2)*EX186+(1-EXP(-LN(2)/2))/(LN(2)/2)*ER187*EU187*VLOOKUP('Données projet'!$B$15,Paramètres!$A$1:$I$89,3,0)*0.475*44/12</f>
        <v>8.8566298517855166E-24</v>
      </c>
      <c r="EY187" s="22">
        <f t="shared" si="181"/>
        <v>0.29221325036366519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181.00000000000009</v>
      </c>
      <c r="FF187" s="17">
        <f>FE187*VLOOKUP('Données projet'!$B$16,Paramètres!$A$1:$I$89,3,0)*VLOOKUP('Données projet'!$B$16,Paramètres!$A$1:$I$89,5,0)</f>
        <v>175.06320000000008</v>
      </c>
      <c r="FG187" s="13">
        <f t="shared" si="182"/>
        <v>44.222067746824763</v>
      </c>
      <c r="FH187" s="20">
        <f t="shared" si="183"/>
        <v>381.92184132571992</v>
      </c>
      <c r="FI187" s="59">
        <f t="shared" si="131"/>
        <v>675.25517465905318</v>
      </c>
      <c r="FJ187" s="59">
        <f ca="1">AVERAGE(OFFSET($FI$3,0,0,'Données projet'!$E$16+1,1))-AVERAGE(OFFSET($H$3,0,0,'Données projet'!$E$16+1,1))</f>
        <v>102.86738524979938</v>
      </c>
      <c r="FK187" s="59">
        <f t="shared" si="156"/>
        <v>56.347130462109817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0</v>
      </c>
      <c r="FR187" s="21">
        <f>EXP(-LN(2)/25)*FR186+(1-EXP(-LN(2)/25))/(LN(2)/25)*Calculateur!FM187*Calculateur!FO187*VLOOKUP('Données projet'!$B$16,Paramètres!$A$1:$I$89,3,0)*0.475*44/12</f>
        <v>0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0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300.00000000000068</v>
      </c>
      <c r="GA187" s="17">
        <f>FZ187*VLOOKUP('Données projet'!$B$17,Paramètres!$A$1:$I$89,3,0)*VLOOKUP('Données projet'!$B$17,Paramètres!$A$1:$I$89,5,0)</f>
        <v>201.24000000000046</v>
      </c>
      <c r="GB187" s="13">
        <f t="shared" si="185"/>
        <v>50.01658408633331</v>
      </c>
      <c r="GC187" s="20">
        <f t="shared" si="186"/>
        <v>437.60521728369798</v>
      </c>
      <c r="GD187" s="59">
        <f t="shared" si="134"/>
        <v>730.9385506170313</v>
      </c>
      <c r="GE187" s="59">
        <f ca="1">AVERAGE(OFFSET($GD$3,0,0,'Données projet'!$E$17+1,1))-AVERAGE(OFFSET($H$3,0,0,'Données projet'!$E$17+1,1))</f>
        <v>168.00454652899231</v>
      </c>
      <c r="GF187" s="59">
        <f t="shared" si="158"/>
        <v>135.31958994080446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0</v>
      </c>
      <c r="GM187" s="21">
        <f>EXP(-LN(2)/25)*GM186+(1-EXP(-LN(2)/25))/(LN(2)/25)*Calculateur!GH187*Calculateur!GJ187*VLOOKUP('Données projet'!$B$17,Paramètres!$A$1:$I$89,3,0)*0.475*44/12</f>
        <v>0</v>
      </c>
      <c r="GN187" s="21">
        <f>EXP(-LN(2)/2)*GN186+(1-EXP(-LN(2)/2))/(LN(2)/2)*GH187*GK187*VLOOKUP('Données projet'!$B$17,Paramètres!$A$1:$I$89,3,0)*0.475*44/12</f>
        <v>0</v>
      </c>
      <c r="GO187" s="21">
        <f t="shared" si="187"/>
        <v>0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4.5474735088646412E-13</v>
      </c>
      <c r="O188" s="13">
        <f>N188*VLOOKUP('Données projet'!$B$9,Paramètres!$A$1:$I$89,3,0)*VLOOKUP('Données projet'!$B$9,Paramètres!$A$1:$I$89,5,0)</f>
        <v>4.1145540308207271E-13</v>
      </c>
      <c r="P188" s="13">
        <f t="shared" si="141"/>
        <v>5.2428527960910789E-12</v>
      </c>
      <c r="Q188" s="20">
        <f t="shared" si="162"/>
        <v>9.8479201135599071E-12</v>
      </c>
      <c r="R188" s="59">
        <f t="shared" si="109"/>
        <v>293.33333333334315</v>
      </c>
      <c r="S188" s="59">
        <f ca="1">AVERAGE(OFFSET($R$3,0,0,'Données projet'!$E$9+1,1))-AVERAGE(OFFSET($H$3,0,0,'Données projet'!$E$9+1,1))</f>
        <v>221.7429870520005</v>
      </c>
      <c r="T188" s="59">
        <f t="shared" si="142"/>
        <v>182.2029938397186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0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-5.6843418860808015E-13</v>
      </c>
      <c r="AJ188" s="13">
        <f>AI188*VLOOKUP('Données projet'!$B$10,Paramètres!$A$1:$I$89,3,0)*VLOOKUP('Données projet'!$B$10,Paramètres!$A$1:$I$89,5,0)</f>
        <v>-5.1431925385259092E-13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153.45079678708987</v>
      </c>
      <c r="AO188" s="59">
        <f t="shared" si="144"/>
        <v>115.4217868409637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0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3.4106051316484809E-13</v>
      </c>
      <c r="BE188" s="13">
        <f>BD188*VLOOKUP('Données projet'!$B$11,Paramètres!$A$1:$I$89,3,0)*VLOOKUP('Données projet'!$B$11,Paramètres!$A$1:$I$89,5,0)</f>
        <v>1.5961632016114892E-13</v>
      </c>
      <c r="BF188" s="13">
        <f t="shared" si="167"/>
        <v>2.2708641912150958E-12</v>
      </c>
      <c r="BG188" s="20">
        <f t="shared" si="168"/>
        <v>4.2330868906469593E-12</v>
      </c>
      <c r="BH188" s="59">
        <f t="shared" si="116"/>
        <v>293.33333333333752</v>
      </c>
      <c r="BI188" s="59">
        <f ca="1">AVERAGE(OFFSET($BH$3,0,0,'Données projet'!$E$11+1,1))-AVERAGE(OFFSET($H$3,0,0,'Données projet'!$E$11+1,1))</f>
        <v>158.58786357608489</v>
      </c>
      <c r="BJ188" s="59">
        <f t="shared" si="146"/>
        <v>163.20074068819849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0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>
        <f>BY188*VLOOKUP('Données projet'!$B$12,Paramètres!$A$1:$I$89,3,0)*VLOOKUP('Données projet'!$B$12,Paramètres!$A$1:$I$89,5,0)</f>
        <v>0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255.41017495879987</v>
      </c>
      <c r="CE188" s="59">
        <f t="shared" si="148"/>
        <v>297.50513563712764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0.38747228180599608</v>
      </c>
      <c r="CL188" s="21">
        <f>EXP(-LN(2)/25)*CL187+(1-EXP(-LN(2)/25))/(LN(2)/25)*Calculateur!CG188*Calculateur!CI188*VLOOKUP('Données projet'!$B$12,Paramètres!$A$1:$I$89,3,0)*0.475*44/12</f>
        <v>0.37909576615322815</v>
      </c>
      <c r="CM188" s="21">
        <f>EXP(-LN(2)/2)*CM187+(1-EXP(-LN(2)/2))/(LN(2)/2)*CG188*CJ188*VLOOKUP('Données projet'!$B$12,Paramètres!$A$1:$I$89,3,0)*0.475*44/12</f>
        <v>1.1417903359820459E-22</v>
      </c>
      <c r="CN188" s="22">
        <f t="shared" si="172"/>
        <v>0.76656804795922429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-1.4210854715202004E-13</v>
      </c>
      <c r="CU188" s="17">
        <f>CT188*VLOOKUP('Données projet'!$B$13,Paramètres!$A$1:$I$89,3,0)*VLOOKUP('Données projet'!$B$13,Paramètres!$A$1:$I$89,5,0)</f>
        <v>-8.128608897095547E-14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134.70214882504786</v>
      </c>
      <c r="CZ188" s="59">
        <f t="shared" si="150"/>
        <v>102.18553029667771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4.9362772062229616E-2</v>
      </c>
      <c r="DG188" s="21">
        <f>EXP(-LN(2)/25)*DG187+(1-EXP(-LN(2)/25))/(LN(2)/25)*Calculateur!DB188*Calculateur!DD188*VLOOKUP('Données projet'!$B$13,Paramètres!$A$1:$I$89,3,0)*0.475*44/12</f>
        <v>0.1707047352778843</v>
      </c>
      <c r="DH188" s="21">
        <f>EXP(-LN(2)/2)*DH187+(1-EXP(-LN(2)/2))/(LN(2)/2)*DB188*DE188*VLOOKUP('Données projet'!$B$13,Paramètres!$A$1:$I$89,3,0)*0.475*44/12</f>
        <v>3.6057740026844037E-23</v>
      </c>
      <c r="DI188" s="22">
        <f t="shared" si="175"/>
        <v>0.2200675073401139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-2.8421709430404007E-13</v>
      </c>
      <c r="DP188" s="17">
        <f>DO188*VLOOKUP('Données projet'!$B$14,Paramètres!$A$1:$I$89,3,0)*VLOOKUP('Données projet'!$B$14,Paramètres!$A$1:$I$89,5,0)</f>
        <v>-1.69961822393816E-13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179.32848817523677</v>
      </c>
      <c r="DU188" s="59">
        <f t="shared" si="152"/>
        <v>131.3292389103035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</v>
      </c>
      <c r="EB188" s="21">
        <f>EXP(-LN(2)/25)*EB187+(1-EXP(-LN(2)/25))/(LN(2)/25)*Calculateur!DW188*Calculateur!DY188*VLOOKUP('Données projet'!$B$14,Paramètres!$A$1:$I$89,3,0)*0.475*44/12</f>
        <v>0.17928007425170525</v>
      </c>
      <c r="EC188" s="21">
        <f>EXP(-LN(2)/2)*EC187+(1-EXP(-LN(2)/2))/(LN(2)/2)*DW188*DZ188*VLOOKUP('Données projet'!$B$14,Paramètres!$A$1:$I$89,3,0)*0.475*44/12</f>
        <v>2.4626229763778573E-23</v>
      </c>
      <c r="ED188" s="22">
        <f t="shared" si="178"/>
        <v>0.17928007425170525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-2.2737367544323206E-13</v>
      </c>
      <c r="EK188" s="17">
        <f>EJ188*VLOOKUP('Données projet'!$B$15,Paramètres!$A$1:$I$89,3,0)*VLOOKUP('Données projet'!$B$15,Paramètres!$A$1:$I$89,5,0)</f>
        <v>-1.0049916454590858E-13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191.932060106699</v>
      </c>
      <c r="EP188" s="59">
        <f t="shared" si="154"/>
        <v>260.28593152736903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0.11345975562508075</v>
      </c>
      <c r="EW188" s="21">
        <f>EXP(-LN(2)/25)*EW187+(1-EXP(-LN(2)/25))/(LN(2)/25)*Calculateur!ER188*Calculateur!ET188*VLOOKUP('Données projet'!$B$15,Paramètres!$A$1:$I$89,3,0)*0.475*44/12</f>
        <v>0.1716581495606963</v>
      </c>
      <c r="EX188" s="21">
        <f>EXP(-LN(2)/2)*EX187+(1-EXP(-LN(2)/2))/(LN(2)/2)*ER188*EU188*VLOOKUP('Données projet'!$B$15,Paramètres!$A$1:$I$89,3,0)*0.475*44/12</f>
        <v>6.2625830266567462E-24</v>
      </c>
      <c r="EY188" s="22">
        <f t="shared" si="181"/>
        <v>0.28511790518577707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181.00000000000009</v>
      </c>
      <c r="FF188" s="17">
        <f>FE188*VLOOKUP('Données projet'!$B$16,Paramètres!$A$1:$I$89,3,0)*VLOOKUP('Données projet'!$B$16,Paramètres!$A$1:$I$89,5,0)</f>
        <v>175.06320000000008</v>
      </c>
      <c r="FG188" s="13">
        <f t="shared" si="182"/>
        <v>44.222067746824763</v>
      </c>
      <c r="FH188" s="20">
        <f t="shared" si="183"/>
        <v>381.92184132571992</v>
      </c>
      <c r="FI188" s="59">
        <f t="shared" si="131"/>
        <v>675.25517465905318</v>
      </c>
      <c r="FJ188" s="59">
        <f ca="1">AVERAGE(OFFSET($FI$3,0,0,'Données projet'!$E$16+1,1))-AVERAGE(OFFSET($H$3,0,0,'Données projet'!$E$16+1,1))</f>
        <v>102.86738524979938</v>
      </c>
      <c r="FK188" s="59">
        <f t="shared" si="156"/>
        <v>56.347130462109817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0</v>
      </c>
      <c r="FR188" s="21">
        <f>EXP(-LN(2)/25)*FR187+(1-EXP(-LN(2)/25))/(LN(2)/25)*Calculateur!FM188*Calculateur!FO188*VLOOKUP('Données projet'!$B$16,Paramètres!$A$1:$I$89,3,0)*0.475*44/12</f>
        <v>0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0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300.00000000000068</v>
      </c>
      <c r="GA188" s="17">
        <f>FZ188*VLOOKUP('Données projet'!$B$17,Paramètres!$A$1:$I$89,3,0)*VLOOKUP('Données projet'!$B$17,Paramètres!$A$1:$I$89,5,0)</f>
        <v>201.24000000000046</v>
      </c>
      <c r="GB188" s="13">
        <f t="shared" si="185"/>
        <v>50.01658408633331</v>
      </c>
      <c r="GC188" s="20">
        <f t="shared" si="186"/>
        <v>437.60521728369798</v>
      </c>
      <c r="GD188" s="59">
        <f t="shared" si="134"/>
        <v>730.9385506170313</v>
      </c>
      <c r="GE188" s="59">
        <f ca="1">AVERAGE(OFFSET($GD$3,0,0,'Données projet'!$E$17+1,1))-AVERAGE(OFFSET($H$3,0,0,'Données projet'!$E$17+1,1))</f>
        <v>168.00454652899231</v>
      </c>
      <c r="GF188" s="59">
        <f t="shared" si="158"/>
        <v>135.31958994080446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0</v>
      </c>
      <c r="GM188" s="21">
        <f>EXP(-LN(2)/25)*GM187+(1-EXP(-LN(2)/25))/(LN(2)/25)*Calculateur!GH188*Calculateur!GJ188*VLOOKUP('Données projet'!$B$17,Paramètres!$A$1:$I$89,3,0)*0.475*44/12</f>
        <v>0</v>
      </c>
      <c r="GN188" s="21">
        <f>EXP(-LN(2)/2)*GN187+(1-EXP(-LN(2)/2))/(LN(2)/2)*GH188*GK188*VLOOKUP('Données projet'!$B$17,Paramètres!$A$1:$I$89,3,0)*0.475*44/12</f>
        <v>0</v>
      </c>
      <c r="GO188" s="21">
        <f t="shared" si="187"/>
        <v>0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4.5474735088646412E-13</v>
      </c>
      <c r="O189" s="13">
        <f>N189*VLOOKUP('Données projet'!$B$9,Paramètres!$A$1:$I$89,3,0)*VLOOKUP('Données projet'!$B$9,Paramètres!$A$1:$I$89,5,0)</f>
        <v>4.1145540308207271E-13</v>
      </c>
      <c r="P189" s="13">
        <f t="shared" si="141"/>
        <v>5.2428527960910789E-12</v>
      </c>
      <c r="Q189" s="20">
        <f t="shared" si="162"/>
        <v>9.8479201135599071E-12</v>
      </c>
      <c r="R189" s="59">
        <f t="shared" si="109"/>
        <v>293.33333333334315</v>
      </c>
      <c r="S189" s="59">
        <f ca="1">AVERAGE(OFFSET($R$3,0,0,'Données projet'!$E$9+1,1))-AVERAGE(OFFSET($H$3,0,0,'Données projet'!$E$9+1,1))</f>
        <v>221.7429870520005</v>
      </c>
      <c r="T189" s="59">
        <f t="shared" si="142"/>
        <v>182.2029938397186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0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-5.6843418860808015E-13</v>
      </c>
      <c r="AJ189" s="13">
        <f>AI189*VLOOKUP('Données projet'!$B$10,Paramètres!$A$1:$I$89,3,0)*VLOOKUP('Données projet'!$B$10,Paramètres!$A$1:$I$89,5,0)</f>
        <v>-5.1431925385259092E-13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153.45079678708987</v>
      </c>
      <c r="AO189" s="59">
        <f t="shared" si="144"/>
        <v>115.4217868409637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0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3.4106051316484809E-13</v>
      </c>
      <c r="BE189" s="13">
        <f>BD189*VLOOKUP('Données projet'!$B$11,Paramètres!$A$1:$I$89,3,0)*VLOOKUP('Données projet'!$B$11,Paramètres!$A$1:$I$89,5,0)</f>
        <v>1.5961632016114892E-13</v>
      </c>
      <c r="BF189" s="13">
        <f t="shared" si="167"/>
        <v>2.2708641912150958E-12</v>
      </c>
      <c r="BG189" s="20">
        <f t="shared" si="168"/>
        <v>4.2330868906469593E-12</v>
      </c>
      <c r="BH189" s="59">
        <f t="shared" si="116"/>
        <v>293.33333333333752</v>
      </c>
      <c r="BI189" s="59">
        <f ca="1">AVERAGE(OFFSET($BH$3,0,0,'Données projet'!$E$11+1,1))-AVERAGE(OFFSET($H$3,0,0,'Données projet'!$E$11+1,1))</f>
        <v>158.58786357608489</v>
      </c>
      <c r="BJ189" s="59">
        <f t="shared" si="146"/>
        <v>163.20074068819849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0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>
        <f>BY189*VLOOKUP('Données projet'!$B$12,Paramètres!$A$1:$I$89,3,0)*VLOOKUP('Données projet'!$B$12,Paramètres!$A$1:$I$89,5,0)</f>
        <v>0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255.41017495879987</v>
      </c>
      <c r="CE189" s="59">
        <f t="shared" si="148"/>
        <v>297.50513563712764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0.37987418669453626</v>
      </c>
      <c r="CL189" s="21">
        <f>EXP(-LN(2)/25)*CL188+(1-EXP(-LN(2)/25))/(LN(2)/25)*Calculateur!CG189*Calculateur!CI189*VLOOKUP('Données projet'!$B$12,Paramètres!$A$1:$I$89,3,0)*0.475*44/12</f>
        <v>0.36872937249198823</v>
      </c>
      <c r="CM189" s="21">
        <f>EXP(-LN(2)/2)*CM188+(1-EXP(-LN(2)/2))/(LN(2)/2)*CG189*CJ189*VLOOKUP('Données projet'!$B$12,Paramètres!$A$1:$I$89,3,0)*0.475*44/12</f>
        <v>8.0736768926617114E-23</v>
      </c>
      <c r="CN189" s="22">
        <f t="shared" si="172"/>
        <v>0.74860355918652455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-1.4210854715202004E-13</v>
      </c>
      <c r="CU189" s="17">
        <f>CT189*VLOOKUP('Données projet'!$B$13,Paramètres!$A$1:$I$89,3,0)*VLOOKUP('Données projet'!$B$13,Paramètres!$A$1:$I$89,5,0)</f>
        <v>-8.128608897095547E-14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134.70214882504786</v>
      </c>
      <c r="CZ189" s="59">
        <f t="shared" si="150"/>
        <v>102.18553029667771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4.8394798210407305E-2</v>
      </c>
      <c r="DG189" s="21">
        <f>EXP(-LN(2)/25)*DG188+(1-EXP(-LN(2)/25))/(LN(2)/25)*Calculateur!DB189*Calculateur!DD189*VLOOKUP('Données projet'!$B$13,Paramètres!$A$1:$I$89,3,0)*0.475*44/12</f>
        <v>0.16603680531473866</v>
      </c>
      <c r="DH189" s="21">
        <f>EXP(-LN(2)/2)*DH188+(1-EXP(-LN(2)/2))/(LN(2)/2)*DB189*DE189*VLOOKUP('Données projet'!$B$13,Paramètres!$A$1:$I$89,3,0)*0.475*44/12</f>
        <v>2.5496672487243023E-23</v>
      </c>
      <c r="DI189" s="22">
        <f t="shared" si="175"/>
        <v>0.21443160352514595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-2.8421709430404007E-13</v>
      </c>
      <c r="DP189" s="17">
        <f>DO189*VLOOKUP('Données projet'!$B$14,Paramètres!$A$1:$I$89,3,0)*VLOOKUP('Données projet'!$B$14,Paramètres!$A$1:$I$89,5,0)</f>
        <v>-1.69961822393816E-13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179.32848817523677</v>
      </c>
      <c r="DU189" s="59">
        <f t="shared" si="152"/>
        <v>131.3292389103035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</v>
      </c>
      <c r="EB189" s="21">
        <f>EXP(-LN(2)/25)*EB188+(1-EXP(-LN(2)/25))/(LN(2)/25)*Calculateur!DW189*Calculateur!DY189*VLOOKUP('Données projet'!$B$14,Paramètres!$A$1:$I$89,3,0)*0.475*44/12</f>
        <v>0.17437765119336301</v>
      </c>
      <c r="EC189" s="21">
        <f>EXP(-LN(2)/2)*EC188+(1-EXP(-LN(2)/2))/(LN(2)/2)*DW189*DZ189*VLOOKUP('Données projet'!$B$14,Paramètres!$A$1:$I$89,3,0)*0.475*44/12</f>
        <v>1.7413374061025819E-23</v>
      </c>
      <c r="ED189" s="22">
        <f t="shared" si="178"/>
        <v>0.17437765119336301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-2.2737367544323206E-13</v>
      </c>
      <c r="EK189" s="17">
        <f>EJ189*VLOOKUP('Données projet'!$B$15,Paramètres!$A$1:$I$89,3,0)*VLOOKUP('Données projet'!$B$15,Paramètres!$A$1:$I$89,5,0)</f>
        <v>-1.0049916454590858E-13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191.932060106699</v>
      </c>
      <c r="EP189" s="59">
        <f t="shared" si="154"/>
        <v>260.28593152736903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0.11123487902089055</v>
      </c>
      <c r="EW189" s="21">
        <f>EXP(-LN(2)/25)*EW188+(1-EXP(-LN(2)/25))/(LN(2)/25)*Calculateur!ER189*Calculateur!ET189*VLOOKUP('Données projet'!$B$15,Paramètres!$A$1:$I$89,3,0)*0.475*44/12</f>
        <v>0.1669641484338493</v>
      </c>
      <c r="EX189" s="21">
        <f>EXP(-LN(2)/2)*EX188+(1-EXP(-LN(2)/2))/(LN(2)/2)*ER189*EU189*VLOOKUP('Données projet'!$B$15,Paramètres!$A$1:$I$89,3,0)*0.475*44/12</f>
        <v>4.4283149258927583E-24</v>
      </c>
      <c r="EY189" s="22">
        <f t="shared" si="181"/>
        <v>0.27819902745473984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181.00000000000009</v>
      </c>
      <c r="FF189" s="17">
        <f>FE189*VLOOKUP('Données projet'!$B$16,Paramètres!$A$1:$I$89,3,0)*VLOOKUP('Données projet'!$B$16,Paramètres!$A$1:$I$89,5,0)</f>
        <v>175.06320000000008</v>
      </c>
      <c r="FG189" s="13">
        <f t="shared" si="182"/>
        <v>44.222067746824763</v>
      </c>
      <c r="FH189" s="20">
        <f t="shared" si="183"/>
        <v>381.92184132571992</v>
      </c>
      <c r="FI189" s="59">
        <f t="shared" si="131"/>
        <v>675.25517465905318</v>
      </c>
      <c r="FJ189" s="59">
        <f ca="1">AVERAGE(OFFSET($FI$3,0,0,'Données projet'!$E$16+1,1))-AVERAGE(OFFSET($H$3,0,0,'Données projet'!$E$16+1,1))</f>
        <v>102.86738524979938</v>
      </c>
      <c r="FK189" s="59">
        <f t="shared" si="156"/>
        <v>56.347130462109817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0</v>
      </c>
      <c r="FR189" s="21">
        <f>EXP(-LN(2)/25)*FR188+(1-EXP(-LN(2)/25))/(LN(2)/25)*Calculateur!FM189*Calculateur!FO189*VLOOKUP('Données projet'!$B$16,Paramètres!$A$1:$I$89,3,0)*0.475*44/12</f>
        <v>0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0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300.00000000000068</v>
      </c>
      <c r="GA189" s="17">
        <f>FZ189*VLOOKUP('Données projet'!$B$17,Paramètres!$A$1:$I$89,3,0)*VLOOKUP('Données projet'!$B$17,Paramètres!$A$1:$I$89,5,0)</f>
        <v>201.24000000000046</v>
      </c>
      <c r="GB189" s="13">
        <f t="shared" si="185"/>
        <v>50.01658408633331</v>
      </c>
      <c r="GC189" s="20">
        <f t="shared" si="186"/>
        <v>437.60521728369798</v>
      </c>
      <c r="GD189" s="59">
        <f t="shared" si="134"/>
        <v>730.9385506170313</v>
      </c>
      <c r="GE189" s="59">
        <f ca="1">AVERAGE(OFFSET($GD$3,0,0,'Données projet'!$E$17+1,1))-AVERAGE(OFFSET($H$3,0,0,'Données projet'!$E$17+1,1))</f>
        <v>168.00454652899231</v>
      </c>
      <c r="GF189" s="59">
        <f t="shared" si="158"/>
        <v>135.31958994080446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0</v>
      </c>
      <c r="GM189" s="21">
        <f>EXP(-LN(2)/25)*GM188+(1-EXP(-LN(2)/25))/(LN(2)/25)*Calculateur!GH189*Calculateur!GJ189*VLOOKUP('Données projet'!$B$17,Paramètres!$A$1:$I$89,3,0)*0.475*44/12</f>
        <v>0</v>
      </c>
      <c r="GN189" s="21">
        <f>EXP(-LN(2)/2)*GN188+(1-EXP(-LN(2)/2))/(LN(2)/2)*GH189*GK189*VLOOKUP('Données projet'!$B$17,Paramètres!$A$1:$I$89,3,0)*0.475*44/12</f>
        <v>0</v>
      </c>
      <c r="GO189" s="21">
        <f t="shared" si="187"/>
        <v>0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4.5474735088646412E-13</v>
      </c>
      <c r="O190" s="13">
        <f>N190*VLOOKUP('Données projet'!$B$9,Paramètres!$A$1:$I$89,3,0)*VLOOKUP('Données projet'!$B$9,Paramètres!$A$1:$I$89,5,0)</f>
        <v>4.1145540308207271E-13</v>
      </c>
      <c r="P190" s="13">
        <f t="shared" si="141"/>
        <v>5.2428527960910789E-12</v>
      </c>
      <c r="Q190" s="20">
        <f t="shared" si="162"/>
        <v>9.8479201135599071E-12</v>
      </c>
      <c r="R190" s="59">
        <f t="shared" si="109"/>
        <v>293.33333333334315</v>
      </c>
      <c r="S190" s="59">
        <f ca="1">AVERAGE(OFFSET($R$3,0,0,'Données projet'!$E$9+1,1))-AVERAGE(OFFSET($H$3,0,0,'Données projet'!$E$9+1,1))</f>
        <v>221.7429870520005</v>
      </c>
      <c r="T190" s="59">
        <f t="shared" si="142"/>
        <v>182.2029938397186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0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-5.6843418860808015E-13</v>
      </c>
      <c r="AJ190" s="13">
        <f>AI190*VLOOKUP('Données projet'!$B$10,Paramètres!$A$1:$I$89,3,0)*VLOOKUP('Données projet'!$B$10,Paramètres!$A$1:$I$89,5,0)</f>
        <v>-5.1431925385259092E-13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153.45079678708987</v>
      </c>
      <c r="AO190" s="59">
        <f t="shared" si="144"/>
        <v>115.4217868409637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0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3.4106051316484809E-13</v>
      </c>
      <c r="BE190" s="13">
        <f>BD190*VLOOKUP('Données projet'!$B$11,Paramètres!$A$1:$I$89,3,0)*VLOOKUP('Données projet'!$B$11,Paramètres!$A$1:$I$89,5,0)</f>
        <v>1.5961632016114892E-13</v>
      </c>
      <c r="BF190" s="13">
        <f t="shared" si="167"/>
        <v>2.2708641912150958E-12</v>
      </c>
      <c r="BG190" s="20">
        <f t="shared" si="168"/>
        <v>4.2330868906469593E-12</v>
      </c>
      <c r="BH190" s="59">
        <f t="shared" si="116"/>
        <v>293.33333333333752</v>
      </c>
      <c r="BI190" s="59">
        <f ca="1">AVERAGE(OFFSET($BH$3,0,0,'Données projet'!$E$11+1,1))-AVERAGE(OFFSET($H$3,0,0,'Données projet'!$E$11+1,1))</f>
        <v>158.58786357608489</v>
      </c>
      <c r="BJ190" s="59">
        <f t="shared" si="146"/>
        <v>163.20074068819849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0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>
        <f>BY190*VLOOKUP('Données projet'!$B$12,Paramètres!$A$1:$I$89,3,0)*VLOOKUP('Données projet'!$B$12,Paramètres!$A$1:$I$89,5,0)</f>
        <v>0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255.41017495879987</v>
      </c>
      <c r="CE190" s="59">
        <f t="shared" si="148"/>
        <v>297.50513563712764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0.37242508559383181</v>
      </c>
      <c r="CL190" s="21">
        <f>EXP(-LN(2)/25)*CL189+(1-EXP(-LN(2)/25))/(LN(2)/25)*Calculateur!CG190*Calculateur!CI190*VLOOKUP('Données projet'!$B$12,Paramètres!$A$1:$I$89,3,0)*0.475*44/12</f>
        <v>0.35864644841055987</v>
      </c>
      <c r="CM190" s="21">
        <f>EXP(-LN(2)/2)*CM189+(1-EXP(-LN(2)/2))/(LN(2)/2)*CG190*CJ190*VLOOKUP('Données projet'!$B$12,Paramètres!$A$1:$I$89,3,0)*0.475*44/12</f>
        <v>5.7089516799102296E-23</v>
      </c>
      <c r="CN190" s="22">
        <f t="shared" si="172"/>
        <v>0.73107153400439162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-1.4210854715202004E-13</v>
      </c>
      <c r="CU190" s="17">
        <f>CT190*VLOOKUP('Données projet'!$B$13,Paramètres!$A$1:$I$89,3,0)*VLOOKUP('Données projet'!$B$13,Paramètres!$A$1:$I$89,5,0)</f>
        <v>-8.128608897095547E-14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134.70214882504786</v>
      </c>
      <c r="CZ190" s="59">
        <f t="shared" si="150"/>
        <v>102.18553029667771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4.7445805735413474E-2</v>
      </c>
      <c r="DG190" s="21">
        <f>EXP(-LN(2)/25)*DG189+(1-EXP(-LN(2)/25))/(LN(2)/25)*Calculateur!DB190*Calculateur!DD190*VLOOKUP('Données projet'!$B$13,Paramètres!$A$1:$I$89,3,0)*0.475*44/12</f>
        <v>0.16149652014191102</v>
      </c>
      <c r="DH190" s="21">
        <f>EXP(-LN(2)/2)*DH189+(1-EXP(-LN(2)/2))/(LN(2)/2)*DB190*DE190*VLOOKUP('Données projet'!$B$13,Paramètres!$A$1:$I$89,3,0)*0.475*44/12</f>
        <v>1.8028870013422018E-23</v>
      </c>
      <c r="DI190" s="22">
        <f t="shared" si="175"/>
        <v>0.20894232587732448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-2.8421709430404007E-13</v>
      </c>
      <c r="DP190" s="17">
        <f>DO190*VLOOKUP('Données projet'!$B$14,Paramètres!$A$1:$I$89,3,0)*VLOOKUP('Données projet'!$B$14,Paramètres!$A$1:$I$89,5,0)</f>
        <v>-1.69961822393816E-13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179.32848817523677</v>
      </c>
      <c r="DU190" s="59">
        <f t="shared" si="152"/>
        <v>131.3292389103035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</v>
      </c>
      <c r="EB190" s="21">
        <f>EXP(-LN(2)/25)*EB189+(1-EXP(-LN(2)/25))/(LN(2)/25)*Calculateur!DW190*Calculateur!DY190*VLOOKUP('Données projet'!$B$14,Paramètres!$A$1:$I$89,3,0)*0.475*44/12</f>
        <v>0.16960928515135837</v>
      </c>
      <c r="EC190" s="21">
        <f>EXP(-LN(2)/2)*EC189+(1-EXP(-LN(2)/2))/(LN(2)/2)*DW190*DZ190*VLOOKUP('Données projet'!$B$14,Paramètres!$A$1:$I$89,3,0)*0.475*44/12</f>
        <v>1.2313114881889286E-23</v>
      </c>
      <c r="ED190" s="22">
        <f t="shared" si="178"/>
        <v>0.16960928515135837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-2.2737367544323206E-13</v>
      </c>
      <c r="EK190" s="17">
        <f>EJ190*VLOOKUP('Données projet'!$B$15,Paramètres!$A$1:$I$89,3,0)*VLOOKUP('Données projet'!$B$15,Paramètres!$A$1:$I$89,5,0)</f>
        <v>-1.0049916454590858E-13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191.932060106699</v>
      </c>
      <c r="EP190" s="59">
        <f t="shared" si="154"/>
        <v>260.28593152736903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0.10905363088986779</v>
      </c>
      <c r="EW190" s="21">
        <f>EXP(-LN(2)/25)*EW189+(1-EXP(-LN(2)/25))/(LN(2)/25)*Calculateur!ER190*Calculateur!ET190*VLOOKUP('Données projet'!$B$15,Paramètres!$A$1:$I$89,3,0)*0.475*44/12</f>
        <v>0.16239850501466271</v>
      </c>
      <c r="EX190" s="21">
        <f>EXP(-LN(2)/2)*EX189+(1-EXP(-LN(2)/2))/(LN(2)/2)*ER190*EU190*VLOOKUP('Données projet'!$B$15,Paramètres!$A$1:$I$89,3,0)*0.475*44/12</f>
        <v>3.1312915133283731E-24</v>
      </c>
      <c r="EY190" s="22">
        <f t="shared" si="181"/>
        <v>0.27145213590453049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181.00000000000009</v>
      </c>
      <c r="FF190" s="17">
        <f>FE190*VLOOKUP('Données projet'!$B$16,Paramètres!$A$1:$I$89,3,0)*VLOOKUP('Données projet'!$B$16,Paramètres!$A$1:$I$89,5,0)</f>
        <v>175.06320000000008</v>
      </c>
      <c r="FG190" s="13">
        <f t="shared" si="182"/>
        <v>44.222067746824763</v>
      </c>
      <c r="FH190" s="20">
        <f t="shared" si="183"/>
        <v>381.92184132571992</v>
      </c>
      <c r="FI190" s="59">
        <f t="shared" si="131"/>
        <v>675.25517465905318</v>
      </c>
      <c r="FJ190" s="59">
        <f ca="1">AVERAGE(OFFSET($FI$3,0,0,'Données projet'!$E$16+1,1))-AVERAGE(OFFSET($H$3,0,0,'Données projet'!$E$16+1,1))</f>
        <v>102.86738524979938</v>
      </c>
      <c r="FK190" s="59">
        <f t="shared" si="156"/>
        <v>56.347130462109817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0</v>
      </c>
      <c r="FR190" s="21">
        <f>EXP(-LN(2)/25)*FR189+(1-EXP(-LN(2)/25))/(LN(2)/25)*Calculateur!FM190*Calculateur!FO190*VLOOKUP('Données projet'!$B$16,Paramètres!$A$1:$I$89,3,0)*0.475*44/12</f>
        <v>0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0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300.00000000000068</v>
      </c>
      <c r="GA190" s="17">
        <f>FZ190*VLOOKUP('Données projet'!$B$17,Paramètres!$A$1:$I$89,3,0)*VLOOKUP('Données projet'!$B$17,Paramètres!$A$1:$I$89,5,0)</f>
        <v>201.24000000000046</v>
      </c>
      <c r="GB190" s="13">
        <f t="shared" si="185"/>
        <v>50.01658408633331</v>
      </c>
      <c r="GC190" s="20">
        <f t="shared" si="186"/>
        <v>437.60521728369798</v>
      </c>
      <c r="GD190" s="59">
        <f t="shared" si="134"/>
        <v>730.9385506170313</v>
      </c>
      <c r="GE190" s="59">
        <f ca="1">AVERAGE(OFFSET($GD$3,0,0,'Données projet'!$E$17+1,1))-AVERAGE(OFFSET($H$3,0,0,'Données projet'!$E$17+1,1))</f>
        <v>168.00454652899231</v>
      </c>
      <c r="GF190" s="59">
        <f t="shared" si="158"/>
        <v>135.31958994080446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0</v>
      </c>
      <c r="GM190" s="21">
        <f>EXP(-LN(2)/25)*GM189+(1-EXP(-LN(2)/25))/(LN(2)/25)*Calculateur!GH190*Calculateur!GJ190*VLOOKUP('Données projet'!$B$17,Paramètres!$A$1:$I$89,3,0)*0.475*44/12</f>
        <v>0</v>
      </c>
      <c r="GN190" s="21">
        <f>EXP(-LN(2)/2)*GN189+(1-EXP(-LN(2)/2))/(LN(2)/2)*GH190*GK190*VLOOKUP('Données projet'!$B$17,Paramètres!$A$1:$I$89,3,0)*0.475*44/12</f>
        <v>0</v>
      </c>
      <c r="GO190" s="21">
        <f t="shared" si="187"/>
        <v>0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4.5474735088646412E-13</v>
      </c>
      <c r="O191" s="13">
        <f>N191*VLOOKUP('Données projet'!$B$9,Paramètres!$A$1:$I$89,3,0)*VLOOKUP('Données projet'!$B$9,Paramètres!$A$1:$I$89,5,0)</f>
        <v>4.1145540308207271E-13</v>
      </c>
      <c r="P191" s="13">
        <f t="shared" si="141"/>
        <v>5.2428527960910789E-12</v>
      </c>
      <c r="Q191" s="20">
        <f t="shared" si="162"/>
        <v>9.8479201135599071E-12</v>
      </c>
      <c r="R191" s="59">
        <f t="shared" si="109"/>
        <v>293.33333333334315</v>
      </c>
      <c r="S191" s="59">
        <f ca="1">AVERAGE(OFFSET($R$3,0,0,'Données projet'!$E$9+1,1))-AVERAGE(OFFSET($H$3,0,0,'Données projet'!$E$9+1,1))</f>
        <v>221.7429870520005</v>
      </c>
      <c r="T191" s="59">
        <f t="shared" si="142"/>
        <v>182.2029938397186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0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-5.6843418860808015E-13</v>
      </c>
      <c r="AJ191" s="13">
        <f>AI191*VLOOKUP('Données projet'!$B$10,Paramètres!$A$1:$I$89,3,0)*VLOOKUP('Données projet'!$B$10,Paramètres!$A$1:$I$89,5,0)</f>
        <v>-5.1431925385259092E-13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153.45079678708987</v>
      </c>
      <c r="AO191" s="59">
        <f t="shared" si="144"/>
        <v>115.4217868409637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0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3.4106051316484809E-13</v>
      </c>
      <c r="BE191" s="13">
        <f>BD191*VLOOKUP('Données projet'!$B$11,Paramètres!$A$1:$I$89,3,0)*VLOOKUP('Données projet'!$B$11,Paramètres!$A$1:$I$89,5,0)</f>
        <v>1.5961632016114892E-13</v>
      </c>
      <c r="BF191" s="13">
        <f t="shared" si="167"/>
        <v>2.2708641912150958E-12</v>
      </c>
      <c r="BG191" s="20">
        <f t="shared" si="168"/>
        <v>4.2330868906469593E-12</v>
      </c>
      <c r="BH191" s="59">
        <f t="shared" si="116"/>
        <v>293.33333333333752</v>
      </c>
      <c r="BI191" s="59">
        <f ca="1">AVERAGE(OFFSET($BH$3,0,0,'Données projet'!$E$11+1,1))-AVERAGE(OFFSET($H$3,0,0,'Données projet'!$E$11+1,1))</f>
        <v>158.58786357608489</v>
      </c>
      <c r="BJ191" s="59">
        <f t="shared" si="146"/>
        <v>163.20074068819849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0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>
        <f>BY191*VLOOKUP('Données projet'!$B$12,Paramètres!$A$1:$I$89,3,0)*VLOOKUP('Données projet'!$B$12,Paramètres!$A$1:$I$89,5,0)</f>
        <v>0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255.41017495879987</v>
      </c>
      <c r="CE191" s="59">
        <f t="shared" si="148"/>
        <v>297.50513563712764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0.36512205682220911</v>
      </c>
      <c r="CL191" s="21">
        <f>EXP(-LN(2)/25)*CL190+(1-EXP(-LN(2)/25))/(LN(2)/25)*Calculateur!CG191*Calculateur!CI191*VLOOKUP('Données projet'!$B$12,Paramètres!$A$1:$I$89,3,0)*0.475*44/12</f>
        <v>0.34883924241837611</v>
      </c>
      <c r="CM191" s="21">
        <f>EXP(-LN(2)/2)*CM190+(1-EXP(-LN(2)/2))/(LN(2)/2)*CG191*CJ191*VLOOKUP('Données projet'!$B$12,Paramètres!$A$1:$I$89,3,0)*0.475*44/12</f>
        <v>4.0368384463308557E-23</v>
      </c>
      <c r="CN191" s="22">
        <f t="shared" si="172"/>
        <v>0.71396129924058527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-1.4210854715202004E-13</v>
      </c>
      <c r="CU191" s="17">
        <f>CT191*VLOOKUP('Données projet'!$B$13,Paramètres!$A$1:$I$89,3,0)*VLOOKUP('Données projet'!$B$13,Paramètres!$A$1:$I$89,5,0)</f>
        <v>-8.128608897095547E-14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134.70214882504786</v>
      </c>
      <c r="CZ191" s="59">
        <f t="shared" si="150"/>
        <v>102.18553029667771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4.6515422424026016E-2</v>
      </c>
      <c r="DG191" s="21">
        <f>EXP(-LN(2)/25)*DG190+(1-EXP(-LN(2)/25))/(LN(2)/25)*Calculateur!DB191*Calculateur!DD191*VLOOKUP('Données projet'!$B$13,Paramètres!$A$1:$I$89,3,0)*0.475*44/12</f>
        <v>0.15708038930589757</v>
      </c>
      <c r="DH191" s="21">
        <f>EXP(-LN(2)/2)*DH190+(1-EXP(-LN(2)/2))/(LN(2)/2)*DB191*DE191*VLOOKUP('Données projet'!$B$13,Paramètres!$A$1:$I$89,3,0)*0.475*44/12</f>
        <v>1.2748336243621511E-23</v>
      </c>
      <c r="DI191" s="22">
        <f t="shared" si="175"/>
        <v>0.20359581172992358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-2.8421709430404007E-13</v>
      </c>
      <c r="DP191" s="17">
        <f>DO191*VLOOKUP('Données projet'!$B$14,Paramètres!$A$1:$I$89,3,0)*VLOOKUP('Données projet'!$B$14,Paramètres!$A$1:$I$89,5,0)</f>
        <v>-1.69961822393816E-13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179.32848817523677</v>
      </c>
      <c r="DU191" s="59">
        <f t="shared" si="152"/>
        <v>131.3292389103035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</v>
      </c>
      <c r="EB191" s="21">
        <f>EXP(-LN(2)/25)*EB190+(1-EXP(-LN(2)/25))/(LN(2)/25)*Calculateur!DW191*Calculateur!DY191*VLOOKUP('Données projet'!$B$14,Paramètres!$A$1:$I$89,3,0)*0.475*44/12</f>
        <v>0.1649713103295298</v>
      </c>
      <c r="EC191" s="21">
        <f>EXP(-LN(2)/2)*EC190+(1-EXP(-LN(2)/2))/(LN(2)/2)*DW191*DZ191*VLOOKUP('Données projet'!$B$14,Paramètres!$A$1:$I$89,3,0)*0.475*44/12</f>
        <v>8.7066870305129095E-24</v>
      </c>
      <c r="ED191" s="22">
        <f t="shared" si="178"/>
        <v>0.1649713103295298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-2.2737367544323206E-13</v>
      </c>
      <c r="EK191" s="17">
        <f>EJ191*VLOOKUP('Données projet'!$B$15,Paramètres!$A$1:$I$89,3,0)*VLOOKUP('Données projet'!$B$15,Paramètres!$A$1:$I$89,5,0)</f>
        <v>-1.0049916454590858E-13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191.932060106699</v>
      </c>
      <c r="EP191" s="59">
        <f t="shared" si="154"/>
        <v>260.28593152736903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0.10691515570426439</v>
      </c>
      <c r="EW191" s="21">
        <f>EXP(-LN(2)/25)*EW190+(1-EXP(-LN(2)/25))/(LN(2)/25)*Calculateur!ER191*Calculateur!ET191*VLOOKUP('Données projet'!$B$15,Paramètres!$A$1:$I$89,3,0)*0.475*44/12</f>
        <v>0.15795770935487055</v>
      </c>
      <c r="EX191" s="21">
        <f>EXP(-LN(2)/2)*EX190+(1-EXP(-LN(2)/2))/(LN(2)/2)*ER191*EU191*VLOOKUP('Données projet'!$B$15,Paramètres!$A$1:$I$89,3,0)*0.475*44/12</f>
        <v>2.2141574629463791E-24</v>
      </c>
      <c r="EY191" s="22">
        <f t="shared" si="181"/>
        <v>0.26487286505913493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181.00000000000009</v>
      </c>
      <c r="FF191" s="17">
        <f>FE191*VLOOKUP('Données projet'!$B$16,Paramètres!$A$1:$I$89,3,0)*VLOOKUP('Données projet'!$B$16,Paramètres!$A$1:$I$89,5,0)</f>
        <v>175.06320000000008</v>
      </c>
      <c r="FG191" s="13">
        <f t="shared" si="182"/>
        <v>44.222067746824763</v>
      </c>
      <c r="FH191" s="20">
        <f t="shared" si="183"/>
        <v>381.92184132571992</v>
      </c>
      <c r="FI191" s="59">
        <f t="shared" si="131"/>
        <v>675.25517465905318</v>
      </c>
      <c r="FJ191" s="59">
        <f ca="1">AVERAGE(OFFSET($FI$3,0,0,'Données projet'!$E$16+1,1))-AVERAGE(OFFSET($H$3,0,0,'Données projet'!$E$16+1,1))</f>
        <v>102.86738524979938</v>
      </c>
      <c r="FK191" s="59">
        <f t="shared" si="156"/>
        <v>56.347130462109817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0</v>
      </c>
      <c r="FR191" s="21">
        <f>EXP(-LN(2)/25)*FR190+(1-EXP(-LN(2)/25))/(LN(2)/25)*Calculateur!FM191*Calculateur!FO191*VLOOKUP('Données projet'!$B$16,Paramètres!$A$1:$I$89,3,0)*0.475*44/12</f>
        <v>0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0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300.00000000000068</v>
      </c>
      <c r="GA191" s="17">
        <f>FZ191*VLOOKUP('Données projet'!$B$17,Paramètres!$A$1:$I$89,3,0)*VLOOKUP('Données projet'!$B$17,Paramètres!$A$1:$I$89,5,0)</f>
        <v>201.24000000000046</v>
      </c>
      <c r="GB191" s="13">
        <f t="shared" si="185"/>
        <v>50.01658408633331</v>
      </c>
      <c r="GC191" s="20">
        <f t="shared" si="186"/>
        <v>437.60521728369798</v>
      </c>
      <c r="GD191" s="59">
        <f t="shared" si="134"/>
        <v>730.9385506170313</v>
      </c>
      <c r="GE191" s="59">
        <f ca="1">AVERAGE(OFFSET($GD$3,0,0,'Données projet'!$E$17+1,1))-AVERAGE(OFFSET($H$3,0,0,'Données projet'!$E$17+1,1))</f>
        <v>168.00454652899231</v>
      </c>
      <c r="GF191" s="59">
        <f t="shared" si="158"/>
        <v>135.31958994080446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0</v>
      </c>
      <c r="GM191" s="21">
        <f>EXP(-LN(2)/25)*GM190+(1-EXP(-LN(2)/25))/(LN(2)/25)*Calculateur!GH191*Calculateur!GJ191*VLOOKUP('Données projet'!$B$17,Paramètres!$A$1:$I$89,3,0)*0.475*44/12</f>
        <v>0</v>
      </c>
      <c r="GN191" s="21">
        <f>EXP(-LN(2)/2)*GN190+(1-EXP(-LN(2)/2))/(LN(2)/2)*GH191*GK191*VLOOKUP('Données projet'!$B$17,Paramètres!$A$1:$I$89,3,0)*0.475*44/12</f>
        <v>0</v>
      </c>
      <c r="GO191" s="21">
        <f t="shared" si="187"/>
        <v>0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4.5474735088646412E-13</v>
      </c>
      <c r="O192" s="13">
        <f>N192*VLOOKUP('Données projet'!$B$9,Paramètres!$A$1:$I$89,3,0)*VLOOKUP('Données projet'!$B$9,Paramètres!$A$1:$I$89,5,0)</f>
        <v>4.1145540308207271E-13</v>
      </c>
      <c r="P192" s="13">
        <f t="shared" si="141"/>
        <v>5.2428527960910789E-12</v>
      </c>
      <c r="Q192" s="20">
        <f t="shared" si="162"/>
        <v>9.8479201135599071E-12</v>
      </c>
      <c r="R192" s="59">
        <f t="shared" si="109"/>
        <v>293.33333333334315</v>
      </c>
      <c r="S192" s="59">
        <f ca="1">AVERAGE(OFFSET($R$3,0,0,'Données projet'!$E$9+1,1))-AVERAGE(OFFSET($H$3,0,0,'Données projet'!$E$9+1,1))</f>
        <v>221.7429870520005</v>
      </c>
      <c r="T192" s="59">
        <f t="shared" si="142"/>
        <v>182.2029938397186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0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-5.6843418860808015E-13</v>
      </c>
      <c r="AJ192" s="13">
        <f>AI192*VLOOKUP('Données projet'!$B$10,Paramètres!$A$1:$I$89,3,0)*VLOOKUP('Données projet'!$B$10,Paramètres!$A$1:$I$89,5,0)</f>
        <v>-5.1431925385259092E-13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153.45079678708987</v>
      </c>
      <c r="AO192" s="59">
        <f t="shared" si="144"/>
        <v>115.4217868409637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0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3.4106051316484809E-13</v>
      </c>
      <c r="BE192" s="13">
        <f>BD192*VLOOKUP('Données projet'!$B$11,Paramètres!$A$1:$I$89,3,0)*VLOOKUP('Données projet'!$B$11,Paramètres!$A$1:$I$89,5,0)</f>
        <v>1.5961632016114892E-13</v>
      </c>
      <c r="BF192" s="13">
        <f t="shared" si="167"/>
        <v>2.2708641912150958E-12</v>
      </c>
      <c r="BG192" s="20">
        <f t="shared" si="168"/>
        <v>4.2330868906469593E-12</v>
      </c>
      <c r="BH192" s="59">
        <f t="shared" si="116"/>
        <v>293.33333333333752</v>
      </c>
      <c r="BI192" s="59">
        <f ca="1">AVERAGE(OFFSET($BH$3,0,0,'Données projet'!$E$11+1,1))-AVERAGE(OFFSET($H$3,0,0,'Données projet'!$E$11+1,1))</f>
        <v>158.58786357608489</v>
      </c>
      <c r="BJ192" s="59">
        <f t="shared" si="146"/>
        <v>163.20074068819849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0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>
        <f>BY192*VLOOKUP('Données projet'!$B$12,Paramètres!$A$1:$I$89,3,0)*VLOOKUP('Données projet'!$B$12,Paramètres!$A$1:$I$89,5,0)</f>
        <v>0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255.41017495879987</v>
      </c>
      <c r="CE192" s="59">
        <f t="shared" si="148"/>
        <v>297.50513563712764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0.35796223599039023</v>
      </c>
      <c r="CL192" s="21">
        <f>EXP(-LN(2)/25)*CL191+(1-EXP(-LN(2)/25))/(LN(2)/25)*Calculateur!CG192*Calculateur!CI192*VLOOKUP('Données projet'!$B$12,Paramètres!$A$1:$I$89,3,0)*0.475*44/12</f>
        <v>0.33930021498978713</v>
      </c>
      <c r="CM192" s="21">
        <f>EXP(-LN(2)/2)*CM191+(1-EXP(-LN(2)/2))/(LN(2)/2)*CG192*CJ192*VLOOKUP('Données projet'!$B$12,Paramètres!$A$1:$I$89,3,0)*0.475*44/12</f>
        <v>2.8544758399551148E-23</v>
      </c>
      <c r="CN192" s="22">
        <f t="shared" si="172"/>
        <v>0.69726245098017736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-1.4210854715202004E-13</v>
      </c>
      <c r="CU192" s="17">
        <f>CT192*VLOOKUP('Données projet'!$B$13,Paramètres!$A$1:$I$89,3,0)*VLOOKUP('Données projet'!$B$13,Paramètres!$A$1:$I$89,5,0)</f>
        <v>-8.128608897095547E-14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134.70214882504786</v>
      </c>
      <c r="CZ192" s="59">
        <f t="shared" si="150"/>
        <v>102.18553029667771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4.5603283361897083E-2</v>
      </c>
      <c r="DG192" s="21">
        <f>EXP(-LN(2)/25)*DG191+(1-EXP(-LN(2)/25))/(LN(2)/25)*Calculateur!DB192*Calculateur!DD192*VLOOKUP('Données projet'!$B$13,Paramètres!$A$1:$I$89,3,0)*0.475*44/12</f>
        <v>0.15278501779982914</v>
      </c>
      <c r="DH192" s="21">
        <f>EXP(-LN(2)/2)*DH191+(1-EXP(-LN(2)/2))/(LN(2)/2)*DB192*DE192*VLOOKUP('Données projet'!$B$13,Paramètres!$A$1:$I$89,3,0)*0.475*44/12</f>
        <v>9.0144350067110092E-24</v>
      </c>
      <c r="DI192" s="22">
        <f t="shared" si="175"/>
        <v>0.19838830116172623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-2.8421709430404007E-13</v>
      </c>
      <c r="DP192" s="17">
        <f>DO192*VLOOKUP('Données projet'!$B$14,Paramètres!$A$1:$I$89,3,0)*VLOOKUP('Données projet'!$B$14,Paramètres!$A$1:$I$89,5,0)</f>
        <v>-1.69961822393816E-13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179.32848817523677</v>
      </c>
      <c r="DU192" s="59">
        <f t="shared" si="152"/>
        <v>131.3292389103035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</v>
      </c>
      <c r="EB192" s="21">
        <f>EXP(-LN(2)/25)*EB191+(1-EXP(-LN(2)/25))/(LN(2)/25)*Calculateur!DW192*Calculateur!DY192*VLOOKUP('Données projet'!$B$14,Paramètres!$A$1:$I$89,3,0)*0.475*44/12</f>
        <v>0.16046016117310466</v>
      </c>
      <c r="EC192" s="21">
        <f>EXP(-LN(2)/2)*EC191+(1-EXP(-LN(2)/2))/(LN(2)/2)*DW192*DZ192*VLOOKUP('Données projet'!$B$14,Paramètres!$A$1:$I$89,3,0)*0.475*44/12</f>
        <v>6.1565574409446432E-24</v>
      </c>
      <c r="ED192" s="22">
        <f t="shared" si="178"/>
        <v>0.16046016117310466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-2.2737367544323206E-13</v>
      </c>
      <c r="EK192" s="17">
        <f>EJ192*VLOOKUP('Données projet'!$B$15,Paramètres!$A$1:$I$89,3,0)*VLOOKUP('Données projet'!$B$15,Paramètres!$A$1:$I$89,5,0)</f>
        <v>-1.0049916454590858E-13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191.932060106699</v>
      </c>
      <c r="EP192" s="59">
        <f t="shared" si="154"/>
        <v>260.28593152736903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0.10481861471270962</v>
      </c>
      <c r="EW192" s="21">
        <f>EXP(-LN(2)/25)*EW191+(1-EXP(-LN(2)/25))/(LN(2)/25)*Calculateur!ER192*Calculateur!ET192*VLOOKUP('Données projet'!$B$15,Paramètres!$A$1:$I$89,3,0)*0.475*44/12</f>
        <v>0.1536383474859267</v>
      </c>
      <c r="EX192" s="21">
        <f>EXP(-LN(2)/2)*EX191+(1-EXP(-LN(2)/2))/(LN(2)/2)*ER192*EU192*VLOOKUP('Données projet'!$B$15,Paramètres!$A$1:$I$89,3,0)*0.475*44/12</f>
        <v>1.5656457566641865E-24</v>
      </c>
      <c r="EY192" s="22">
        <f t="shared" si="181"/>
        <v>0.25845696219863634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181.00000000000009</v>
      </c>
      <c r="FF192" s="17">
        <f>FE192*VLOOKUP('Données projet'!$B$16,Paramètres!$A$1:$I$89,3,0)*VLOOKUP('Données projet'!$B$16,Paramètres!$A$1:$I$89,5,0)</f>
        <v>175.06320000000008</v>
      </c>
      <c r="FG192" s="13">
        <f t="shared" si="182"/>
        <v>44.222067746824763</v>
      </c>
      <c r="FH192" s="20">
        <f t="shared" si="183"/>
        <v>381.92184132571992</v>
      </c>
      <c r="FI192" s="59">
        <f t="shared" si="131"/>
        <v>675.25517465905318</v>
      </c>
      <c r="FJ192" s="59">
        <f ca="1">AVERAGE(OFFSET($FI$3,0,0,'Données projet'!$E$16+1,1))-AVERAGE(OFFSET($H$3,0,0,'Données projet'!$E$16+1,1))</f>
        <v>102.86738524979938</v>
      </c>
      <c r="FK192" s="59">
        <f t="shared" si="156"/>
        <v>56.347130462109817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0</v>
      </c>
      <c r="FR192" s="21">
        <f>EXP(-LN(2)/25)*FR191+(1-EXP(-LN(2)/25))/(LN(2)/25)*Calculateur!FM192*Calculateur!FO192*VLOOKUP('Données projet'!$B$16,Paramètres!$A$1:$I$89,3,0)*0.475*44/12</f>
        <v>0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0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300.00000000000068</v>
      </c>
      <c r="GA192" s="17">
        <f>FZ192*VLOOKUP('Données projet'!$B$17,Paramètres!$A$1:$I$89,3,0)*VLOOKUP('Données projet'!$B$17,Paramètres!$A$1:$I$89,5,0)</f>
        <v>201.24000000000046</v>
      </c>
      <c r="GB192" s="13">
        <f t="shared" si="185"/>
        <v>50.01658408633331</v>
      </c>
      <c r="GC192" s="20">
        <f t="shared" si="186"/>
        <v>437.60521728369798</v>
      </c>
      <c r="GD192" s="59">
        <f t="shared" si="134"/>
        <v>730.9385506170313</v>
      </c>
      <c r="GE192" s="59">
        <f ca="1">AVERAGE(OFFSET($GD$3,0,0,'Données projet'!$E$17+1,1))-AVERAGE(OFFSET($H$3,0,0,'Données projet'!$E$17+1,1))</f>
        <v>168.00454652899231</v>
      </c>
      <c r="GF192" s="59">
        <f t="shared" si="158"/>
        <v>135.31958994080446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0</v>
      </c>
      <c r="GM192" s="21">
        <f>EXP(-LN(2)/25)*GM191+(1-EXP(-LN(2)/25))/(LN(2)/25)*Calculateur!GH192*Calculateur!GJ192*VLOOKUP('Données projet'!$B$17,Paramètres!$A$1:$I$89,3,0)*0.475*44/12</f>
        <v>0</v>
      </c>
      <c r="GN192" s="21">
        <f>EXP(-LN(2)/2)*GN191+(1-EXP(-LN(2)/2))/(LN(2)/2)*GH192*GK192*VLOOKUP('Données projet'!$B$17,Paramètres!$A$1:$I$89,3,0)*0.475*44/12</f>
        <v>0</v>
      </c>
      <c r="GO192" s="21">
        <f t="shared" si="187"/>
        <v>0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4.5474735088646412E-13</v>
      </c>
      <c r="O193" s="13">
        <f>N193*VLOOKUP('Données projet'!$B$9,Paramètres!$A$1:$I$89,3,0)*VLOOKUP('Données projet'!$B$9,Paramètres!$A$1:$I$89,5,0)</f>
        <v>4.1145540308207271E-13</v>
      </c>
      <c r="P193" s="13">
        <f t="shared" si="141"/>
        <v>5.2428527960910789E-12</v>
      </c>
      <c r="Q193" s="20">
        <f t="shared" si="162"/>
        <v>9.8479201135599071E-12</v>
      </c>
      <c r="R193" s="59">
        <f t="shared" si="109"/>
        <v>293.33333333334315</v>
      </c>
      <c r="S193" s="59">
        <f ca="1">AVERAGE(OFFSET($R$3,0,0,'Données projet'!$E$9+1,1))-AVERAGE(OFFSET($H$3,0,0,'Données projet'!$E$9+1,1))</f>
        <v>221.7429870520005</v>
      </c>
      <c r="T193" s="59">
        <f t="shared" si="142"/>
        <v>182.2029938397186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0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-5.6843418860808015E-13</v>
      </c>
      <c r="AJ193" s="13">
        <f>AI193*VLOOKUP('Données projet'!$B$10,Paramètres!$A$1:$I$89,3,0)*VLOOKUP('Données projet'!$B$10,Paramètres!$A$1:$I$89,5,0)</f>
        <v>-5.1431925385259092E-13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153.45079678708987</v>
      </c>
      <c r="AO193" s="59">
        <f t="shared" si="144"/>
        <v>115.4217868409637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0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3.4106051316484809E-13</v>
      </c>
      <c r="BE193" s="13">
        <f>BD193*VLOOKUP('Données projet'!$B$11,Paramètres!$A$1:$I$89,3,0)*VLOOKUP('Données projet'!$B$11,Paramètres!$A$1:$I$89,5,0)</f>
        <v>1.5961632016114892E-13</v>
      </c>
      <c r="BF193" s="13">
        <f t="shared" si="167"/>
        <v>2.2708641912150958E-12</v>
      </c>
      <c r="BG193" s="20">
        <f t="shared" si="168"/>
        <v>4.2330868906469593E-12</v>
      </c>
      <c r="BH193" s="59">
        <f t="shared" si="116"/>
        <v>293.33333333333752</v>
      </c>
      <c r="BI193" s="59">
        <f ca="1">AVERAGE(OFFSET($BH$3,0,0,'Données projet'!$E$11+1,1))-AVERAGE(OFFSET($H$3,0,0,'Données projet'!$E$11+1,1))</f>
        <v>158.58786357608489</v>
      </c>
      <c r="BJ193" s="59">
        <f t="shared" si="146"/>
        <v>163.20074068819849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0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>
        <f>BY193*VLOOKUP('Données projet'!$B$12,Paramètres!$A$1:$I$89,3,0)*VLOOKUP('Données projet'!$B$12,Paramètres!$A$1:$I$89,5,0)</f>
        <v>0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255.41017495879987</v>
      </c>
      <c r="CE193" s="59">
        <f t="shared" si="148"/>
        <v>297.50513563712764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0.35094281487802381</v>
      </c>
      <c r="CL193" s="21">
        <f>EXP(-LN(2)/25)*CL192+(1-EXP(-LN(2)/25))/(LN(2)/25)*Calculateur!CG193*Calculateur!CI193*VLOOKUP('Données projet'!$B$12,Paramètres!$A$1:$I$89,3,0)*0.475*44/12</f>
        <v>0.33002203276786857</v>
      </c>
      <c r="CM193" s="21">
        <f>EXP(-LN(2)/2)*CM192+(1-EXP(-LN(2)/2))/(LN(2)/2)*CG193*CJ193*VLOOKUP('Données projet'!$B$12,Paramètres!$A$1:$I$89,3,0)*0.475*44/12</f>
        <v>2.0184192231654279E-23</v>
      </c>
      <c r="CN193" s="22">
        <f t="shared" si="172"/>
        <v>0.68096484764589238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-1.4210854715202004E-13</v>
      </c>
      <c r="CU193" s="17">
        <f>CT193*VLOOKUP('Données projet'!$B$13,Paramètres!$A$1:$I$89,3,0)*VLOOKUP('Données projet'!$B$13,Paramètres!$A$1:$I$89,5,0)</f>
        <v>-8.128608897095547E-14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134.70214882504786</v>
      </c>
      <c r="CZ193" s="59">
        <f t="shared" si="150"/>
        <v>102.18553029667771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4.4709030790426603E-2</v>
      </c>
      <c r="DG193" s="21">
        <f>EXP(-LN(2)/25)*DG192+(1-EXP(-LN(2)/25))/(LN(2)/25)*Calculateur!DB193*Calculateur!DD193*VLOOKUP('Données projet'!$B$13,Paramètres!$A$1:$I$89,3,0)*0.475*44/12</f>
        <v>0.14860710345347791</v>
      </c>
      <c r="DH193" s="21">
        <f>EXP(-LN(2)/2)*DH192+(1-EXP(-LN(2)/2))/(LN(2)/2)*DB193*DE193*VLOOKUP('Données projet'!$B$13,Paramètres!$A$1:$I$89,3,0)*0.475*44/12</f>
        <v>6.3741681218107557E-24</v>
      </c>
      <c r="DI193" s="22">
        <f t="shared" si="175"/>
        <v>0.19331613424390451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-2.8421709430404007E-13</v>
      </c>
      <c r="DP193" s="17">
        <f>DO193*VLOOKUP('Données projet'!$B$14,Paramètres!$A$1:$I$89,3,0)*VLOOKUP('Données projet'!$B$14,Paramètres!$A$1:$I$89,5,0)</f>
        <v>-1.69961822393816E-13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179.32848817523677</v>
      </c>
      <c r="DU193" s="59">
        <f t="shared" si="152"/>
        <v>131.3292389103035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</v>
      </c>
      <c r="EB193" s="21">
        <f>EXP(-LN(2)/25)*EB192+(1-EXP(-LN(2)/25))/(LN(2)/25)*Calculateur!DW193*Calculateur!DY193*VLOOKUP('Données projet'!$B$14,Paramètres!$A$1:$I$89,3,0)*0.475*44/12</f>
        <v>0.15607236962759297</v>
      </c>
      <c r="EC193" s="21">
        <f>EXP(-LN(2)/2)*EC192+(1-EXP(-LN(2)/2))/(LN(2)/2)*DW193*DZ193*VLOOKUP('Données projet'!$B$14,Paramètres!$A$1:$I$89,3,0)*0.475*44/12</f>
        <v>4.3533435152564547E-24</v>
      </c>
      <c r="ED193" s="22">
        <f t="shared" si="178"/>
        <v>0.15607236962759297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-2.2737367544323206E-13</v>
      </c>
      <c r="EK193" s="17">
        <f>EJ193*VLOOKUP('Données projet'!$B$15,Paramètres!$A$1:$I$89,3,0)*VLOOKUP('Données projet'!$B$15,Paramètres!$A$1:$I$89,5,0)</f>
        <v>-1.0049916454590858E-13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191.932060106699</v>
      </c>
      <c r="EP193" s="59">
        <f t="shared" si="154"/>
        <v>260.28593152736903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0.1027631856112355</v>
      </c>
      <c r="EW193" s="21">
        <f>EXP(-LN(2)/25)*EW192+(1-EXP(-LN(2)/25))/(LN(2)/25)*Calculateur!ER193*Calculateur!ET193*VLOOKUP('Données projet'!$B$15,Paramètres!$A$1:$I$89,3,0)*0.475*44/12</f>
        <v>0.14943709879443448</v>
      </c>
      <c r="EX193" s="21">
        <f>EXP(-LN(2)/2)*EX192+(1-EXP(-LN(2)/2))/(LN(2)/2)*ER193*EU193*VLOOKUP('Données projet'!$B$15,Paramètres!$A$1:$I$89,3,0)*0.475*44/12</f>
        <v>1.1070787314731896E-24</v>
      </c>
      <c r="EY193" s="22">
        <f t="shared" si="181"/>
        <v>0.25220028440566999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181.00000000000009</v>
      </c>
      <c r="FF193" s="17">
        <f>FE193*VLOOKUP('Données projet'!$B$16,Paramètres!$A$1:$I$89,3,0)*VLOOKUP('Données projet'!$B$16,Paramètres!$A$1:$I$89,5,0)</f>
        <v>175.06320000000008</v>
      </c>
      <c r="FG193" s="13">
        <f t="shared" si="182"/>
        <v>44.222067746824763</v>
      </c>
      <c r="FH193" s="20">
        <f t="shared" si="183"/>
        <v>381.92184132571992</v>
      </c>
      <c r="FI193" s="59">
        <f t="shared" si="131"/>
        <v>675.25517465905318</v>
      </c>
      <c r="FJ193" s="59">
        <f ca="1">AVERAGE(OFFSET($FI$3,0,0,'Données projet'!$E$16+1,1))-AVERAGE(OFFSET($H$3,0,0,'Données projet'!$E$16+1,1))</f>
        <v>102.86738524979938</v>
      </c>
      <c r="FK193" s="59">
        <f t="shared" si="156"/>
        <v>56.347130462109817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0</v>
      </c>
      <c r="FR193" s="21">
        <f>EXP(-LN(2)/25)*FR192+(1-EXP(-LN(2)/25))/(LN(2)/25)*Calculateur!FM193*Calculateur!FO193*VLOOKUP('Données projet'!$B$16,Paramètres!$A$1:$I$89,3,0)*0.475*44/12</f>
        <v>0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0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300.00000000000068</v>
      </c>
      <c r="GA193" s="17">
        <f>FZ193*VLOOKUP('Données projet'!$B$17,Paramètres!$A$1:$I$89,3,0)*VLOOKUP('Données projet'!$B$17,Paramètres!$A$1:$I$89,5,0)</f>
        <v>201.24000000000046</v>
      </c>
      <c r="GB193" s="13">
        <f t="shared" si="185"/>
        <v>50.01658408633331</v>
      </c>
      <c r="GC193" s="20">
        <f t="shared" si="186"/>
        <v>437.60521728369798</v>
      </c>
      <c r="GD193" s="59">
        <f t="shared" si="134"/>
        <v>730.9385506170313</v>
      </c>
      <c r="GE193" s="59">
        <f ca="1">AVERAGE(OFFSET($GD$3,0,0,'Données projet'!$E$17+1,1))-AVERAGE(OFFSET($H$3,0,0,'Données projet'!$E$17+1,1))</f>
        <v>168.00454652899231</v>
      </c>
      <c r="GF193" s="59">
        <f t="shared" si="158"/>
        <v>135.31958994080446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0</v>
      </c>
      <c r="GM193" s="21">
        <f>EXP(-LN(2)/25)*GM192+(1-EXP(-LN(2)/25))/(LN(2)/25)*Calculateur!GH193*Calculateur!GJ193*VLOOKUP('Données projet'!$B$17,Paramètres!$A$1:$I$89,3,0)*0.475*44/12</f>
        <v>0</v>
      </c>
      <c r="GN193" s="21">
        <f>EXP(-LN(2)/2)*GN192+(1-EXP(-LN(2)/2))/(LN(2)/2)*GH193*GK193*VLOOKUP('Données projet'!$B$17,Paramètres!$A$1:$I$89,3,0)*0.475*44/12</f>
        <v>0</v>
      </c>
      <c r="GO193" s="21">
        <f t="shared" si="187"/>
        <v>0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4.5474735088646412E-13</v>
      </c>
      <c r="O194" s="13">
        <f>N194*VLOOKUP('Données projet'!$B$9,Paramètres!$A$1:$I$89,3,0)*VLOOKUP('Données projet'!$B$9,Paramètres!$A$1:$I$89,5,0)</f>
        <v>4.1145540308207271E-13</v>
      </c>
      <c r="P194" s="13">
        <f t="shared" si="141"/>
        <v>5.2428527960910789E-12</v>
      </c>
      <c r="Q194" s="20">
        <f t="shared" si="162"/>
        <v>9.8479201135599071E-12</v>
      </c>
      <c r="R194" s="59">
        <f t="shared" si="109"/>
        <v>293.33333333334315</v>
      </c>
      <c r="S194" s="59">
        <f ca="1">AVERAGE(OFFSET($R$3,0,0,'Données projet'!$E$9+1,1))-AVERAGE(OFFSET($H$3,0,0,'Données projet'!$E$9+1,1))</f>
        <v>221.7429870520005</v>
      </c>
      <c r="T194" s="59">
        <f t="shared" si="142"/>
        <v>182.2029938397186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0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-5.6843418860808015E-13</v>
      </c>
      <c r="AJ194" s="13">
        <f>AI194*VLOOKUP('Données projet'!$B$10,Paramètres!$A$1:$I$89,3,0)*VLOOKUP('Données projet'!$B$10,Paramètres!$A$1:$I$89,5,0)</f>
        <v>-5.1431925385259092E-13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153.45079678708987</v>
      </c>
      <c r="AO194" s="59">
        <f t="shared" si="144"/>
        <v>115.4217868409637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0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3.4106051316484809E-13</v>
      </c>
      <c r="BE194" s="13">
        <f>BD194*VLOOKUP('Données projet'!$B$11,Paramètres!$A$1:$I$89,3,0)*VLOOKUP('Données projet'!$B$11,Paramètres!$A$1:$I$89,5,0)</f>
        <v>1.5961632016114892E-13</v>
      </c>
      <c r="BF194" s="13">
        <f t="shared" si="167"/>
        <v>2.2708641912150958E-12</v>
      </c>
      <c r="BG194" s="20">
        <f t="shared" si="168"/>
        <v>4.2330868906469593E-12</v>
      </c>
      <c r="BH194" s="59">
        <f t="shared" si="116"/>
        <v>293.33333333333752</v>
      </c>
      <c r="BI194" s="59">
        <f ca="1">AVERAGE(OFFSET($BH$3,0,0,'Données projet'!$E$11+1,1))-AVERAGE(OFFSET($H$3,0,0,'Données projet'!$E$11+1,1))</f>
        <v>158.58786357608489</v>
      </c>
      <c r="BJ194" s="59">
        <f t="shared" si="146"/>
        <v>163.20074068819849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0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>
        <f>BY194*VLOOKUP('Données projet'!$B$12,Paramètres!$A$1:$I$89,3,0)*VLOOKUP('Données projet'!$B$12,Paramètres!$A$1:$I$89,5,0)</f>
        <v>0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255.41017495879987</v>
      </c>
      <c r="CE194" s="59">
        <f t="shared" si="148"/>
        <v>297.50513563712764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0.34406104033224677</v>
      </c>
      <c r="CL194" s="21">
        <f>EXP(-LN(2)/25)*CL193+(1-EXP(-LN(2)/25))/(LN(2)/25)*Calculateur!CG194*Calculateur!CI194*VLOOKUP('Données projet'!$B$12,Paramètres!$A$1:$I$89,3,0)*0.475*44/12</f>
        <v>0.32099756292672676</v>
      </c>
      <c r="CM194" s="21">
        <f>EXP(-LN(2)/2)*CM193+(1-EXP(-LN(2)/2))/(LN(2)/2)*CG194*CJ194*VLOOKUP('Données projet'!$B$12,Paramètres!$A$1:$I$89,3,0)*0.475*44/12</f>
        <v>1.4272379199775574E-23</v>
      </c>
      <c r="CN194" s="22">
        <f t="shared" si="172"/>
        <v>0.66505860325897359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-1.4210854715202004E-13</v>
      </c>
      <c r="CU194" s="17">
        <f>CT194*VLOOKUP('Données projet'!$B$13,Paramètres!$A$1:$I$89,3,0)*VLOOKUP('Données projet'!$B$13,Paramètres!$A$1:$I$89,5,0)</f>
        <v>-8.128608897095547E-14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134.70214882504786</v>
      </c>
      <c r="CZ194" s="59">
        <f t="shared" si="150"/>
        <v>102.18553029667771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4.3832313966442452E-2</v>
      </c>
      <c r="DG194" s="21">
        <f>EXP(-LN(2)/25)*DG193+(1-EXP(-LN(2)/25))/(LN(2)/25)*Calculateur!DB194*Calculateur!DD194*VLOOKUP('Données projet'!$B$13,Paramètres!$A$1:$I$89,3,0)*0.475*44/12</f>
        <v>0.14454343439463463</v>
      </c>
      <c r="DH194" s="21">
        <f>EXP(-LN(2)/2)*DH193+(1-EXP(-LN(2)/2))/(LN(2)/2)*DB194*DE194*VLOOKUP('Données projet'!$B$13,Paramètres!$A$1:$I$89,3,0)*0.475*44/12</f>
        <v>4.5072175033555046E-24</v>
      </c>
      <c r="DI194" s="22">
        <f t="shared" si="175"/>
        <v>0.18837574836107707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-2.8421709430404007E-13</v>
      </c>
      <c r="DP194" s="17">
        <f>DO194*VLOOKUP('Données projet'!$B$14,Paramètres!$A$1:$I$89,3,0)*VLOOKUP('Données projet'!$B$14,Paramètres!$A$1:$I$89,5,0)</f>
        <v>-1.69961822393816E-13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179.32848817523677</v>
      </c>
      <c r="DU194" s="59">
        <f t="shared" si="152"/>
        <v>131.3292389103035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</v>
      </c>
      <c r="EB194" s="21">
        <f>EXP(-LN(2)/25)*EB193+(1-EXP(-LN(2)/25))/(LN(2)/25)*Calculateur!DW194*Calculateur!DY194*VLOOKUP('Données projet'!$B$14,Paramètres!$A$1:$I$89,3,0)*0.475*44/12</f>
        <v>0.15180456247263724</v>
      </c>
      <c r="EC194" s="21">
        <f>EXP(-LN(2)/2)*EC193+(1-EXP(-LN(2)/2))/(LN(2)/2)*DW194*DZ194*VLOOKUP('Données projet'!$B$14,Paramètres!$A$1:$I$89,3,0)*0.475*44/12</f>
        <v>3.0782787204723216E-24</v>
      </c>
      <c r="ED194" s="22">
        <f t="shared" si="178"/>
        <v>0.15180456247263724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-2.2737367544323206E-13</v>
      </c>
      <c r="EK194" s="17">
        <f>EJ194*VLOOKUP('Données projet'!$B$15,Paramètres!$A$1:$I$89,3,0)*VLOOKUP('Données projet'!$B$15,Paramètres!$A$1:$I$89,5,0)</f>
        <v>-1.0049916454590858E-13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191.932060106699</v>
      </c>
      <c r="EP194" s="59">
        <f t="shared" si="154"/>
        <v>260.28593152736903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0.10074806222075332</v>
      </c>
      <c r="EW194" s="21">
        <f>EXP(-LN(2)/25)*EW193+(1-EXP(-LN(2)/25))/(LN(2)/25)*Calculateur!ER194*Calculateur!ET194*VLOOKUP('Données projet'!$B$15,Paramètres!$A$1:$I$89,3,0)*0.475*44/12</f>
        <v>0.14535073346934518</v>
      </c>
      <c r="EX194" s="21">
        <f>EXP(-LN(2)/2)*EX193+(1-EXP(-LN(2)/2))/(LN(2)/2)*ER194*EU194*VLOOKUP('Données projet'!$B$15,Paramètres!$A$1:$I$89,3,0)*0.475*44/12</f>
        <v>7.8282287833209327E-25</v>
      </c>
      <c r="EY194" s="22">
        <f t="shared" si="181"/>
        <v>0.24609879569009852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181.00000000000009</v>
      </c>
      <c r="FF194" s="17">
        <f>FE194*VLOOKUP('Données projet'!$B$16,Paramètres!$A$1:$I$89,3,0)*VLOOKUP('Données projet'!$B$16,Paramètres!$A$1:$I$89,5,0)</f>
        <v>175.06320000000008</v>
      </c>
      <c r="FG194" s="13">
        <f t="shared" si="182"/>
        <v>44.222067746824763</v>
      </c>
      <c r="FH194" s="20">
        <f t="shared" si="183"/>
        <v>381.92184132571992</v>
      </c>
      <c r="FI194" s="59">
        <f t="shared" si="131"/>
        <v>675.25517465905318</v>
      </c>
      <c r="FJ194" s="59">
        <f ca="1">AVERAGE(OFFSET($FI$3,0,0,'Données projet'!$E$16+1,1))-AVERAGE(OFFSET($H$3,0,0,'Données projet'!$E$16+1,1))</f>
        <v>102.86738524979938</v>
      </c>
      <c r="FK194" s="59">
        <f t="shared" si="156"/>
        <v>56.347130462109817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0</v>
      </c>
      <c r="FR194" s="21">
        <f>EXP(-LN(2)/25)*FR193+(1-EXP(-LN(2)/25))/(LN(2)/25)*Calculateur!FM194*Calculateur!FO194*VLOOKUP('Données projet'!$B$16,Paramètres!$A$1:$I$89,3,0)*0.475*44/12</f>
        <v>0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0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300.00000000000068</v>
      </c>
      <c r="GA194" s="17">
        <f>FZ194*VLOOKUP('Données projet'!$B$17,Paramètres!$A$1:$I$89,3,0)*VLOOKUP('Données projet'!$B$17,Paramètres!$A$1:$I$89,5,0)</f>
        <v>201.24000000000046</v>
      </c>
      <c r="GB194" s="13">
        <f t="shared" si="185"/>
        <v>50.01658408633331</v>
      </c>
      <c r="GC194" s="20">
        <f t="shared" si="186"/>
        <v>437.60521728369798</v>
      </c>
      <c r="GD194" s="59">
        <f t="shared" si="134"/>
        <v>730.9385506170313</v>
      </c>
      <c r="GE194" s="59">
        <f ca="1">AVERAGE(OFFSET($GD$3,0,0,'Données projet'!$E$17+1,1))-AVERAGE(OFFSET($H$3,0,0,'Données projet'!$E$17+1,1))</f>
        <v>168.00454652899231</v>
      </c>
      <c r="GF194" s="59">
        <f t="shared" si="158"/>
        <v>135.31958994080446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0</v>
      </c>
      <c r="GM194" s="21">
        <f>EXP(-LN(2)/25)*GM193+(1-EXP(-LN(2)/25))/(LN(2)/25)*Calculateur!GH194*Calculateur!GJ194*VLOOKUP('Données projet'!$B$17,Paramètres!$A$1:$I$89,3,0)*0.475*44/12</f>
        <v>0</v>
      </c>
      <c r="GN194" s="21">
        <f>EXP(-LN(2)/2)*GN193+(1-EXP(-LN(2)/2))/(LN(2)/2)*GH194*GK194*VLOOKUP('Données projet'!$B$17,Paramètres!$A$1:$I$89,3,0)*0.475*44/12</f>
        <v>0</v>
      </c>
      <c r="GO194" s="21">
        <f t="shared" si="187"/>
        <v>0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4.5474735088646412E-13</v>
      </c>
      <c r="O195" s="13">
        <f>N195*VLOOKUP('Données projet'!$B$9,Paramètres!$A$1:$I$89,3,0)*VLOOKUP('Données projet'!$B$9,Paramètres!$A$1:$I$89,5,0)</f>
        <v>4.1145540308207271E-13</v>
      </c>
      <c r="P195" s="13">
        <f t="shared" si="141"/>
        <v>5.2428527960910789E-12</v>
      </c>
      <c r="Q195" s="20">
        <f t="shared" si="162"/>
        <v>9.8479201135599071E-12</v>
      </c>
      <c r="R195" s="59">
        <f t="shared" ref="R195:R203" si="191">Q195+(I195+J195)*44/12</f>
        <v>293.33333333334315</v>
      </c>
      <c r="S195" s="59">
        <f ca="1">AVERAGE(OFFSET($R$3,0,0,'Données projet'!$E$9+1,1))-AVERAGE(OFFSET($H$3,0,0,'Données projet'!$E$9+1,1))</f>
        <v>221.7429870520005</v>
      </c>
      <c r="T195" s="59">
        <f t="shared" si="142"/>
        <v>182.2029938397186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0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-5.6843418860808015E-13</v>
      </c>
      <c r="AJ195" s="13">
        <f>AI195*VLOOKUP('Données projet'!$B$10,Paramètres!$A$1:$I$89,3,0)*VLOOKUP('Données projet'!$B$10,Paramètres!$A$1:$I$89,5,0)</f>
        <v>-5.1431925385259092E-13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153.45079678708987</v>
      </c>
      <c r="AO195" s="59">
        <f t="shared" si="144"/>
        <v>115.4217868409637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0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3.4106051316484809E-13</v>
      </c>
      <c r="BE195" s="13">
        <f>BD195*VLOOKUP('Données projet'!$B$11,Paramètres!$A$1:$I$89,3,0)*VLOOKUP('Données projet'!$B$11,Paramètres!$A$1:$I$89,5,0)</f>
        <v>1.5961632016114892E-13</v>
      </c>
      <c r="BF195" s="13">
        <f t="shared" si="167"/>
        <v>2.2708641912150958E-12</v>
      </c>
      <c r="BG195" s="20">
        <f t="shared" si="168"/>
        <v>4.2330868906469593E-12</v>
      </c>
      <c r="BH195" s="59">
        <f t="shared" si="116"/>
        <v>293.33333333333752</v>
      </c>
      <c r="BI195" s="59">
        <f ca="1">AVERAGE(OFFSET($BH$3,0,0,'Données projet'!$E$11+1,1))-AVERAGE(OFFSET($H$3,0,0,'Données projet'!$E$11+1,1))</f>
        <v>158.58786357608489</v>
      </c>
      <c r="BJ195" s="59">
        <f t="shared" si="146"/>
        <v>163.20074068819849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0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>
        <f>BY195*VLOOKUP('Données projet'!$B$12,Paramètres!$A$1:$I$89,3,0)*VLOOKUP('Données projet'!$B$12,Paramètres!$A$1:$I$89,5,0)</f>
        <v>0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255.41017495879987</v>
      </c>
      <c r="CE195" s="59">
        <f t="shared" si="148"/>
        <v>297.50513563712764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0.33731421318784438</v>
      </c>
      <c r="CL195" s="21">
        <f>EXP(-LN(2)/25)*CL194+(1-EXP(-LN(2)/25))/(LN(2)/25)*Calculateur!CG195*Calculateur!CI195*VLOOKUP('Données projet'!$B$12,Paramètres!$A$1:$I$89,3,0)*0.475*44/12</f>
        <v>0.31221986768796722</v>
      </c>
      <c r="CM195" s="21">
        <f>EXP(-LN(2)/2)*CM194+(1-EXP(-LN(2)/2))/(LN(2)/2)*CG195*CJ195*VLOOKUP('Données projet'!$B$12,Paramètres!$A$1:$I$89,3,0)*0.475*44/12</f>
        <v>1.0092096115827139E-23</v>
      </c>
      <c r="CN195" s="22">
        <f t="shared" si="172"/>
        <v>0.64953408087581166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-1.4210854715202004E-13</v>
      </c>
      <c r="CU195" s="17">
        <f>CT195*VLOOKUP('Données projet'!$B$13,Paramètres!$A$1:$I$89,3,0)*VLOOKUP('Données projet'!$B$13,Paramètres!$A$1:$I$89,5,0)</f>
        <v>-8.128608897095547E-14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134.70214882504786</v>
      </c>
      <c r="CZ195" s="59">
        <f t="shared" si="150"/>
        <v>102.18553029667771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4.2972789024632169E-2</v>
      </c>
      <c r="DG195" s="21">
        <f>EXP(-LN(2)/25)*DG194+(1-EXP(-LN(2)/25))/(LN(2)/25)*Calculateur!DB195*Calculateur!DD195*VLOOKUP('Données projet'!$B$13,Paramètres!$A$1:$I$89,3,0)*0.475*44/12</f>
        <v>0.14059088657990448</v>
      </c>
      <c r="DH195" s="21">
        <f>EXP(-LN(2)/2)*DH194+(1-EXP(-LN(2)/2))/(LN(2)/2)*DB195*DE195*VLOOKUP('Données projet'!$B$13,Paramètres!$A$1:$I$89,3,0)*0.475*44/12</f>
        <v>3.1870840609053779E-24</v>
      </c>
      <c r="DI195" s="22">
        <f t="shared" si="175"/>
        <v>0.18356367560453665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-2.8421709430404007E-13</v>
      </c>
      <c r="DP195" s="17">
        <f>DO195*VLOOKUP('Données projet'!$B$14,Paramètres!$A$1:$I$89,3,0)*VLOOKUP('Données projet'!$B$14,Paramètres!$A$1:$I$89,5,0)</f>
        <v>-1.69961822393816E-13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179.32848817523677</v>
      </c>
      <c r="DU195" s="59">
        <f t="shared" si="152"/>
        <v>131.3292389103035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</v>
      </c>
      <c r="EB195" s="21">
        <f>EXP(-LN(2)/25)*EB194+(1-EXP(-LN(2)/25))/(LN(2)/25)*Calculateur!DW195*Calculateur!DY195*VLOOKUP('Données projet'!$B$14,Paramètres!$A$1:$I$89,3,0)*0.475*44/12</f>
        <v>0.14765345872876798</v>
      </c>
      <c r="EC195" s="21">
        <f>EXP(-LN(2)/2)*EC194+(1-EXP(-LN(2)/2))/(LN(2)/2)*DW195*DZ195*VLOOKUP('Données projet'!$B$14,Paramètres!$A$1:$I$89,3,0)*0.475*44/12</f>
        <v>2.1766717576282274E-24</v>
      </c>
      <c r="ED195" s="22">
        <f t="shared" si="178"/>
        <v>0.14765345872876798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-2.2737367544323206E-13</v>
      </c>
      <c r="EK195" s="17">
        <f>EJ195*VLOOKUP('Données projet'!$B$15,Paramètres!$A$1:$I$89,3,0)*VLOOKUP('Données projet'!$B$15,Paramètres!$A$1:$I$89,5,0)</f>
        <v>-1.0049916454590858E-13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191.932060106699</v>
      </c>
      <c r="EP195" s="59">
        <f t="shared" si="154"/>
        <v>260.28593152736903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9.877245417085459E-2</v>
      </c>
      <c r="EW195" s="21">
        <f>EXP(-LN(2)/25)*EW194+(1-EXP(-LN(2)/25))/(LN(2)/25)*Calculateur!ER195*Calculateur!ET195*VLOOKUP('Données projet'!$B$15,Paramètres!$A$1:$I$89,3,0)*0.475*44/12</f>
        <v>0.14137611001896308</v>
      </c>
      <c r="EX195" s="21">
        <f>EXP(-LN(2)/2)*EX194+(1-EXP(-LN(2)/2))/(LN(2)/2)*ER195*EU195*VLOOKUP('Données projet'!$B$15,Paramètres!$A$1:$I$89,3,0)*0.475*44/12</f>
        <v>5.5353936573659479E-25</v>
      </c>
      <c r="EY195" s="22">
        <f t="shared" si="181"/>
        <v>0.24014856418981767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181.00000000000009</v>
      </c>
      <c r="FF195" s="17">
        <f>FE195*VLOOKUP('Données projet'!$B$16,Paramètres!$A$1:$I$89,3,0)*VLOOKUP('Données projet'!$B$16,Paramètres!$A$1:$I$89,5,0)</f>
        <v>175.06320000000008</v>
      </c>
      <c r="FG195" s="13">
        <f t="shared" si="182"/>
        <v>44.222067746824763</v>
      </c>
      <c r="FH195" s="20">
        <f t="shared" si="183"/>
        <v>381.92184132571992</v>
      </c>
      <c r="FI195" s="59">
        <f t="shared" si="131"/>
        <v>675.25517465905318</v>
      </c>
      <c r="FJ195" s="59">
        <f ca="1">AVERAGE(OFFSET($FI$3,0,0,'Données projet'!$E$16+1,1))-AVERAGE(OFFSET($H$3,0,0,'Données projet'!$E$16+1,1))</f>
        <v>102.86738524979938</v>
      </c>
      <c r="FK195" s="59">
        <f t="shared" si="156"/>
        <v>56.347130462109817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0</v>
      </c>
      <c r="FR195" s="21">
        <f>EXP(-LN(2)/25)*FR194+(1-EXP(-LN(2)/25))/(LN(2)/25)*Calculateur!FM195*Calculateur!FO195*VLOOKUP('Données projet'!$B$16,Paramètres!$A$1:$I$89,3,0)*0.475*44/12</f>
        <v>0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0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300.00000000000068</v>
      </c>
      <c r="GA195" s="17">
        <f>FZ195*VLOOKUP('Données projet'!$B$17,Paramètres!$A$1:$I$89,3,0)*VLOOKUP('Données projet'!$B$17,Paramètres!$A$1:$I$89,5,0)</f>
        <v>201.24000000000046</v>
      </c>
      <c r="GB195" s="13">
        <f t="shared" si="185"/>
        <v>50.01658408633331</v>
      </c>
      <c r="GC195" s="20">
        <f t="shared" si="186"/>
        <v>437.60521728369798</v>
      </c>
      <c r="GD195" s="59">
        <f t="shared" si="134"/>
        <v>730.9385506170313</v>
      </c>
      <c r="GE195" s="59">
        <f ca="1">AVERAGE(OFFSET($GD$3,0,0,'Données projet'!$E$17+1,1))-AVERAGE(OFFSET($H$3,0,0,'Données projet'!$E$17+1,1))</f>
        <v>168.00454652899231</v>
      </c>
      <c r="GF195" s="59">
        <f t="shared" si="158"/>
        <v>135.31958994080446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0</v>
      </c>
      <c r="GM195" s="21">
        <f>EXP(-LN(2)/25)*GM194+(1-EXP(-LN(2)/25))/(LN(2)/25)*Calculateur!GH195*Calculateur!GJ195*VLOOKUP('Données projet'!$B$17,Paramètres!$A$1:$I$89,3,0)*0.475*44/12</f>
        <v>0</v>
      </c>
      <c r="GN195" s="21">
        <f>EXP(-LN(2)/2)*GN194+(1-EXP(-LN(2)/2))/(LN(2)/2)*GH195*GK195*VLOOKUP('Données projet'!$B$17,Paramètres!$A$1:$I$89,3,0)*0.475*44/12</f>
        <v>0</v>
      </c>
      <c r="GO195" s="21">
        <f t="shared" si="187"/>
        <v>0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4.5474735088646412E-13</v>
      </c>
      <c r="O196" s="13">
        <f>N196*VLOOKUP('Données projet'!$B$9,Paramètres!$A$1:$I$89,3,0)*VLOOKUP('Données projet'!$B$9,Paramètres!$A$1:$I$89,5,0)</f>
        <v>4.1145540308207271E-13</v>
      </c>
      <c r="P196" s="13">
        <f t="shared" si="141"/>
        <v>5.2428527960910789E-12</v>
      </c>
      <c r="Q196" s="20">
        <f t="shared" si="162"/>
        <v>9.8479201135599071E-12</v>
      </c>
      <c r="R196" s="59">
        <f t="shared" si="191"/>
        <v>293.33333333334315</v>
      </c>
      <c r="S196" s="59">
        <f ca="1">AVERAGE(OFFSET($R$3,0,0,'Données projet'!$E$9+1,1))-AVERAGE(OFFSET($H$3,0,0,'Données projet'!$E$9+1,1))</f>
        <v>221.7429870520005</v>
      </c>
      <c r="T196" s="59">
        <f t="shared" si="142"/>
        <v>182.2029938397186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0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-5.6843418860808015E-13</v>
      </c>
      <c r="AJ196" s="13">
        <f>AI196*VLOOKUP('Données projet'!$B$10,Paramètres!$A$1:$I$89,3,0)*VLOOKUP('Données projet'!$B$10,Paramètres!$A$1:$I$89,5,0)</f>
        <v>-5.1431925385259092E-13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153.45079678708987</v>
      </c>
      <c r="AO196" s="59">
        <f t="shared" si="144"/>
        <v>115.4217868409637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0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3.4106051316484809E-13</v>
      </c>
      <c r="BE196" s="13">
        <f>BD196*VLOOKUP('Données projet'!$B$11,Paramètres!$A$1:$I$89,3,0)*VLOOKUP('Données projet'!$B$11,Paramètres!$A$1:$I$89,5,0)</f>
        <v>1.5961632016114892E-13</v>
      </c>
      <c r="BF196" s="13">
        <f t="shared" si="167"/>
        <v>2.2708641912150958E-12</v>
      </c>
      <c r="BG196" s="20">
        <f t="shared" si="168"/>
        <v>4.2330868906469593E-12</v>
      </c>
      <c r="BH196" s="59">
        <f t="shared" ref="BH196:BH203" si="194">BG196+(AY196+AZ196)*44/12</f>
        <v>293.33333333333752</v>
      </c>
      <c r="BI196" s="59">
        <f ca="1">AVERAGE(OFFSET($BH$3,0,0,'Données projet'!$E$11+1,1))-AVERAGE(OFFSET($H$3,0,0,'Données projet'!$E$11+1,1))</f>
        <v>158.58786357608489</v>
      </c>
      <c r="BJ196" s="59">
        <f t="shared" si="146"/>
        <v>163.20074068819849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0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>
        <f>BY196*VLOOKUP('Données projet'!$B$12,Paramètres!$A$1:$I$89,3,0)*VLOOKUP('Données projet'!$B$12,Paramètres!$A$1:$I$89,5,0)</f>
        <v>0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255.41017495879987</v>
      </c>
      <c r="CE196" s="59">
        <f t="shared" si="148"/>
        <v>297.50513563712764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0.3306996872085855</v>
      </c>
      <c r="CL196" s="21">
        <f>EXP(-LN(2)/25)*CL195+(1-EXP(-LN(2)/25))/(LN(2)/25)*Calculateur!CG196*Calculateur!CI196*VLOOKUP('Données projet'!$B$12,Paramètres!$A$1:$I$89,3,0)*0.475*44/12</f>
        <v>0.30368219898711052</v>
      </c>
      <c r="CM196" s="21">
        <f>EXP(-LN(2)/2)*CM195+(1-EXP(-LN(2)/2))/(LN(2)/2)*CG196*CJ196*VLOOKUP('Données projet'!$B$12,Paramètres!$A$1:$I$89,3,0)*0.475*44/12</f>
        <v>7.1361895998877871E-24</v>
      </c>
      <c r="CN196" s="22">
        <f t="shared" si="172"/>
        <v>0.63438188619569602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-1.4210854715202004E-13</v>
      </c>
      <c r="CU196" s="17">
        <f>CT196*VLOOKUP('Données projet'!$B$13,Paramètres!$A$1:$I$89,3,0)*VLOOKUP('Données projet'!$B$13,Paramètres!$A$1:$I$89,5,0)</f>
        <v>-8.128608897095547E-14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134.70214882504786</v>
      </c>
      <c r="CZ196" s="59">
        <f t="shared" si="150"/>
        <v>102.18553029667771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4.2130118842672336E-2</v>
      </c>
      <c r="DG196" s="21">
        <f>EXP(-LN(2)/25)*DG195+(1-EXP(-LN(2)/25))/(LN(2)/25)*Calculateur!DB196*Calculateur!DD196*VLOOKUP('Données projet'!$B$13,Paramètres!$A$1:$I$89,3,0)*0.475*44/12</f>
        <v>0.13674642139302359</v>
      </c>
      <c r="DH196" s="21">
        <f>EXP(-LN(2)/2)*DH195+(1-EXP(-LN(2)/2))/(LN(2)/2)*DB196*DE196*VLOOKUP('Données projet'!$B$13,Paramètres!$A$1:$I$89,3,0)*0.475*44/12</f>
        <v>2.2536087516777523E-24</v>
      </c>
      <c r="DI196" s="22">
        <f t="shared" si="175"/>
        <v>0.17887654023569594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-2.8421709430404007E-13</v>
      </c>
      <c r="DP196" s="17">
        <f>DO196*VLOOKUP('Données projet'!$B$14,Paramètres!$A$1:$I$89,3,0)*VLOOKUP('Données projet'!$B$14,Paramètres!$A$1:$I$89,5,0)</f>
        <v>-1.69961822393816E-13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179.32848817523677</v>
      </c>
      <c r="DU196" s="59">
        <f t="shared" si="152"/>
        <v>131.3292389103035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</v>
      </c>
      <c r="EB196" s="21">
        <f>EXP(-LN(2)/25)*EB195+(1-EXP(-LN(2)/25))/(LN(2)/25)*Calculateur!DW196*Calculateur!DY196*VLOOKUP('Données projet'!$B$14,Paramètres!$A$1:$I$89,3,0)*0.475*44/12</f>
        <v>0.14361586713507188</v>
      </c>
      <c r="EC196" s="21">
        <f>EXP(-LN(2)/2)*EC195+(1-EXP(-LN(2)/2))/(LN(2)/2)*DW196*DZ196*VLOOKUP('Données projet'!$B$14,Paramètres!$A$1:$I$89,3,0)*0.475*44/12</f>
        <v>1.5391393602361608E-24</v>
      </c>
      <c r="ED196" s="22">
        <f t="shared" si="178"/>
        <v>0.14361586713507188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-2.2737367544323206E-13</v>
      </c>
      <c r="EK196" s="17">
        <f>EJ196*VLOOKUP('Données projet'!$B$15,Paramètres!$A$1:$I$89,3,0)*VLOOKUP('Données projet'!$B$15,Paramètres!$A$1:$I$89,5,0)</f>
        <v>-1.0049916454590858E-13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191.932060106699</v>
      </c>
      <c r="EP196" s="59">
        <f t="shared" si="154"/>
        <v>260.28593152736903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9.683558658981245E-2</v>
      </c>
      <c r="EW196" s="21">
        <f>EXP(-LN(2)/25)*EW195+(1-EXP(-LN(2)/25))/(LN(2)/25)*Calculateur!ER196*Calculateur!ET196*VLOOKUP('Données projet'!$B$15,Paramètres!$A$1:$I$89,3,0)*0.475*44/12</f>
        <v>0.13751017285584802</v>
      </c>
      <c r="EX196" s="21">
        <f>EXP(-LN(2)/2)*EX195+(1-EXP(-LN(2)/2))/(LN(2)/2)*ER196*EU196*VLOOKUP('Données projet'!$B$15,Paramètres!$A$1:$I$89,3,0)*0.475*44/12</f>
        <v>3.9141143916604664E-25</v>
      </c>
      <c r="EY196" s="22">
        <f t="shared" si="181"/>
        <v>0.23434575944566047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181.00000000000009</v>
      </c>
      <c r="FF196" s="17">
        <f>FE196*VLOOKUP('Données projet'!$B$16,Paramètres!$A$1:$I$89,3,0)*VLOOKUP('Données projet'!$B$16,Paramètres!$A$1:$I$89,5,0)</f>
        <v>175.06320000000008</v>
      </c>
      <c r="FG196" s="13">
        <f t="shared" si="182"/>
        <v>44.222067746824763</v>
      </c>
      <c r="FH196" s="20">
        <f t="shared" si="183"/>
        <v>381.92184132571992</v>
      </c>
      <c r="FI196" s="59">
        <f t="shared" ref="FI196:FI203" si="199">FH196+(EZ196+FA196)*44/12</f>
        <v>675.25517465905318</v>
      </c>
      <c r="FJ196" s="59">
        <f ca="1">AVERAGE(OFFSET($FI$3,0,0,'Données projet'!$E$16+1,1))-AVERAGE(OFFSET($H$3,0,0,'Données projet'!$E$16+1,1))</f>
        <v>102.86738524979938</v>
      </c>
      <c r="FK196" s="59">
        <f t="shared" si="156"/>
        <v>56.347130462109817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0</v>
      </c>
      <c r="FR196" s="21">
        <f>EXP(-LN(2)/25)*FR195+(1-EXP(-LN(2)/25))/(LN(2)/25)*Calculateur!FM196*Calculateur!FO196*VLOOKUP('Données projet'!$B$16,Paramètres!$A$1:$I$89,3,0)*0.475*44/12</f>
        <v>0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0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300.00000000000068</v>
      </c>
      <c r="GA196" s="17">
        <f>FZ196*VLOOKUP('Données projet'!$B$17,Paramètres!$A$1:$I$89,3,0)*VLOOKUP('Données projet'!$B$17,Paramètres!$A$1:$I$89,5,0)</f>
        <v>201.24000000000046</v>
      </c>
      <c r="GB196" s="13">
        <f t="shared" si="185"/>
        <v>50.01658408633331</v>
      </c>
      <c r="GC196" s="20">
        <f t="shared" si="186"/>
        <v>437.60521728369798</v>
      </c>
      <c r="GD196" s="59">
        <f t="shared" ref="GD196:GD203" si="200">GC196+(FU196+FV196)*44/12</f>
        <v>730.9385506170313</v>
      </c>
      <c r="GE196" s="59">
        <f ca="1">AVERAGE(OFFSET($GD$3,0,0,'Données projet'!$E$17+1,1))-AVERAGE(OFFSET($H$3,0,0,'Données projet'!$E$17+1,1))</f>
        <v>168.00454652899231</v>
      </c>
      <c r="GF196" s="59">
        <f t="shared" si="158"/>
        <v>135.31958994080446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0</v>
      </c>
      <c r="GM196" s="21">
        <f>EXP(-LN(2)/25)*GM195+(1-EXP(-LN(2)/25))/(LN(2)/25)*Calculateur!GH196*Calculateur!GJ196*VLOOKUP('Données projet'!$B$17,Paramètres!$A$1:$I$89,3,0)*0.475*44/12</f>
        <v>0</v>
      </c>
      <c r="GN196" s="21">
        <f>EXP(-LN(2)/2)*GN195+(1-EXP(-LN(2)/2))/(LN(2)/2)*GH196*GK196*VLOOKUP('Données projet'!$B$17,Paramètres!$A$1:$I$89,3,0)*0.475*44/12</f>
        <v>0</v>
      </c>
      <c r="GO196" s="21">
        <f t="shared" si="187"/>
        <v>0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4.5474735088646412E-13</v>
      </c>
      <c r="O197" s="13">
        <f>N197*VLOOKUP('Données projet'!$B$9,Paramètres!$A$1:$I$89,3,0)*VLOOKUP('Données projet'!$B$9,Paramètres!$A$1:$I$89,5,0)</f>
        <v>4.1145540308207271E-13</v>
      </c>
      <c r="P197" s="13">
        <f t="shared" ref="P197:P203" si="203">EXP(-1.0587+0.8836*LN(O197)+0.284)</f>
        <v>5.2428527960910789E-12</v>
      </c>
      <c r="Q197" s="20">
        <f t="shared" si="162"/>
        <v>9.8479201135599071E-12</v>
      </c>
      <c r="R197" s="59">
        <f t="shared" si="191"/>
        <v>293.33333333334315</v>
      </c>
      <c r="S197" s="59">
        <f ca="1">AVERAGE(OFFSET($R$3,0,0,'Données projet'!$E$9+1,1))-AVERAGE(OFFSET($H$3,0,0,'Données projet'!$E$9+1,1))</f>
        <v>221.7429870520005</v>
      </c>
      <c r="T197" s="59">
        <f t="shared" ref="T197:T203" si="204">$T$3</f>
        <v>182.2029938397186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0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-5.6843418860808015E-13</v>
      </c>
      <c r="AJ197" s="13">
        <f>AI197*VLOOKUP('Données projet'!$B$10,Paramètres!$A$1:$I$89,3,0)*VLOOKUP('Données projet'!$B$10,Paramètres!$A$1:$I$89,5,0)</f>
        <v>-5.1431925385259092E-13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153.45079678708987</v>
      </c>
      <c r="AO197" s="59">
        <f t="shared" ref="AO197:AO203" si="205">$AO$3</f>
        <v>115.4217868409637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0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3.4106051316484809E-13</v>
      </c>
      <c r="BE197" s="13">
        <f>BD197*VLOOKUP('Données projet'!$B$11,Paramètres!$A$1:$I$89,3,0)*VLOOKUP('Données projet'!$B$11,Paramètres!$A$1:$I$89,5,0)</f>
        <v>1.5961632016114892E-13</v>
      </c>
      <c r="BF197" s="13">
        <f t="shared" si="167"/>
        <v>2.2708641912150958E-12</v>
      </c>
      <c r="BG197" s="20">
        <f t="shared" si="168"/>
        <v>4.2330868906469593E-12</v>
      </c>
      <c r="BH197" s="59">
        <f t="shared" si="194"/>
        <v>293.33333333333752</v>
      </c>
      <c r="BI197" s="59">
        <f ca="1">AVERAGE(OFFSET($BH$3,0,0,'Données projet'!$E$11+1,1))-AVERAGE(OFFSET($H$3,0,0,'Données projet'!$E$11+1,1))</f>
        <v>158.58786357608489</v>
      </c>
      <c r="BJ197" s="59">
        <f t="shared" ref="BJ197:BJ203" si="206">$BJ$3</f>
        <v>163.20074068819849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0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>
        <f>BY197*VLOOKUP('Données projet'!$B$12,Paramètres!$A$1:$I$89,3,0)*VLOOKUP('Données projet'!$B$12,Paramètres!$A$1:$I$89,5,0)</f>
        <v>0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255.41017495879987</v>
      </c>
      <c r="CE197" s="59">
        <f t="shared" ref="CE197:CE203" si="207">$CE$3</f>
        <v>297.50513563712764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0.32421486804931743</v>
      </c>
      <c r="CL197" s="21">
        <f>EXP(-LN(2)/25)*CL196+(1-EXP(-LN(2)/25))/(LN(2)/25)*Calculateur!CG197*Calculateur!CI197*VLOOKUP('Données projet'!$B$12,Paramètres!$A$1:$I$89,3,0)*0.475*44/12</f>
        <v>0.29537799328585523</v>
      </c>
      <c r="CM197" s="21">
        <f>EXP(-LN(2)/2)*CM196+(1-EXP(-LN(2)/2))/(LN(2)/2)*CG197*CJ197*VLOOKUP('Données projet'!$B$12,Paramètres!$A$1:$I$89,3,0)*0.475*44/12</f>
        <v>5.0460480579135697E-24</v>
      </c>
      <c r="CN197" s="22">
        <f t="shared" si="172"/>
        <v>0.61959286133517266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-1.4210854715202004E-13</v>
      </c>
      <c r="CU197" s="17">
        <f>CT197*VLOOKUP('Données projet'!$B$13,Paramètres!$A$1:$I$89,3,0)*VLOOKUP('Données projet'!$B$13,Paramètres!$A$1:$I$89,5,0)</f>
        <v>-8.128608897095547E-14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134.70214882504786</v>
      </c>
      <c r="CZ197" s="59">
        <f t="shared" ref="CZ197:CZ203" si="208">$CZ$3</f>
        <v>102.18553029667771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4.1303972909002673E-2</v>
      </c>
      <c r="DG197" s="21">
        <f>EXP(-LN(2)/25)*DG196+(1-EXP(-LN(2)/25))/(LN(2)/25)*Calculateur!DB197*Calculateur!DD197*VLOOKUP('Données projet'!$B$13,Paramètres!$A$1:$I$89,3,0)*0.475*44/12</f>
        <v>0.13300708330884961</v>
      </c>
      <c r="DH197" s="21">
        <f>EXP(-LN(2)/2)*DH196+(1-EXP(-LN(2)/2))/(LN(2)/2)*DB197*DE197*VLOOKUP('Données projet'!$B$13,Paramètres!$A$1:$I$89,3,0)*0.475*44/12</f>
        <v>1.5935420304526889E-24</v>
      </c>
      <c r="DI197" s="22">
        <f t="shared" si="175"/>
        <v>0.17431105621785228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-2.8421709430404007E-13</v>
      </c>
      <c r="DP197" s="17">
        <f>DO197*VLOOKUP('Données projet'!$B$14,Paramètres!$A$1:$I$89,3,0)*VLOOKUP('Données projet'!$B$14,Paramètres!$A$1:$I$89,5,0)</f>
        <v>-1.69961822393816E-13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179.32848817523677</v>
      </c>
      <c r="DU197" s="59">
        <f t="shared" ref="DU197:DU203" si="209">$DU$3</f>
        <v>131.3292389103035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</v>
      </c>
      <c r="EB197" s="21">
        <f>EXP(-LN(2)/25)*EB196+(1-EXP(-LN(2)/25))/(LN(2)/25)*Calculateur!DW197*Calculateur!DY197*VLOOKUP('Données projet'!$B$14,Paramètres!$A$1:$I$89,3,0)*0.475*44/12</f>
        <v>0.13968868369583312</v>
      </c>
      <c r="EC197" s="21">
        <f>EXP(-LN(2)/2)*EC196+(1-EXP(-LN(2)/2))/(LN(2)/2)*DW197*DZ197*VLOOKUP('Données projet'!$B$14,Paramètres!$A$1:$I$89,3,0)*0.475*44/12</f>
        <v>1.0883358788141137E-24</v>
      </c>
      <c r="ED197" s="22">
        <f t="shared" si="178"/>
        <v>0.13968868369583312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-2.2737367544323206E-13</v>
      </c>
      <c r="EK197" s="17">
        <f>EJ197*VLOOKUP('Données projet'!$B$15,Paramètres!$A$1:$I$89,3,0)*VLOOKUP('Données projet'!$B$15,Paramètres!$A$1:$I$89,5,0)</f>
        <v>-1.0049916454590858E-13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191.932060106699</v>
      </c>
      <c r="EP197" s="59">
        <f t="shared" ref="EP197:EP203" si="210">$EP$3</f>
        <v>260.28593152736903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9.4936699800661981E-2</v>
      </c>
      <c r="EW197" s="21">
        <f>EXP(-LN(2)/25)*EW196+(1-EXP(-LN(2)/25))/(LN(2)/25)*Calculateur!ER197*Calculateur!ET197*VLOOKUP('Données projet'!$B$15,Paramètres!$A$1:$I$89,3,0)*0.475*44/12</f>
        <v>0.13374994994775916</v>
      </c>
      <c r="EX197" s="21">
        <f>EXP(-LN(2)/2)*EX196+(1-EXP(-LN(2)/2))/(LN(2)/2)*ER197*EU197*VLOOKUP('Données projet'!$B$15,Paramètres!$A$1:$I$89,3,0)*0.475*44/12</f>
        <v>2.7676968286829739E-25</v>
      </c>
      <c r="EY197" s="22">
        <f t="shared" si="181"/>
        <v>0.22868664974842112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181.00000000000009</v>
      </c>
      <c r="FF197" s="17">
        <f>FE197*VLOOKUP('Données projet'!$B$16,Paramètres!$A$1:$I$89,3,0)*VLOOKUP('Données projet'!$B$16,Paramètres!$A$1:$I$89,5,0)</f>
        <v>175.06320000000008</v>
      </c>
      <c r="FG197" s="13">
        <f t="shared" si="182"/>
        <v>44.222067746824763</v>
      </c>
      <c r="FH197" s="20">
        <f t="shared" si="183"/>
        <v>381.92184132571992</v>
      </c>
      <c r="FI197" s="59">
        <f t="shared" si="199"/>
        <v>675.25517465905318</v>
      </c>
      <c r="FJ197" s="59">
        <f ca="1">AVERAGE(OFFSET($FI$3,0,0,'Données projet'!$E$16+1,1))-AVERAGE(OFFSET($H$3,0,0,'Données projet'!$E$16+1,1))</f>
        <v>102.86738524979938</v>
      </c>
      <c r="FK197" s="59">
        <f t="shared" ref="FK197:FK203" si="211">$FK$3</f>
        <v>56.347130462109817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0</v>
      </c>
      <c r="FR197" s="21">
        <f>EXP(-LN(2)/25)*FR196+(1-EXP(-LN(2)/25))/(LN(2)/25)*Calculateur!FM197*Calculateur!FO197*VLOOKUP('Données projet'!$B$16,Paramètres!$A$1:$I$89,3,0)*0.475*44/12</f>
        <v>0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0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300.00000000000068</v>
      </c>
      <c r="GA197" s="17">
        <f>FZ197*VLOOKUP('Données projet'!$B$17,Paramètres!$A$1:$I$89,3,0)*VLOOKUP('Données projet'!$B$17,Paramètres!$A$1:$I$89,5,0)</f>
        <v>201.24000000000046</v>
      </c>
      <c r="GB197" s="13">
        <f t="shared" si="185"/>
        <v>50.01658408633331</v>
      </c>
      <c r="GC197" s="20">
        <f t="shared" si="186"/>
        <v>437.60521728369798</v>
      </c>
      <c r="GD197" s="59">
        <f t="shared" si="200"/>
        <v>730.9385506170313</v>
      </c>
      <c r="GE197" s="59">
        <f ca="1">AVERAGE(OFFSET($GD$3,0,0,'Données projet'!$E$17+1,1))-AVERAGE(OFFSET($H$3,0,0,'Données projet'!$E$17+1,1))</f>
        <v>168.00454652899231</v>
      </c>
      <c r="GF197" s="59">
        <f t="shared" ref="GF197:GF203" si="212">$GF$3</f>
        <v>135.31958994080446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0</v>
      </c>
      <c r="GM197" s="21">
        <f>EXP(-LN(2)/25)*GM196+(1-EXP(-LN(2)/25))/(LN(2)/25)*Calculateur!GH197*Calculateur!GJ197*VLOOKUP('Données projet'!$B$17,Paramètres!$A$1:$I$89,3,0)*0.475*44/12</f>
        <v>0</v>
      </c>
      <c r="GN197" s="21">
        <f>EXP(-LN(2)/2)*GN196+(1-EXP(-LN(2)/2))/(LN(2)/2)*GH197*GK197*VLOOKUP('Données projet'!$B$17,Paramètres!$A$1:$I$89,3,0)*0.475*44/12</f>
        <v>0</v>
      </c>
      <c r="GO197" s="21">
        <f t="shared" si="187"/>
        <v>0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4.5474735088646412E-13</v>
      </c>
      <c r="O198" s="13">
        <f>N198*VLOOKUP('Données projet'!$B$9,Paramètres!$A$1:$I$89,3,0)*VLOOKUP('Données projet'!$B$9,Paramètres!$A$1:$I$89,5,0)</f>
        <v>4.1145540308207271E-13</v>
      </c>
      <c r="P198" s="13">
        <f t="shared" si="203"/>
        <v>5.2428527960910789E-12</v>
      </c>
      <c r="Q198" s="20">
        <f t="shared" si="162"/>
        <v>9.8479201135599071E-12</v>
      </c>
      <c r="R198" s="59">
        <f t="shared" si="191"/>
        <v>293.33333333334315</v>
      </c>
      <c r="S198" s="59">
        <f ca="1">AVERAGE(OFFSET($R$3,0,0,'Données projet'!$E$9+1,1))-AVERAGE(OFFSET($H$3,0,0,'Données projet'!$E$9+1,1))</f>
        <v>221.7429870520005</v>
      </c>
      <c r="T198" s="59">
        <f t="shared" si="204"/>
        <v>182.2029938397186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0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-5.6843418860808015E-13</v>
      </c>
      <c r="AJ198" s="13">
        <f>AI198*VLOOKUP('Données projet'!$B$10,Paramètres!$A$1:$I$89,3,0)*VLOOKUP('Données projet'!$B$10,Paramètres!$A$1:$I$89,5,0)</f>
        <v>-5.1431925385259092E-13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153.45079678708987</v>
      </c>
      <c r="AO198" s="59">
        <f t="shared" si="205"/>
        <v>115.4217868409637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0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3.4106051316484809E-13</v>
      </c>
      <c r="BE198" s="13">
        <f>BD198*VLOOKUP('Données projet'!$B$11,Paramètres!$A$1:$I$89,3,0)*VLOOKUP('Données projet'!$B$11,Paramètres!$A$1:$I$89,5,0)</f>
        <v>1.5961632016114892E-13</v>
      </c>
      <c r="BF198" s="13">
        <f t="shared" si="167"/>
        <v>2.2708641912150958E-12</v>
      </c>
      <c r="BG198" s="20">
        <f t="shared" si="168"/>
        <v>4.2330868906469593E-12</v>
      </c>
      <c r="BH198" s="59">
        <f t="shared" si="194"/>
        <v>293.33333333333752</v>
      </c>
      <c r="BI198" s="59">
        <f ca="1">AVERAGE(OFFSET($BH$3,0,0,'Données projet'!$E$11+1,1))-AVERAGE(OFFSET($H$3,0,0,'Données projet'!$E$11+1,1))</f>
        <v>158.58786357608489</v>
      </c>
      <c r="BJ198" s="59">
        <f t="shared" si="206"/>
        <v>163.20074068819849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0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>
        <f>BY198*VLOOKUP('Données projet'!$B$12,Paramètres!$A$1:$I$89,3,0)*VLOOKUP('Données projet'!$B$12,Paramètres!$A$1:$I$89,5,0)</f>
        <v>0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255.41017495879987</v>
      </c>
      <c r="CE198" s="59">
        <f t="shared" si="207"/>
        <v>297.50513563712764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0.31785721223841346</v>
      </c>
      <c r="CL198" s="21">
        <f>EXP(-LN(2)/25)*CL197+(1-EXP(-LN(2)/25))/(LN(2)/25)*Calculateur!CG198*Calculateur!CI198*VLOOKUP('Données projet'!$B$12,Paramètres!$A$1:$I$89,3,0)*0.475*44/12</f>
        <v>0.28730086652619996</v>
      </c>
      <c r="CM198" s="21">
        <f>EXP(-LN(2)/2)*CM197+(1-EXP(-LN(2)/2))/(LN(2)/2)*CG198*CJ198*VLOOKUP('Données projet'!$B$12,Paramètres!$A$1:$I$89,3,0)*0.475*44/12</f>
        <v>3.5680947999438935E-24</v>
      </c>
      <c r="CN198" s="22">
        <f t="shared" si="172"/>
        <v>0.60515807876461336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-1.4210854715202004E-13</v>
      </c>
      <c r="CU198" s="17">
        <f>CT198*VLOOKUP('Données projet'!$B$13,Paramètres!$A$1:$I$89,3,0)*VLOOKUP('Données projet'!$B$13,Paramètres!$A$1:$I$89,5,0)</f>
        <v>-8.128608897095547E-14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134.70214882504786</v>
      </c>
      <c r="CZ198" s="59">
        <f t="shared" si="208"/>
        <v>102.18553029667771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4.0494027193193012E-2</v>
      </c>
      <c r="DG198" s="21">
        <f>EXP(-LN(2)/25)*DG197+(1-EXP(-LN(2)/25))/(LN(2)/25)*Calculateur!DB198*Calculateur!DD198*VLOOKUP('Données projet'!$B$13,Paramètres!$A$1:$I$89,3,0)*0.475*44/12</f>
        <v>0.12936999762123061</v>
      </c>
      <c r="DH198" s="21">
        <f>EXP(-LN(2)/2)*DH197+(1-EXP(-LN(2)/2))/(LN(2)/2)*DB198*DE198*VLOOKUP('Données projet'!$B$13,Paramètres!$A$1:$I$89,3,0)*0.475*44/12</f>
        <v>1.1268043758388761E-24</v>
      </c>
      <c r="DI198" s="22">
        <f t="shared" si="175"/>
        <v>0.16986402481442361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-2.8421709430404007E-13</v>
      </c>
      <c r="DP198" s="17">
        <f>DO198*VLOOKUP('Données projet'!$B$14,Paramètres!$A$1:$I$89,3,0)*VLOOKUP('Données projet'!$B$14,Paramètres!$A$1:$I$89,5,0)</f>
        <v>-1.69961822393816E-13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179.32848817523677</v>
      </c>
      <c r="DU198" s="59">
        <f t="shared" si="209"/>
        <v>131.3292389103035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</v>
      </c>
      <c r="EB198" s="21">
        <f>EXP(-LN(2)/25)*EB197+(1-EXP(-LN(2)/25))/(LN(2)/25)*Calculateur!DW198*Calculateur!DY198*VLOOKUP('Données projet'!$B$14,Paramètres!$A$1:$I$89,3,0)*0.475*44/12</f>
        <v>0.13586888929426194</v>
      </c>
      <c r="EC198" s="21">
        <f>EXP(-LN(2)/2)*EC197+(1-EXP(-LN(2)/2))/(LN(2)/2)*DW198*DZ198*VLOOKUP('Données projet'!$B$14,Paramètres!$A$1:$I$89,3,0)*0.475*44/12</f>
        <v>7.695696801180804E-25</v>
      </c>
      <c r="ED198" s="22">
        <f t="shared" si="178"/>
        <v>0.13586888929426194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-2.2737367544323206E-13</v>
      </c>
      <c r="EK198" s="17">
        <f>EJ198*VLOOKUP('Données projet'!$B$15,Paramètres!$A$1:$I$89,3,0)*VLOOKUP('Données projet'!$B$15,Paramètres!$A$1:$I$89,5,0)</f>
        <v>-1.0049916454590858E-13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191.932060106699</v>
      </c>
      <c r="EP198" s="59">
        <f t="shared" si="210"/>
        <v>260.28593152736903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9.3075049023240167E-2</v>
      </c>
      <c r="EW198" s="21">
        <f>EXP(-LN(2)/25)*EW197+(1-EXP(-LN(2)/25))/(LN(2)/25)*Calculateur!ER198*Calculateur!ET198*VLOOKUP('Données projet'!$B$15,Paramètres!$A$1:$I$89,3,0)*0.475*44/12</f>
        <v>0.1300925505328335</v>
      </c>
      <c r="EX198" s="21">
        <f>EXP(-LN(2)/2)*EX197+(1-EXP(-LN(2)/2))/(LN(2)/2)*ER198*EU198*VLOOKUP('Données projet'!$B$15,Paramètres!$A$1:$I$89,3,0)*0.475*44/12</f>
        <v>1.9570571958302332E-25</v>
      </c>
      <c r="EY198" s="22">
        <f t="shared" si="181"/>
        <v>0.22316759955607368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181.00000000000009</v>
      </c>
      <c r="FF198" s="17">
        <f>FE198*VLOOKUP('Données projet'!$B$16,Paramètres!$A$1:$I$89,3,0)*VLOOKUP('Données projet'!$B$16,Paramètres!$A$1:$I$89,5,0)</f>
        <v>175.06320000000008</v>
      </c>
      <c r="FG198" s="13">
        <f t="shared" si="182"/>
        <v>44.222067746824763</v>
      </c>
      <c r="FH198" s="20">
        <f t="shared" si="183"/>
        <v>381.92184132571992</v>
      </c>
      <c r="FI198" s="59">
        <f t="shared" si="199"/>
        <v>675.25517465905318</v>
      </c>
      <c r="FJ198" s="59">
        <f ca="1">AVERAGE(OFFSET($FI$3,0,0,'Données projet'!$E$16+1,1))-AVERAGE(OFFSET($H$3,0,0,'Données projet'!$E$16+1,1))</f>
        <v>102.86738524979938</v>
      </c>
      <c r="FK198" s="59">
        <f t="shared" si="211"/>
        <v>56.347130462109817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0</v>
      </c>
      <c r="FR198" s="21">
        <f>EXP(-LN(2)/25)*FR197+(1-EXP(-LN(2)/25))/(LN(2)/25)*Calculateur!FM198*Calculateur!FO198*VLOOKUP('Données projet'!$B$16,Paramètres!$A$1:$I$89,3,0)*0.475*44/12</f>
        <v>0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0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300.00000000000068</v>
      </c>
      <c r="GA198" s="17">
        <f>FZ198*VLOOKUP('Données projet'!$B$17,Paramètres!$A$1:$I$89,3,0)*VLOOKUP('Données projet'!$B$17,Paramètres!$A$1:$I$89,5,0)</f>
        <v>201.24000000000046</v>
      </c>
      <c r="GB198" s="13">
        <f t="shared" si="185"/>
        <v>50.01658408633331</v>
      </c>
      <c r="GC198" s="20">
        <f t="shared" si="186"/>
        <v>437.60521728369798</v>
      </c>
      <c r="GD198" s="59">
        <f t="shared" si="200"/>
        <v>730.9385506170313</v>
      </c>
      <c r="GE198" s="59">
        <f ca="1">AVERAGE(OFFSET($GD$3,0,0,'Données projet'!$E$17+1,1))-AVERAGE(OFFSET($H$3,0,0,'Données projet'!$E$17+1,1))</f>
        <v>168.00454652899231</v>
      </c>
      <c r="GF198" s="59">
        <f t="shared" si="212"/>
        <v>135.31958994080446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0</v>
      </c>
      <c r="GM198" s="21">
        <f>EXP(-LN(2)/25)*GM197+(1-EXP(-LN(2)/25))/(LN(2)/25)*Calculateur!GH198*Calculateur!GJ198*VLOOKUP('Données projet'!$B$17,Paramètres!$A$1:$I$89,3,0)*0.475*44/12</f>
        <v>0</v>
      </c>
      <c r="GN198" s="21">
        <f>EXP(-LN(2)/2)*GN197+(1-EXP(-LN(2)/2))/(LN(2)/2)*GH198*GK198*VLOOKUP('Données projet'!$B$17,Paramètres!$A$1:$I$89,3,0)*0.475*44/12</f>
        <v>0</v>
      </c>
      <c r="GO198" s="21">
        <f t="shared" si="187"/>
        <v>0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4.5474735088646412E-13</v>
      </c>
      <c r="O199" s="13">
        <f>N199*VLOOKUP('Données projet'!$B$9,Paramètres!$A$1:$I$89,3,0)*VLOOKUP('Données projet'!$B$9,Paramètres!$A$1:$I$89,5,0)</f>
        <v>4.1145540308207271E-13</v>
      </c>
      <c r="P199" s="13">
        <f t="shared" si="203"/>
        <v>5.2428527960910789E-12</v>
      </c>
      <c r="Q199" s="20">
        <f t="shared" si="162"/>
        <v>9.8479201135599071E-12</v>
      </c>
      <c r="R199" s="59">
        <f t="shared" si="191"/>
        <v>293.33333333334315</v>
      </c>
      <c r="S199" s="59">
        <f ca="1">AVERAGE(OFFSET($R$3,0,0,'Données projet'!$E$9+1,1))-AVERAGE(OFFSET($H$3,0,0,'Données projet'!$E$9+1,1))</f>
        <v>221.7429870520005</v>
      </c>
      <c r="T199" s="59">
        <f t="shared" si="204"/>
        <v>182.2029938397186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0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-5.6843418860808015E-13</v>
      </c>
      <c r="AJ199" s="13">
        <f>AI199*VLOOKUP('Données projet'!$B$10,Paramètres!$A$1:$I$89,3,0)*VLOOKUP('Données projet'!$B$10,Paramètres!$A$1:$I$89,5,0)</f>
        <v>-5.1431925385259092E-13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153.45079678708987</v>
      </c>
      <c r="AO199" s="59">
        <f t="shared" si="205"/>
        <v>115.4217868409637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0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3.4106051316484809E-13</v>
      </c>
      <c r="BE199" s="13">
        <f>BD199*VLOOKUP('Données projet'!$B$11,Paramètres!$A$1:$I$89,3,0)*VLOOKUP('Données projet'!$B$11,Paramètres!$A$1:$I$89,5,0)</f>
        <v>1.5961632016114892E-13</v>
      </c>
      <c r="BF199" s="13">
        <f t="shared" si="167"/>
        <v>2.2708641912150958E-12</v>
      </c>
      <c r="BG199" s="20">
        <f t="shared" si="168"/>
        <v>4.2330868906469593E-12</v>
      </c>
      <c r="BH199" s="59">
        <f t="shared" si="194"/>
        <v>293.33333333333752</v>
      </c>
      <c r="BI199" s="59">
        <f ca="1">AVERAGE(OFFSET($BH$3,0,0,'Données projet'!$E$11+1,1))-AVERAGE(OFFSET($H$3,0,0,'Données projet'!$E$11+1,1))</f>
        <v>158.58786357608489</v>
      </c>
      <c r="BJ199" s="59">
        <f t="shared" si="206"/>
        <v>163.20074068819849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0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>
        <f>BY199*VLOOKUP('Données projet'!$B$12,Paramètres!$A$1:$I$89,3,0)*VLOOKUP('Données projet'!$B$12,Paramètres!$A$1:$I$89,5,0)</f>
        <v>0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255.41017495879987</v>
      </c>
      <c r="CE199" s="59">
        <f t="shared" si="207"/>
        <v>297.50513563712764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0.31162422618017421</v>
      </c>
      <c r="CL199" s="21">
        <f>EXP(-LN(2)/25)*CL198+(1-EXP(-LN(2)/25))/(LN(2)/25)*Calculateur!CG199*Calculateur!CI199*VLOOKUP('Données projet'!$B$12,Paramètres!$A$1:$I$89,3,0)*0.475*44/12</f>
        <v>0.2794446092225451</v>
      </c>
      <c r="CM199" s="21">
        <f>EXP(-LN(2)/2)*CM198+(1-EXP(-LN(2)/2))/(LN(2)/2)*CG199*CJ199*VLOOKUP('Données projet'!$B$12,Paramètres!$A$1:$I$89,3,0)*0.475*44/12</f>
        <v>2.5230240289567848E-24</v>
      </c>
      <c r="CN199" s="22">
        <f t="shared" si="172"/>
        <v>0.59106883540271937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-1.4210854715202004E-13</v>
      </c>
      <c r="CU199" s="17">
        <f>CT199*VLOOKUP('Données projet'!$B$13,Paramètres!$A$1:$I$89,3,0)*VLOOKUP('Données projet'!$B$13,Paramètres!$A$1:$I$89,5,0)</f>
        <v>-8.128608897095547E-14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134.70214882504786</v>
      </c>
      <c r="CZ199" s="59">
        <f t="shared" si="208"/>
        <v>102.18553029667771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3.9699964018852271E-2</v>
      </c>
      <c r="DG199" s="21">
        <f>EXP(-LN(2)/25)*DG198+(1-EXP(-LN(2)/25))/(LN(2)/25)*Calculateur!DB199*Calculateur!DD199*VLOOKUP('Données projet'!$B$13,Paramètres!$A$1:$I$89,3,0)*0.475*44/12</f>
        <v>0.12583236823300556</v>
      </c>
      <c r="DH199" s="21">
        <f>EXP(-LN(2)/2)*DH198+(1-EXP(-LN(2)/2))/(LN(2)/2)*DB199*DE199*VLOOKUP('Données projet'!$B$13,Paramètres!$A$1:$I$89,3,0)*0.475*44/12</f>
        <v>7.9677101522634446E-25</v>
      </c>
      <c r="DI199" s="22">
        <f t="shared" si="175"/>
        <v>0.16553233225185782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-2.8421709430404007E-13</v>
      </c>
      <c r="DP199" s="17">
        <f>DO199*VLOOKUP('Données projet'!$B$14,Paramètres!$A$1:$I$89,3,0)*VLOOKUP('Données projet'!$B$14,Paramètres!$A$1:$I$89,5,0)</f>
        <v>-1.69961822393816E-13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179.32848817523677</v>
      </c>
      <c r="DU199" s="59">
        <f t="shared" si="209"/>
        <v>131.3292389103035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</v>
      </c>
      <c r="EB199" s="21">
        <f>EXP(-LN(2)/25)*EB198+(1-EXP(-LN(2)/25))/(LN(2)/25)*Calculateur!DW199*Calculateur!DY199*VLOOKUP('Données projet'!$B$14,Paramètres!$A$1:$I$89,3,0)*0.475*44/12</f>
        <v>0.132153547371476</v>
      </c>
      <c r="EC199" s="21">
        <f>EXP(-LN(2)/2)*EC198+(1-EXP(-LN(2)/2))/(LN(2)/2)*DW199*DZ199*VLOOKUP('Données projet'!$B$14,Paramètres!$A$1:$I$89,3,0)*0.475*44/12</f>
        <v>5.4416793940705684E-25</v>
      </c>
      <c r="ED199" s="22">
        <f t="shared" si="178"/>
        <v>0.132153547371476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-2.2737367544323206E-13</v>
      </c>
      <c r="EK199" s="17">
        <f>EJ199*VLOOKUP('Données projet'!$B$15,Paramètres!$A$1:$I$89,3,0)*VLOOKUP('Données projet'!$B$15,Paramètres!$A$1:$I$89,5,0)</f>
        <v>-1.0049916454590858E-13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191.932060106699</v>
      </c>
      <c r="EP199" s="59">
        <f t="shared" si="210"/>
        <v>260.28593152736903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9.1249904082068747E-2</v>
      </c>
      <c r="EW199" s="21">
        <f>EXP(-LN(2)/25)*EW198+(1-EXP(-LN(2)/25))/(LN(2)/25)*Calculateur!ER199*Calculateur!ET199*VLOOKUP('Données projet'!$B$15,Paramètres!$A$1:$I$89,3,0)*0.475*44/12</f>
        <v>0.12653516289724326</v>
      </c>
      <c r="EX199" s="21">
        <f>EXP(-LN(2)/2)*EX198+(1-EXP(-LN(2)/2))/(LN(2)/2)*ER199*EU199*VLOOKUP('Données projet'!$B$15,Paramètres!$A$1:$I$89,3,0)*0.475*44/12</f>
        <v>1.383848414341487E-25</v>
      </c>
      <c r="EY199" s="22">
        <f t="shared" si="181"/>
        <v>0.21778506697931199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181.00000000000009</v>
      </c>
      <c r="FF199" s="17">
        <f>FE199*VLOOKUP('Données projet'!$B$16,Paramètres!$A$1:$I$89,3,0)*VLOOKUP('Données projet'!$B$16,Paramètres!$A$1:$I$89,5,0)</f>
        <v>175.06320000000008</v>
      </c>
      <c r="FG199" s="13">
        <f t="shared" si="182"/>
        <v>44.222067746824763</v>
      </c>
      <c r="FH199" s="20">
        <f t="shared" si="183"/>
        <v>381.92184132571992</v>
      </c>
      <c r="FI199" s="59">
        <f t="shared" si="199"/>
        <v>675.25517465905318</v>
      </c>
      <c r="FJ199" s="59">
        <f ca="1">AVERAGE(OFFSET($FI$3,0,0,'Données projet'!$E$16+1,1))-AVERAGE(OFFSET($H$3,0,0,'Données projet'!$E$16+1,1))</f>
        <v>102.86738524979938</v>
      </c>
      <c r="FK199" s="59">
        <f t="shared" si="211"/>
        <v>56.347130462109817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0</v>
      </c>
      <c r="FR199" s="21">
        <f>EXP(-LN(2)/25)*FR198+(1-EXP(-LN(2)/25))/(LN(2)/25)*Calculateur!FM199*Calculateur!FO199*VLOOKUP('Données projet'!$B$16,Paramètres!$A$1:$I$89,3,0)*0.475*44/12</f>
        <v>0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0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300.00000000000068</v>
      </c>
      <c r="GA199" s="17">
        <f>FZ199*VLOOKUP('Données projet'!$B$17,Paramètres!$A$1:$I$89,3,0)*VLOOKUP('Données projet'!$B$17,Paramètres!$A$1:$I$89,5,0)</f>
        <v>201.24000000000046</v>
      </c>
      <c r="GB199" s="13">
        <f t="shared" si="185"/>
        <v>50.01658408633331</v>
      </c>
      <c r="GC199" s="20">
        <f t="shared" si="186"/>
        <v>437.60521728369798</v>
      </c>
      <c r="GD199" s="59">
        <f t="shared" si="200"/>
        <v>730.9385506170313</v>
      </c>
      <c r="GE199" s="59">
        <f ca="1">AVERAGE(OFFSET($GD$3,0,0,'Données projet'!$E$17+1,1))-AVERAGE(OFFSET($H$3,0,0,'Données projet'!$E$17+1,1))</f>
        <v>168.00454652899231</v>
      </c>
      <c r="GF199" s="59">
        <f t="shared" si="212"/>
        <v>135.31958994080446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0</v>
      </c>
      <c r="GM199" s="21">
        <f>EXP(-LN(2)/25)*GM198+(1-EXP(-LN(2)/25))/(LN(2)/25)*Calculateur!GH199*Calculateur!GJ199*VLOOKUP('Données projet'!$B$17,Paramètres!$A$1:$I$89,3,0)*0.475*44/12</f>
        <v>0</v>
      </c>
      <c r="GN199" s="21">
        <f>EXP(-LN(2)/2)*GN198+(1-EXP(-LN(2)/2))/(LN(2)/2)*GH199*GK199*VLOOKUP('Données projet'!$B$17,Paramètres!$A$1:$I$89,3,0)*0.475*44/12</f>
        <v>0</v>
      </c>
      <c r="GO199" s="21">
        <f t="shared" si="187"/>
        <v>0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4.5474735088646412E-13</v>
      </c>
      <c r="O200" s="13">
        <f>N200*VLOOKUP('Données projet'!$B$9,Paramètres!$A$1:$I$89,3,0)*VLOOKUP('Données projet'!$B$9,Paramètres!$A$1:$I$89,5,0)</f>
        <v>4.1145540308207271E-13</v>
      </c>
      <c r="P200" s="13">
        <f t="shared" si="203"/>
        <v>5.2428527960910789E-12</v>
      </c>
      <c r="Q200" s="20">
        <f t="shared" si="162"/>
        <v>9.8479201135599071E-12</v>
      </c>
      <c r="R200" s="59">
        <f t="shared" si="191"/>
        <v>293.33333333334315</v>
      </c>
      <c r="S200" s="59">
        <f ca="1">AVERAGE(OFFSET($R$3,0,0,'Données projet'!$E$9+1,1))-AVERAGE(OFFSET($H$3,0,0,'Données projet'!$E$9+1,1))</f>
        <v>221.7429870520005</v>
      </c>
      <c r="T200" s="59">
        <f t="shared" si="204"/>
        <v>182.2029938397186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0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-5.6843418860808015E-13</v>
      </c>
      <c r="AJ200" s="13">
        <f>AI200*VLOOKUP('Données projet'!$B$10,Paramètres!$A$1:$I$89,3,0)*VLOOKUP('Données projet'!$B$10,Paramètres!$A$1:$I$89,5,0)</f>
        <v>-5.1431925385259092E-13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153.45079678708987</v>
      </c>
      <c r="AO200" s="59">
        <f t="shared" si="205"/>
        <v>115.4217868409637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0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3.4106051316484809E-13</v>
      </c>
      <c r="BE200" s="13">
        <f>BD200*VLOOKUP('Données projet'!$B$11,Paramètres!$A$1:$I$89,3,0)*VLOOKUP('Données projet'!$B$11,Paramètres!$A$1:$I$89,5,0)</f>
        <v>1.5961632016114892E-13</v>
      </c>
      <c r="BF200" s="13">
        <f t="shared" si="167"/>
        <v>2.2708641912150958E-12</v>
      </c>
      <c r="BG200" s="20">
        <f t="shared" si="168"/>
        <v>4.2330868906469593E-12</v>
      </c>
      <c r="BH200" s="59">
        <f t="shared" si="194"/>
        <v>293.33333333333752</v>
      </c>
      <c r="BI200" s="59">
        <f ca="1">AVERAGE(OFFSET($BH$3,0,0,'Données projet'!$E$11+1,1))-AVERAGE(OFFSET($H$3,0,0,'Données projet'!$E$11+1,1))</f>
        <v>158.58786357608489</v>
      </c>
      <c r="BJ200" s="59">
        <f t="shared" si="206"/>
        <v>163.20074068819849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0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>
        <f>BY200*VLOOKUP('Données projet'!$B$12,Paramètres!$A$1:$I$89,3,0)*VLOOKUP('Données projet'!$B$12,Paramètres!$A$1:$I$89,5,0)</f>
        <v>0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255.41017495879987</v>
      </c>
      <c r="CE200" s="59">
        <f t="shared" si="207"/>
        <v>297.50513563712764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0.3055134651767909</v>
      </c>
      <c r="CL200" s="21">
        <f>EXP(-LN(2)/25)*CL199+(1-EXP(-LN(2)/25))/(LN(2)/25)*Calculateur!CG200*Calculateur!CI200*VLOOKUP('Données projet'!$B$12,Paramètres!$A$1:$I$89,3,0)*0.475*44/12</f>
        <v>0.27180318168800127</v>
      </c>
      <c r="CM200" s="21">
        <f>EXP(-LN(2)/2)*CM199+(1-EXP(-LN(2)/2))/(LN(2)/2)*CG200*CJ200*VLOOKUP('Données projet'!$B$12,Paramètres!$A$1:$I$89,3,0)*0.475*44/12</f>
        <v>1.7840473999719468E-24</v>
      </c>
      <c r="CN200" s="22">
        <f t="shared" si="172"/>
        <v>0.57731664686479212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-1.4210854715202004E-13</v>
      </c>
      <c r="CU200" s="17">
        <f>CT200*VLOOKUP('Données projet'!$B$13,Paramètres!$A$1:$I$89,3,0)*VLOOKUP('Données projet'!$B$13,Paramètres!$A$1:$I$89,5,0)</f>
        <v>-8.128608897095547E-14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134.70214882504786</v>
      </c>
      <c r="CZ200" s="59">
        <f t="shared" si="208"/>
        <v>102.18553029667771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3.8921471939029638E-2</v>
      </c>
      <c r="DG200" s="21">
        <f>EXP(-LN(2)/25)*DG199+(1-EXP(-LN(2)/25))/(LN(2)/25)*Calculateur!DB200*Calculateur!DD200*VLOOKUP('Données projet'!$B$13,Paramètres!$A$1:$I$89,3,0)*0.475*44/12</f>
        <v>0.12239147550643736</v>
      </c>
      <c r="DH200" s="21">
        <f>EXP(-LN(2)/2)*DH199+(1-EXP(-LN(2)/2))/(LN(2)/2)*DB200*DE200*VLOOKUP('Données projet'!$B$13,Paramètres!$A$1:$I$89,3,0)*0.475*44/12</f>
        <v>5.6340218791943807E-25</v>
      </c>
      <c r="DI200" s="22">
        <f t="shared" si="175"/>
        <v>0.16131294744546701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-2.8421709430404007E-13</v>
      </c>
      <c r="DP200" s="17">
        <f>DO200*VLOOKUP('Données projet'!$B$14,Paramètres!$A$1:$I$89,3,0)*VLOOKUP('Données projet'!$B$14,Paramètres!$A$1:$I$89,5,0)</f>
        <v>-1.69961822393816E-13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179.32848817523677</v>
      </c>
      <c r="DU200" s="59">
        <f t="shared" si="209"/>
        <v>131.3292389103035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</v>
      </c>
      <c r="EB200" s="21">
        <f>EXP(-LN(2)/25)*EB199+(1-EXP(-LN(2)/25))/(LN(2)/25)*Calculateur!DW200*Calculateur!DY200*VLOOKUP('Données projet'!$B$14,Paramètres!$A$1:$I$89,3,0)*0.475*44/12</f>
        <v>0.12853980166894996</v>
      </c>
      <c r="EC200" s="21">
        <f>EXP(-LN(2)/2)*EC199+(1-EXP(-LN(2)/2))/(LN(2)/2)*DW200*DZ200*VLOOKUP('Données projet'!$B$14,Paramètres!$A$1:$I$89,3,0)*0.475*44/12</f>
        <v>3.847848400590402E-25</v>
      </c>
      <c r="ED200" s="22">
        <f t="shared" si="178"/>
        <v>0.12853980166894996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-2.2737367544323206E-13</v>
      </c>
      <c r="EK200" s="17">
        <f>EJ200*VLOOKUP('Données projet'!$B$15,Paramètres!$A$1:$I$89,3,0)*VLOOKUP('Données projet'!$B$15,Paramètres!$A$1:$I$89,5,0)</f>
        <v>-1.0049916454590858E-13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191.932060106699</v>
      </c>
      <c r="EP200" s="59">
        <f t="shared" si="210"/>
        <v>260.28593152736903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8.9460549119965205E-2</v>
      </c>
      <c r="EW200" s="21">
        <f>EXP(-LN(2)/25)*EW199+(1-EXP(-LN(2)/25))/(LN(2)/25)*Calculateur!ER200*Calculateur!ET200*VLOOKUP('Données projet'!$B$15,Paramètres!$A$1:$I$89,3,0)*0.475*44/12</f>
        <v>0.12307505221362312</v>
      </c>
      <c r="EX200" s="21">
        <f>EXP(-LN(2)/2)*EX199+(1-EXP(-LN(2)/2))/(LN(2)/2)*ER200*EU200*VLOOKUP('Données projet'!$B$15,Paramètres!$A$1:$I$89,3,0)*0.475*44/12</f>
        <v>9.7852859791511659E-26</v>
      </c>
      <c r="EY200" s="22">
        <f t="shared" si="181"/>
        <v>0.21253560133358834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181.00000000000009</v>
      </c>
      <c r="FF200" s="17">
        <f>FE200*VLOOKUP('Données projet'!$B$16,Paramètres!$A$1:$I$89,3,0)*VLOOKUP('Données projet'!$B$16,Paramètres!$A$1:$I$89,5,0)</f>
        <v>175.06320000000008</v>
      </c>
      <c r="FG200" s="13">
        <f t="shared" si="182"/>
        <v>44.222067746824763</v>
      </c>
      <c r="FH200" s="20">
        <f t="shared" si="183"/>
        <v>381.92184132571992</v>
      </c>
      <c r="FI200" s="59">
        <f t="shared" si="199"/>
        <v>675.25517465905318</v>
      </c>
      <c r="FJ200" s="59">
        <f ca="1">AVERAGE(OFFSET($FI$3,0,0,'Données projet'!$E$16+1,1))-AVERAGE(OFFSET($H$3,0,0,'Données projet'!$E$16+1,1))</f>
        <v>102.86738524979938</v>
      </c>
      <c r="FK200" s="59">
        <f t="shared" si="211"/>
        <v>56.347130462109817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0</v>
      </c>
      <c r="FR200" s="21">
        <f>EXP(-LN(2)/25)*FR199+(1-EXP(-LN(2)/25))/(LN(2)/25)*Calculateur!FM200*Calculateur!FO200*VLOOKUP('Données projet'!$B$16,Paramètres!$A$1:$I$89,3,0)*0.475*44/12</f>
        <v>0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0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300.00000000000068</v>
      </c>
      <c r="GA200" s="17">
        <f>FZ200*VLOOKUP('Données projet'!$B$17,Paramètres!$A$1:$I$89,3,0)*VLOOKUP('Données projet'!$B$17,Paramètres!$A$1:$I$89,5,0)</f>
        <v>201.24000000000046</v>
      </c>
      <c r="GB200" s="13">
        <f t="shared" si="185"/>
        <v>50.01658408633331</v>
      </c>
      <c r="GC200" s="20">
        <f t="shared" si="186"/>
        <v>437.60521728369798</v>
      </c>
      <c r="GD200" s="59">
        <f t="shared" si="200"/>
        <v>730.9385506170313</v>
      </c>
      <c r="GE200" s="59">
        <f ca="1">AVERAGE(OFFSET($GD$3,0,0,'Données projet'!$E$17+1,1))-AVERAGE(OFFSET($H$3,0,0,'Données projet'!$E$17+1,1))</f>
        <v>168.00454652899231</v>
      </c>
      <c r="GF200" s="59">
        <f t="shared" si="212"/>
        <v>135.31958994080446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0</v>
      </c>
      <c r="GM200" s="21">
        <f>EXP(-LN(2)/25)*GM199+(1-EXP(-LN(2)/25))/(LN(2)/25)*Calculateur!GH200*Calculateur!GJ200*VLOOKUP('Données projet'!$B$17,Paramètres!$A$1:$I$89,3,0)*0.475*44/12</f>
        <v>0</v>
      </c>
      <c r="GN200" s="21">
        <f>EXP(-LN(2)/2)*GN199+(1-EXP(-LN(2)/2))/(LN(2)/2)*GH200*GK200*VLOOKUP('Données projet'!$B$17,Paramètres!$A$1:$I$89,3,0)*0.475*44/12</f>
        <v>0</v>
      </c>
      <c r="GO200" s="21">
        <f t="shared" si="187"/>
        <v>0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4.5474735088646412E-13</v>
      </c>
      <c r="O201" s="13">
        <f>N201*VLOOKUP('Données projet'!$B$9,Paramètres!$A$1:$I$89,3,0)*VLOOKUP('Données projet'!$B$9,Paramètres!$A$1:$I$89,5,0)</f>
        <v>4.1145540308207271E-13</v>
      </c>
      <c r="P201" s="13">
        <f t="shared" si="203"/>
        <v>5.2428527960910789E-12</v>
      </c>
      <c r="Q201" s="20">
        <f t="shared" si="162"/>
        <v>9.8479201135599071E-12</v>
      </c>
      <c r="R201" s="59">
        <f t="shared" si="191"/>
        <v>293.33333333334315</v>
      </c>
      <c r="S201" s="59">
        <f ca="1">AVERAGE(OFFSET($R$3,0,0,'Données projet'!$E$9+1,1))-AVERAGE(OFFSET($H$3,0,0,'Données projet'!$E$9+1,1))</f>
        <v>221.7429870520005</v>
      </c>
      <c r="T201" s="59">
        <f t="shared" si="204"/>
        <v>182.2029938397186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0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-5.6843418860808015E-13</v>
      </c>
      <c r="AJ201" s="13">
        <f>AI201*VLOOKUP('Données projet'!$B$10,Paramètres!$A$1:$I$89,3,0)*VLOOKUP('Données projet'!$B$10,Paramètres!$A$1:$I$89,5,0)</f>
        <v>-5.1431925385259092E-13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153.45079678708987</v>
      </c>
      <c r="AO201" s="59">
        <f t="shared" si="205"/>
        <v>115.4217868409637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0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3.4106051316484809E-13</v>
      </c>
      <c r="BE201" s="13">
        <f>BD201*VLOOKUP('Données projet'!$B$11,Paramètres!$A$1:$I$89,3,0)*VLOOKUP('Données projet'!$B$11,Paramètres!$A$1:$I$89,5,0)</f>
        <v>1.5961632016114892E-13</v>
      </c>
      <c r="BF201" s="13">
        <f t="shared" si="167"/>
        <v>2.2708641912150958E-12</v>
      </c>
      <c r="BG201" s="20">
        <f t="shared" si="168"/>
        <v>4.2330868906469593E-12</v>
      </c>
      <c r="BH201" s="59">
        <f t="shared" si="194"/>
        <v>293.33333333333752</v>
      </c>
      <c r="BI201" s="59">
        <f ca="1">AVERAGE(OFFSET($BH$3,0,0,'Données projet'!$E$11+1,1))-AVERAGE(OFFSET($H$3,0,0,'Données projet'!$E$11+1,1))</f>
        <v>158.58786357608489</v>
      </c>
      <c r="BJ201" s="59">
        <f t="shared" si="206"/>
        <v>163.20074068819849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0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>
        <f>BY201*VLOOKUP('Données projet'!$B$12,Paramètres!$A$1:$I$89,3,0)*VLOOKUP('Données projet'!$B$12,Paramètres!$A$1:$I$89,5,0)</f>
        <v>0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255.41017495879987</v>
      </c>
      <c r="CE201" s="59">
        <f t="shared" si="207"/>
        <v>297.50513563712764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0.29952253246948779</v>
      </c>
      <c r="CL201" s="21">
        <f>EXP(-LN(2)/25)*CL200+(1-EXP(-LN(2)/25))/(LN(2)/25)*Calculateur!CG201*Calculateur!CI201*VLOOKUP('Données projet'!$B$12,Paramètres!$A$1:$I$89,3,0)*0.475*44/12</f>
        <v>0.26437070939123475</v>
      </c>
      <c r="CM201" s="21">
        <f>EXP(-LN(2)/2)*CM200+(1-EXP(-LN(2)/2))/(LN(2)/2)*CG201*CJ201*VLOOKUP('Données projet'!$B$12,Paramètres!$A$1:$I$89,3,0)*0.475*44/12</f>
        <v>1.2615120144783924E-24</v>
      </c>
      <c r="CN201" s="22">
        <f t="shared" si="172"/>
        <v>0.56389324186072254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-1.4210854715202004E-13</v>
      </c>
      <c r="CU201" s="17">
        <f>CT201*VLOOKUP('Données projet'!$B$13,Paramètres!$A$1:$I$89,3,0)*VLOOKUP('Données projet'!$B$13,Paramètres!$A$1:$I$89,5,0)</f>
        <v>-8.128608897095547E-14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134.70214882504786</v>
      </c>
      <c r="CZ201" s="59">
        <f t="shared" si="208"/>
        <v>102.18553029667771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3.815824561405904E-2</v>
      </c>
      <c r="DG201" s="21">
        <f>EXP(-LN(2)/25)*DG200+(1-EXP(-LN(2)/25))/(LN(2)/25)*Calculateur!DB201*Calculateur!DD201*VLOOKUP('Données projet'!$B$13,Paramètres!$A$1:$I$89,3,0)*0.475*44/12</f>
        <v>0.11904467417242587</v>
      </c>
      <c r="DH201" s="21">
        <f>EXP(-LN(2)/2)*DH200+(1-EXP(-LN(2)/2))/(LN(2)/2)*DB201*DE201*VLOOKUP('Données projet'!$B$13,Paramètres!$A$1:$I$89,3,0)*0.475*44/12</f>
        <v>3.9838550761317223E-25</v>
      </c>
      <c r="DI201" s="22">
        <f t="shared" si="175"/>
        <v>0.1572029197864849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-2.8421709430404007E-13</v>
      </c>
      <c r="DP201" s="17">
        <f>DO201*VLOOKUP('Données projet'!$B$14,Paramètres!$A$1:$I$89,3,0)*VLOOKUP('Données projet'!$B$14,Paramètres!$A$1:$I$89,5,0)</f>
        <v>-1.69961822393816E-13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179.32848817523677</v>
      </c>
      <c r="DU201" s="59">
        <f t="shared" si="209"/>
        <v>131.3292389103035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</v>
      </c>
      <c r="EB201" s="21">
        <f>EXP(-LN(2)/25)*EB200+(1-EXP(-LN(2)/25))/(LN(2)/25)*Calculateur!DW201*Calculateur!DY201*VLOOKUP('Données projet'!$B$14,Paramètres!$A$1:$I$89,3,0)*0.475*44/12</f>
        <v>0.12502487403269813</v>
      </c>
      <c r="EC201" s="21">
        <f>EXP(-LN(2)/2)*EC200+(1-EXP(-LN(2)/2))/(LN(2)/2)*DW201*DZ201*VLOOKUP('Données projet'!$B$14,Paramètres!$A$1:$I$89,3,0)*0.475*44/12</f>
        <v>2.7208396970352842E-25</v>
      </c>
      <c r="ED201" s="22">
        <f t="shared" si="178"/>
        <v>0.12502487403269813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-2.2737367544323206E-13</v>
      </c>
      <c r="EK201" s="17">
        <f>EJ201*VLOOKUP('Données projet'!$B$15,Paramètres!$A$1:$I$89,3,0)*VLOOKUP('Données projet'!$B$15,Paramètres!$A$1:$I$89,5,0)</f>
        <v>-1.0049916454590858E-13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191.932060106699</v>
      </c>
      <c r="EP201" s="59">
        <f t="shared" si="210"/>
        <v>260.28593152736903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8.7706282317269749E-2</v>
      </c>
      <c r="EW201" s="21">
        <f>EXP(-LN(2)/25)*EW200+(1-EXP(-LN(2)/25))/(LN(2)/25)*Calculateur!ER201*Calculateur!ET201*VLOOKUP('Données projet'!$B$15,Paramètres!$A$1:$I$89,3,0)*0.475*44/12</f>
        <v>0.1197095584386059</v>
      </c>
      <c r="EX201" s="21">
        <f>EXP(-LN(2)/2)*EX200+(1-EXP(-LN(2)/2))/(LN(2)/2)*ER201*EU201*VLOOKUP('Données projet'!$B$15,Paramètres!$A$1:$I$89,3,0)*0.475*44/12</f>
        <v>6.9192420717074348E-26</v>
      </c>
      <c r="EY201" s="22">
        <f t="shared" si="181"/>
        <v>0.20741584075587566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181.00000000000009</v>
      </c>
      <c r="FF201" s="17">
        <f>FE201*VLOOKUP('Données projet'!$B$16,Paramètres!$A$1:$I$89,3,0)*VLOOKUP('Données projet'!$B$16,Paramètres!$A$1:$I$89,5,0)</f>
        <v>175.06320000000008</v>
      </c>
      <c r="FG201" s="13">
        <f t="shared" si="182"/>
        <v>44.222067746824763</v>
      </c>
      <c r="FH201" s="20">
        <f t="shared" si="183"/>
        <v>381.92184132571992</v>
      </c>
      <c r="FI201" s="59">
        <f t="shared" si="199"/>
        <v>675.25517465905318</v>
      </c>
      <c r="FJ201" s="59">
        <f ca="1">AVERAGE(OFFSET($FI$3,0,0,'Données projet'!$E$16+1,1))-AVERAGE(OFFSET($H$3,0,0,'Données projet'!$E$16+1,1))</f>
        <v>102.86738524979938</v>
      </c>
      <c r="FK201" s="59">
        <f t="shared" si="211"/>
        <v>56.347130462109817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0</v>
      </c>
      <c r="FR201" s="21">
        <f>EXP(-LN(2)/25)*FR200+(1-EXP(-LN(2)/25))/(LN(2)/25)*Calculateur!FM201*Calculateur!FO201*VLOOKUP('Données projet'!$B$16,Paramètres!$A$1:$I$89,3,0)*0.475*44/12</f>
        <v>0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0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300.00000000000068</v>
      </c>
      <c r="GA201" s="17">
        <f>FZ201*VLOOKUP('Données projet'!$B$17,Paramètres!$A$1:$I$89,3,0)*VLOOKUP('Données projet'!$B$17,Paramètres!$A$1:$I$89,5,0)</f>
        <v>201.24000000000046</v>
      </c>
      <c r="GB201" s="13">
        <f t="shared" si="185"/>
        <v>50.01658408633331</v>
      </c>
      <c r="GC201" s="20">
        <f t="shared" si="186"/>
        <v>437.60521728369798</v>
      </c>
      <c r="GD201" s="59">
        <f t="shared" si="200"/>
        <v>730.9385506170313</v>
      </c>
      <c r="GE201" s="59">
        <f ca="1">AVERAGE(OFFSET($GD$3,0,0,'Données projet'!$E$17+1,1))-AVERAGE(OFFSET($H$3,0,0,'Données projet'!$E$17+1,1))</f>
        <v>168.00454652899231</v>
      </c>
      <c r="GF201" s="59">
        <f t="shared" si="212"/>
        <v>135.31958994080446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0</v>
      </c>
      <c r="GM201" s="21">
        <f>EXP(-LN(2)/25)*GM200+(1-EXP(-LN(2)/25))/(LN(2)/25)*Calculateur!GH201*Calculateur!GJ201*VLOOKUP('Données projet'!$B$17,Paramètres!$A$1:$I$89,3,0)*0.475*44/12</f>
        <v>0</v>
      </c>
      <c r="GN201" s="21">
        <f>EXP(-LN(2)/2)*GN200+(1-EXP(-LN(2)/2))/(LN(2)/2)*GH201*GK201*VLOOKUP('Données projet'!$B$17,Paramètres!$A$1:$I$89,3,0)*0.475*44/12</f>
        <v>0</v>
      </c>
      <c r="GO201" s="21">
        <f t="shared" si="187"/>
        <v>0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4.5474735088646412E-13</v>
      </c>
      <c r="O202" s="13">
        <f>N202*VLOOKUP('Données projet'!$B$9,Paramètres!$A$1:$I$89,3,0)*VLOOKUP('Données projet'!$B$9,Paramètres!$A$1:$I$89,5,0)</f>
        <v>4.1145540308207271E-13</v>
      </c>
      <c r="P202" s="13">
        <f t="shared" si="203"/>
        <v>5.2428527960910789E-12</v>
      </c>
      <c r="Q202" s="20">
        <f t="shared" si="162"/>
        <v>9.8479201135599071E-12</v>
      </c>
      <c r="R202" s="59">
        <f t="shared" si="191"/>
        <v>293.33333333334315</v>
      </c>
      <c r="S202" s="59">
        <f ca="1">AVERAGE(OFFSET($R$3,0,0,'Données projet'!$E$9+1,1))-AVERAGE(OFFSET($H$3,0,0,'Données projet'!$E$9+1,1))</f>
        <v>221.7429870520005</v>
      </c>
      <c r="T202" s="59">
        <f t="shared" si="204"/>
        <v>182.2029938397186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0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-5.6843418860808015E-13</v>
      </c>
      <c r="AJ202" s="13">
        <f>AI202*VLOOKUP('Données projet'!$B$10,Paramètres!$A$1:$I$89,3,0)*VLOOKUP('Données projet'!$B$10,Paramètres!$A$1:$I$89,5,0)</f>
        <v>-5.1431925385259092E-13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153.45079678708987</v>
      </c>
      <c r="AO202" s="59">
        <f t="shared" si="205"/>
        <v>115.4217868409637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0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3.4106051316484809E-13</v>
      </c>
      <c r="BE202" s="13">
        <f>BD202*VLOOKUP('Données projet'!$B$11,Paramètres!$A$1:$I$89,3,0)*VLOOKUP('Données projet'!$B$11,Paramètres!$A$1:$I$89,5,0)</f>
        <v>1.5961632016114892E-13</v>
      </c>
      <c r="BF202" s="13">
        <f t="shared" si="167"/>
        <v>2.2708641912150958E-12</v>
      </c>
      <c r="BG202" s="20">
        <f t="shared" si="168"/>
        <v>4.2330868906469593E-12</v>
      </c>
      <c r="BH202" s="59">
        <f t="shared" si="194"/>
        <v>293.33333333333752</v>
      </c>
      <c r="BI202" s="59">
        <f ca="1">AVERAGE(OFFSET($BH$3,0,0,'Données projet'!$E$11+1,1))-AVERAGE(OFFSET($H$3,0,0,'Données projet'!$E$11+1,1))</f>
        <v>158.58786357608489</v>
      </c>
      <c r="BJ202" s="59">
        <f t="shared" si="206"/>
        <v>163.20074068819849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0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>
        <f>BY202*VLOOKUP('Données projet'!$B$12,Paramètres!$A$1:$I$89,3,0)*VLOOKUP('Données projet'!$B$12,Paramètres!$A$1:$I$89,5,0)</f>
        <v>0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255.41017495879987</v>
      </c>
      <c r="CE202" s="59">
        <f t="shared" si="207"/>
        <v>297.50513563712764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0.29364907829846676</v>
      </c>
      <c r="CL202" s="21">
        <f>EXP(-LN(2)/25)*CL201+(1-EXP(-LN(2)/25))/(LN(2)/25)*Calculateur!CG202*Calculateur!CI202*VLOOKUP('Données projet'!$B$12,Paramètres!$A$1:$I$89,3,0)*0.475*44/12</f>
        <v>0.25714147844028007</v>
      </c>
      <c r="CM202" s="21">
        <f>EXP(-LN(2)/2)*CM201+(1-EXP(-LN(2)/2))/(LN(2)/2)*CG202*CJ202*VLOOKUP('Données projet'!$B$12,Paramètres!$A$1:$I$89,3,0)*0.475*44/12</f>
        <v>8.9202369998597338E-25</v>
      </c>
      <c r="CN202" s="22">
        <f t="shared" si="172"/>
        <v>0.55079055673874677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-1.4210854715202004E-13</v>
      </c>
      <c r="CU202" s="17">
        <f>CT202*VLOOKUP('Données projet'!$B$13,Paramètres!$A$1:$I$89,3,0)*VLOOKUP('Données projet'!$B$13,Paramètres!$A$1:$I$89,5,0)</f>
        <v>-8.128608897095547E-14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134.70214882504786</v>
      </c>
      <c r="CZ202" s="59">
        <f t="shared" si="208"/>
        <v>102.18553029667771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3.7409985691799028E-2</v>
      </c>
      <c r="DG202" s="21">
        <f>EXP(-LN(2)/25)*DG201+(1-EXP(-LN(2)/25))/(LN(2)/25)*Calculateur!DB202*Calculateur!DD202*VLOOKUP('Données projet'!$B$13,Paramètres!$A$1:$I$89,3,0)*0.475*44/12</f>
        <v>0.11578939129689354</v>
      </c>
      <c r="DH202" s="21">
        <f>EXP(-LN(2)/2)*DH201+(1-EXP(-LN(2)/2))/(LN(2)/2)*DB202*DE202*VLOOKUP('Données projet'!$B$13,Paramètres!$A$1:$I$89,3,0)*0.475*44/12</f>
        <v>2.8170109395971904E-25</v>
      </c>
      <c r="DI202" s="22">
        <f t="shared" si="175"/>
        <v>0.15319937698869257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-2.8421709430404007E-13</v>
      </c>
      <c r="DP202" s="17">
        <f>DO202*VLOOKUP('Données projet'!$B$14,Paramètres!$A$1:$I$89,3,0)*VLOOKUP('Données projet'!$B$14,Paramètres!$A$1:$I$89,5,0)</f>
        <v>-1.69961822393816E-13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179.32848817523677</v>
      </c>
      <c r="DU202" s="59">
        <f t="shared" si="209"/>
        <v>131.3292389103035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</v>
      </c>
      <c r="EB202" s="21">
        <f>EXP(-LN(2)/25)*EB201+(1-EXP(-LN(2)/25))/(LN(2)/25)*Calculateur!DW202*Calculateur!DY202*VLOOKUP('Données projet'!$B$14,Paramètres!$A$1:$I$89,3,0)*0.475*44/12</f>
        <v>0.12160606227750162</v>
      </c>
      <c r="EC202" s="21">
        <f>EXP(-LN(2)/2)*EC201+(1-EXP(-LN(2)/2))/(LN(2)/2)*DW202*DZ202*VLOOKUP('Données projet'!$B$14,Paramètres!$A$1:$I$89,3,0)*0.475*44/12</f>
        <v>1.923924200295201E-25</v>
      </c>
      <c r="ED202" s="22">
        <f t="shared" si="178"/>
        <v>0.12160606227750162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-2.2737367544323206E-13</v>
      </c>
      <c r="EK202" s="17">
        <f>EJ202*VLOOKUP('Données projet'!$B$15,Paramètres!$A$1:$I$89,3,0)*VLOOKUP('Données projet'!$B$15,Paramètres!$A$1:$I$89,5,0)</f>
        <v>-1.0049916454590858E-13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191.932060106699</v>
      </c>
      <c r="EP202" s="59">
        <f t="shared" si="210"/>
        <v>260.28593152736903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8.5986415616578049E-2</v>
      </c>
      <c r="EW202" s="21">
        <f>EXP(-LN(2)/25)*EW201+(1-EXP(-LN(2)/25))/(LN(2)/25)*Calculateur!ER202*Calculateur!ET202*VLOOKUP('Données projet'!$B$15,Paramètres!$A$1:$I$89,3,0)*0.475*44/12</f>
        <v>0.11643609426785013</v>
      </c>
      <c r="EX202" s="21">
        <f>EXP(-LN(2)/2)*EX201+(1-EXP(-LN(2)/2))/(LN(2)/2)*ER202*EU202*VLOOKUP('Données projet'!$B$15,Paramètres!$A$1:$I$89,3,0)*0.475*44/12</f>
        <v>4.892642989575583E-26</v>
      </c>
      <c r="EY202" s="22">
        <f t="shared" si="181"/>
        <v>0.20242250988442817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181.00000000000009</v>
      </c>
      <c r="FF202" s="17">
        <f>FE202*VLOOKUP('Données projet'!$B$16,Paramètres!$A$1:$I$89,3,0)*VLOOKUP('Données projet'!$B$16,Paramètres!$A$1:$I$89,5,0)</f>
        <v>175.06320000000008</v>
      </c>
      <c r="FG202" s="13">
        <f t="shared" si="182"/>
        <v>44.222067746824763</v>
      </c>
      <c r="FH202" s="20">
        <f t="shared" si="183"/>
        <v>381.92184132571992</v>
      </c>
      <c r="FI202" s="59">
        <f t="shared" si="199"/>
        <v>675.25517465905318</v>
      </c>
      <c r="FJ202" s="59">
        <f ca="1">AVERAGE(OFFSET($FI$3,0,0,'Données projet'!$E$16+1,1))-AVERAGE(OFFSET($H$3,0,0,'Données projet'!$E$16+1,1))</f>
        <v>102.86738524979938</v>
      </c>
      <c r="FK202" s="59">
        <f t="shared" si="211"/>
        <v>56.347130462109817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0</v>
      </c>
      <c r="FR202" s="21">
        <f>EXP(-LN(2)/25)*FR201+(1-EXP(-LN(2)/25))/(LN(2)/25)*Calculateur!FM202*Calculateur!FO202*VLOOKUP('Données projet'!$B$16,Paramètres!$A$1:$I$89,3,0)*0.475*44/12</f>
        <v>0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0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300.00000000000068</v>
      </c>
      <c r="GA202" s="17">
        <f>FZ202*VLOOKUP('Données projet'!$B$17,Paramètres!$A$1:$I$89,3,0)*VLOOKUP('Données projet'!$B$17,Paramètres!$A$1:$I$89,5,0)</f>
        <v>201.24000000000046</v>
      </c>
      <c r="GB202" s="13">
        <f t="shared" si="185"/>
        <v>50.01658408633331</v>
      </c>
      <c r="GC202" s="20">
        <f t="shared" si="186"/>
        <v>437.60521728369798</v>
      </c>
      <c r="GD202" s="59">
        <f t="shared" si="200"/>
        <v>730.9385506170313</v>
      </c>
      <c r="GE202" s="59">
        <f ca="1">AVERAGE(OFFSET($GD$3,0,0,'Données projet'!$E$17+1,1))-AVERAGE(OFFSET($H$3,0,0,'Données projet'!$E$17+1,1))</f>
        <v>168.00454652899231</v>
      </c>
      <c r="GF202" s="59">
        <f t="shared" si="212"/>
        <v>135.31958994080446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0</v>
      </c>
      <c r="GM202" s="21">
        <f>EXP(-LN(2)/25)*GM201+(1-EXP(-LN(2)/25))/(LN(2)/25)*Calculateur!GH202*Calculateur!GJ202*VLOOKUP('Données projet'!$B$17,Paramètres!$A$1:$I$89,3,0)*0.475*44/12</f>
        <v>0</v>
      </c>
      <c r="GN202" s="21">
        <f>EXP(-LN(2)/2)*GN201+(1-EXP(-LN(2)/2))/(LN(2)/2)*GH202*GK202*VLOOKUP('Données projet'!$B$17,Paramètres!$A$1:$I$89,3,0)*0.475*44/12</f>
        <v>0</v>
      </c>
      <c r="GO202" s="21">
        <f t="shared" si="187"/>
        <v>0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4.5474735088646412E-13</v>
      </c>
      <c r="O203" s="13">
        <f>N203*VLOOKUP('Données projet'!$B$9,Paramètres!$A$1:$I$89,3,0)*VLOOKUP('Données projet'!$B$9,Paramètres!$A$1:$I$89,5,0)</f>
        <v>4.1145540308207271E-13</v>
      </c>
      <c r="P203" s="13">
        <f t="shared" si="203"/>
        <v>5.2428527960910789E-12</v>
      </c>
      <c r="Q203" s="20">
        <f t="shared" si="162"/>
        <v>9.8479201135599071E-12</v>
      </c>
      <c r="R203" s="59">
        <f t="shared" si="191"/>
        <v>293.33333333334315</v>
      </c>
      <c r="S203" s="59">
        <f ca="1">AVERAGE(OFFSET($R$3,0,0,'Données projet'!$E$9+1,1))-AVERAGE(OFFSET($H$3,0,0,'Données projet'!$E$9+1,1))</f>
        <v>221.7429870520005</v>
      </c>
      <c r="T203" s="59">
        <f t="shared" si="204"/>
        <v>182.2029938397186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0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-5.6843418860808015E-13</v>
      </c>
      <c r="AJ203" s="13">
        <f>AI203*VLOOKUP('Données projet'!$B$10,Paramètres!$A$1:$I$89,3,0)*VLOOKUP('Données projet'!$B$10,Paramètres!$A$1:$I$89,5,0)</f>
        <v>-5.1431925385259092E-13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153.45079678708987</v>
      </c>
      <c r="AO203" s="59">
        <f t="shared" si="205"/>
        <v>115.4217868409637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0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3.4106051316484809E-13</v>
      </c>
      <c r="BE203" s="13">
        <f>BD203*VLOOKUP('Données projet'!$B$11,Paramètres!$A$1:$I$89,3,0)*VLOOKUP('Données projet'!$B$11,Paramètres!$A$1:$I$89,5,0)</f>
        <v>1.5961632016114892E-13</v>
      </c>
      <c r="BF203" s="13">
        <f t="shared" si="167"/>
        <v>2.2708641912150958E-12</v>
      </c>
      <c r="BG203" s="20">
        <f t="shared" si="168"/>
        <v>4.2330868906469593E-12</v>
      </c>
      <c r="BH203" s="59">
        <f t="shared" si="194"/>
        <v>293.33333333333752</v>
      </c>
      <c r="BI203" s="59">
        <f ca="1">AVERAGE(OFFSET($BH$3,0,0,'Données projet'!$E$11+1,1))-AVERAGE(OFFSET($H$3,0,0,'Données projet'!$E$11+1,1))</f>
        <v>158.58786357608489</v>
      </c>
      <c r="BJ203" s="59">
        <f t="shared" si="206"/>
        <v>163.20074068819849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0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>
        <f>BY203*VLOOKUP('Données projet'!$B$12,Paramètres!$A$1:$I$89,3,0)*VLOOKUP('Données projet'!$B$12,Paramètres!$A$1:$I$89,5,0)</f>
        <v>0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255.41017495879987</v>
      </c>
      <c r="CE203" s="59">
        <f t="shared" si="207"/>
        <v>297.50513563712764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0.28789079898128611</v>
      </c>
      <c r="CL203" s="21">
        <f>EXP(-LN(2)/25)*CL202+(1-EXP(-LN(2)/25))/(LN(2)/25)*Calculateur!CG203*Calculateur!CI203*VLOOKUP('Données projet'!$B$12,Paramètres!$A$1:$I$89,3,0)*0.475*44/12</f>
        <v>0.25010993118984798</v>
      </c>
      <c r="CM203" s="21">
        <f>EXP(-LN(2)/2)*CM202+(1-EXP(-LN(2)/2))/(LN(2)/2)*CG203*CJ203*VLOOKUP('Données projet'!$B$12,Paramètres!$A$1:$I$89,3,0)*0.475*44/12</f>
        <v>6.3075600723919621E-25</v>
      </c>
      <c r="CN203" s="22">
        <f t="shared" si="172"/>
        <v>0.53800073017113403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-1.4210854715202004E-13</v>
      </c>
      <c r="CU203" s="17">
        <f>CT203*VLOOKUP('Données projet'!$B$13,Paramètres!$A$1:$I$89,3,0)*VLOOKUP('Données projet'!$B$13,Paramètres!$A$1:$I$89,5,0)</f>
        <v>-8.128608897095547E-14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134.70214882504786</v>
      </c>
      <c r="CZ203" s="59">
        <f t="shared" si="208"/>
        <v>102.18553029667771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3.6676398690221046E-2</v>
      </c>
      <c r="DG203" s="21">
        <f>EXP(-LN(2)/25)*DG202+(1-EXP(-LN(2)/25))/(LN(2)/25)*Calculateur!DB203*Calculateur!DD203*VLOOKUP('Données projet'!$B$13,Paramètres!$A$1:$I$89,3,0)*0.475*44/12</f>
        <v>0.11262312430278054</v>
      </c>
      <c r="DH203" s="21">
        <f>EXP(-LN(2)/2)*DH202+(1-EXP(-LN(2)/2))/(LN(2)/2)*DB203*DE203*VLOOKUP('Données projet'!$B$13,Paramètres!$A$1:$I$89,3,0)*0.475*44/12</f>
        <v>1.9919275380658612E-25</v>
      </c>
      <c r="DI203" s="22">
        <f t="shared" si="175"/>
        <v>0.14929952299300159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-2.8421709430404007E-13</v>
      </c>
      <c r="DP203" s="17">
        <f>DO203*VLOOKUP('Données projet'!$B$14,Paramètres!$A$1:$I$89,3,0)*VLOOKUP('Données projet'!$B$14,Paramètres!$A$1:$I$89,5,0)</f>
        <v>-1.69961822393816E-13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179.32848817523677</v>
      </c>
      <c r="DU203" s="59">
        <f t="shared" si="209"/>
        <v>131.3292389103035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</v>
      </c>
      <c r="EB203" s="21">
        <f>EXP(-LN(2)/25)*EB202+(1-EXP(-LN(2)/25))/(LN(2)/25)*Calculateur!DW203*Calculateur!DY203*VLOOKUP('Données projet'!$B$14,Paramètres!$A$1:$I$89,3,0)*0.475*44/12</f>
        <v>0.11828073810953846</v>
      </c>
      <c r="EC203" s="21">
        <f>EXP(-LN(2)/2)*EC202+(1-EXP(-LN(2)/2))/(LN(2)/2)*DW203*DZ203*VLOOKUP('Données projet'!$B$14,Paramètres!$A$1:$I$89,3,0)*0.475*44/12</f>
        <v>1.3604198485176421E-25</v>
      </c>
      <c r="ED203" s="22">
        <f t="shared" si="178"/>
        <v>0.11828073810953846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-2.2737367544323206E-13</v>
      </c>
      <c r="EK203" s="17">
        <f>EJ203*VLOOKUP('Données projet'!$B$15,Paramètres!$A$1:$I$89,3,0)*VLOOKUP('Données projet'!$B$15,Paramètres!$A$1:$I$89,5,0)</f>
        <v>-1.0049916454590858E-13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191.932060106699</v>
      </c>
      <c r="EP203" s="59">
        <f t="shared" si="210"/>
        <v>260.28593152736903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8.4300274452871818E-2</v>
      </c>
      <c r="EW203" s="21">
        <f>EXP(-LN(2)/25)*EW202+(1-EXP(-LN(2)/25))/(LN(2)/25)*Calculateur!ER203*Calculateur!ET203*VLOOKUP('Données projet'!$B$15,Paramètres!$A$1:$I$89,3,0)*0.475*44/12</f>
        <v>0.1132521431469877</v>
      </c>
      <c r="EX203" s="21">
        <f>EXP(-LN(2)/2)*EX202+(1-EXP(-LN(2)/2))/(LN(2)/2)*ER203*EU203*VLOOKUP('Données projet'!$B$15,Paramètres!$A$1:$I$89,3,0)*0.475*44/12</f>
        <v>3.4596210358537174E-26</v>
      </c>
      <c r="EY203" s="22">
        <f t="shared" si="181"/>
        <v>0.19755241759985953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181.00000000000009</v>
      </c>
      <c r="FF203" s="17">
        <f>FE203*VLOOKUP('Données projet'!$B$16,Paramètres!$A$1:$I$89,3,0)*VLOOKUP('Données projet'!$B$16,Paramètres!$A$1:$I$89,5,0)</f>
        <v>175.06320000000008</v>
      </c>
      <c r="FG203" s="13">
        <f t="shared" si="182"/>
        <v>44.222067746824763</v>
      </c>
      <c r="FH203" s="20">
        <f t="shared" si="183"/>
        <v>381.92184132571992</v>
      </c>
      <c r="FI203" s="59">
        <f t="shared" si="199"/>
        <v>675.25517465905318</v>
      </c>
      <c r="FJ203" s="59">
        <f ca="1">AVERAGE(OFFSET($FI$3,0,0,'Données projet'!$E$16+1,1))-AVERAGE(OFFSET($H$3,0,0,'Données projet'!$E$16+1,1))</f>
        <v>102.86738524979938</v>
      </c>
      <c r="FK203" s="59">
        <f t="shared" si="211"/>
        <v>56.347130462109817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0</v>
      </c>
      <c r="FR203" s="21">
        <f>EXP(-LN(2)/25)*FR202+(1-EXP(-LN(2)/25))/(LN(2)/25)*Calculateur!FM203*Calculateur!FO203*VLOOKUP('Données projet'!$B$16,Paramètres!$A$1:$I$89,3,0)*0.475*44/12</f>
        <v>0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0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300.00000000000068</v>
      </c>
      <c r="GA203" s="17">
        <f>FZ203*VLOOKUP('Données projet'!$B$17,Paramètres!$A$1:$I$89,3,0)*VLOOKUP('Données projet'!$B$17,Paramètres!$A$1:$I$89,5,0)</f>
        <v>201.24000000000046</v>
      </c>
      <c r="GB203" s="13">
        <f t="shared" si="185"/>
        <v>50.01658408633331</v>
      </c>
      <c r="GC203" s="20">
        <f t="shared" si="186"/>
        <v>437.60521728369798</v>
      </c>
      <c r="GD203" s="59">
        <f t="shared" si="200"/>
        <v>730.9385506170313</v>
      </c>
      <c r="GE203" s="59">
        <f ca="1">AVERAGE(OFFSET($GD$3,0,0,'Données projet'!$E$17+1,1))-AVERAGE(OFFSET($H$3,0,0,'Données projet'!$E$17+1,1))</f>
        <v>168.00454652899231</v>
      </c>
      <c r="GF203" s="59">
        <f t="shared" si="212"/>
        <v>135.31958994080446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0</v>
      </c>
      <c r="GM203" s="21">
        <f>EXP(-LN(2)/25)*GM202+(1-EXP(-LN(2)/25))/(LN(2)/25)*Calculateur!GH203*Calculateur!GJ203*VLOOKUP('Données projet'!$B$17,Paramètres!$A$1:$I$89,3,0)*0.475*44/12</f>
        <v>0</v>
      </c>
      <c r="GN203" s="21">
        <f>EXP(-LN(2)/2)*GN202+(1-EXP(-LN(2)/2))/(LN(2)/2)*GH203*GK203*VLOOKUP('Données projet'!$B$17,Paramètres!$A$1:$I$89,3,0)*0.475*44/12</f>
        <v>0</v>
      </c>
      <c r="GO203" s="21">
        <f t="shared" si="187"/>
        <v>0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1.1736311550444201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1.1608269964373037</v>
      </c>
      <c r="BA205" s="82">
        <f>EXP(LN('Données projet'!B88)/'Données projet'!A88)</f>
        <v>1.1963772029987372</v>
      </c>
      <c r="BV205" s="82">
        <f>EXP(LN('Données projet'!B114)/'Données projet'!A114)</f>
        <v>1.2880503926580862</v>
      </c>
      <c r="CQ205" s="82">
        <f>EXP(LN('Données projet'!B140)/'Données projet'!A140)</f>
        <v>1.2501761914401572</v>
      </c>
      <c r="DL205" s="82">
        <f>EXP(LN('Données projet'!B166)/'Données projet'!A166)</f>
        <v>1.2691631451226497</v>
      </c>
      <c r="EG205" s="82">
        <f>EXP(LN('Données projet'!B192)/'Données projet'!A192)</f>
        <v>1.3477630745024085</v>
      </c>
      <c r="FB205" s="82">
        <f>EXP(LN('Données projet'!B218)/'Données projet'!A218)</f>
        <v>1.1644235083052243</v>
      </c>
      <c r="FW205" s="82">
        <f>EXP(LN('Données projet'!B244)/'Données projet'!A244)</f>
        <v>1.237550464288224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K26" sqref="K2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Chêne sessile</v>
      </c>
      <c r="B6" s="146">
        <f>'Données projet'!D9</f>
        <v>6.3975</v>
      </c>
      <c r="C6" s="147">
        <f ca="1">IF(OR('Données projet'!B9="",'Données projet'!C9="",'Données projet'!C9=0%),0,Calculateur!S3)</f>
        <v>221.7429870520005</v>
      </c>
      <c r="D6" s="147">
        <f>IF(OR('Données projet'!B9="",'Données projet'!C9="",'Données projet'!C9=0%),0,Calculateur!T3)</f>
        <v>182.2029938397186</v>
      </c>
      <c r="E6" s="147">
        <f ca="1">MIN(C6,D6)</f>
        <v>182.2029938397186</v>
      </c>
      <c r="F6" s="147">
        <f ca="1">E6*B6</f>
        <v>1165.6436530895996</v>
      </c>
      <c r="G6" s="147">
        <f ca="1">F6*(100%-'Données projet'!$C$24)*(100%-'Données projet'!$C$25)*(100%-'Données projet'!$C$26)*(100%-'Données projet'!$C$27)</f>
        <v>1049.0792877806398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1049.0792877806398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Chêne sessile</v>
      </c>
      <c r="B7" s="154">
        <f>'Données projet'!D10</f>
        <v>5.6298000000000004</v>
      </c>
      <c r="C7" s="147">
        <f ca="1">IF(OR('Données projet'!B10="",'Données projet'!C10="",'Données projet'!C10=0%),0,Calculateur!AN3)</f>
        <v>153.45079678708987</v>
      </c>
      <c r="D7" s="147">
        <f>IF(OR('Données projet'!B10="",'Données projet'!C10="",'Données projet'!C10=0%),0,Calculateur!AO3)</f>
        <v>115.4217868409637</v>
      </c>
      <c r="E7" s="147">
        <f t="shared" ref="E7:E15" ca="1" si="0">MIN(C7,D7)</f>
        <v>115.4217868409637</v>
      </c>
      <c r="F7" s="147">
        <f t="shared" ref="F7:F15" ca="1" si="1">E7*B7</f>
        <v>649.80157555725748</v>
      </c>
      <c r="G7" s="147">
        <f ca="1">F7*(100%-'Données projet'!$C$24)*(100%-'Données projet'!$C$25)*(100%-'Données projet'!$C$26)*(100%-'Données projet'!$C$27)</f>
        <v>584.8214180015317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584.8214180015317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Cèdre de l'Atlas</v>
      </c>
      <c r="B8" s="154">
        <f>'Données projet'!D11</f>
        <v>2.8149000000000002</v>
      </c>
      <c r="C8" s="147">
        <f ca="1">IF(OR('Données projet'!B11="",'Données projet'!C11="",'Données projet'!C11=0%),0,Calculateur!BI3)</f>
        <v>158.58786357608489</v>
      </c>
      <c r="D8" s="147">
        <f>IF(OR('Données projet'!B11="",'Données projet'!C11="",'Données projet'!C11=0%),0,Calculateur!BJ3)</f>
        <v>163.20074068819849</v>
      </c>
      <c r="E8" s="147">
        <f t="shared" ca="1" si="0"/>
        <v>158.58786357608489</v>
      </c>
      <c r="F8" s="147">
        <f t="shared" ca="1" si="1"/>
        <v>446.40897718032136</v>
      </c>
      <c r="G8" s="147">
        <f ca="1">F8*(100%-'Données projet'!$C$24)*(100%-'Données projet'!$C$25)*(100%-'Données projet'!$C$26)*(100%-'Données projet'!$C$27)</f>
        <v>401.76807946228922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401.76807946228922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Mélèze d'Europe</v>
      </c>
      <c r="B9" s="154">
        <f>'Données projet'!D12</f>
        <v>2.8149000000000002</v>
      </c>
      <c r="C9" s="147">
        <f ca="1">IF(OR('Données projet'!B12="",'Données projet'!C12="",'Données projet'!C12=0%),0,Calculateur!CD3)</f>
        <v>255.41017495879987</v>
      </c>
      <c r="D9" s="147">
        <f>IF(OR('Données projet'!B12="",'Données projet'!C12="",'Données projet'!C12=0%),0,Calculateur!CE3)</f>
        <v>297.50513563712764</v>
      </c>
      <c r="E9" s="147">
        <f t="shared" ca="1" si="0"/>
        <v>255.41017495879987</v>
      </c>
      <c r="F9" s="147">
        <f t="shared" ca="1" si="1"/>
        <v>718.95410149152576</v>
      </c>
      <c r="G9" s="147">
        <f ca="1">F9*(100%-'Données projet'!$C$24)*(100%-'Données projet'!$C$25)*(100%-'Données projet'!$C$26)*(100%-'Données projet'!$C$27)</f>
        <v>647.05869134237321</v>
      </c>
      <c r="H9" s="155">
        <f>IF(OR('Données projet'!B12="",'Données projet'!C12="",'Données projet'!C12=0%),0,AVERAGE(Calculateur!$CN$3:$CN$33)*B9)</f>
        <v>23.803125934652311</v>
      </c>
      <c r="I9" s="149">
        <f>H9*(100%-'Données projet'!$C$24)*(100%-'Données projet'!$C$25)*(100%-'Données projet'!$C$26)*(100%-'Données projet'!$C$27)</f>
        <v>21.42281334118708</v>
      </c>
      <c r="J9" s="150">
        <f>IF(OR('Données projet'!B12="",'Données projet'!C12="",'Données projet'!C12=0%),0,SUM(Calculateur!$CG$3:$CG$33)*VLOOKUP('Données projet'!$B$12,Paramètres!$A$1:$I$89,9,0)*B9)</f>
        <v>174.29860800000003</v>
      </c>
      <c r="K9" s="151">
        <f>J9*(100%-'Données projet'!$C$24)*(100%-'Données projet'!$C$25)*(100%-'Données projet'!$C$26)*(100%-'Données projet'!$C$27)</f>
        <v>156.86874720000003</v>
      </c>
      <c r="L9" s="152">
        <f t="shared" ca="1" si="2"/>
        <v>825.3502518835603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Pin sylvestre</v>
      </c>
      <c r="B10" s="154">
        <f>'Données projet'!D13</f>
        <v>2.3030999999999997</v>
      </c>
      <c r="C10" s="147">
        <f ca="1">IF(OR('Données projet'!B13="",'Données projet'!C13="",'Données projet'!C13=0%),0,Calculateur!CY3)</f>
        <v>134.70214882504786</v>
      </c>
      <c r="D10" s="147">
        <f>IF(OR('Données projet'!B13="",'Données projet'!C13="",'Données projet'!C13=0%),0,Calculateur!CZ3)</f>
        <v>102.18553029667771</v>
      </c>
      <c r="E10" s="147">
        <f t="shared" ca="1" si="0"/>
        <v>102.18553029667771</v>
      </c>
      <c r="F10" s="147">
        <f t="shared" ca="1" si="1"/>
        <v>235.3434948262784</v>
      </c>
      <c r="G10" s="147">
        <f ca="1">F10*(100%-'Données projet'!$C$24)*(100%-'Données projet'!$C$25)*(100%-'Données projet'!$C$26)*(100%-'Données projet'!$C$27)</f>
        <v>211.80914534365056</v>
      </c>
      <c r="H10" s="155">
        <f>IF(OR('Données projet'!B13="",'Données projet'!C13="",'Données projet'!C13=0%),0,AVERAGE(Calculateur!$DI$3:$DI$33)*B10)</f>
        <v>12.412596749347946</v>
      </c>
      <c r="I10" s="149">
        <f>H10*(100%-'Données projet'!$C$24)*(100%-'Données projet'!$C$25)*(100%-'Données projet'!$C$26)*(100%-'Données projet'!$C$27)</f>
        <v>11.171337074413152</v>
      </c>
      <c r="J10" s="150">
        <f>IF(OR('Données projet'!B13="",'Données projet'!C13="",'Données projet'!C13=0%),0,SUM(Calculateur!$DB$3:$DB$33)*VLOOKUP('Données projet'!$B$13,Paramètres!$A$1:$I$89,9,0)*B10)</f>
        <v>88.314849761538468</v>
      </c>
      <c r="K10" s="151">
        <f>J10*(100%-'Données projet'!$C$24)*(100%-'Données projet'!$C$25)*(100%-'Données projet'!$C$26)*(100%-'Données projet'!$C$27)</f>
        <v>79.483364785384623</v>
      </c>
      <c r="L10" s="152">
        <f t="shared" ca="1" si="2"/>
        <v>302.46384720344832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>Pin laricio</v>
      </c>
      <c r="B11" s="154">
        <f>'Données projet'!D14</f>
        <v>1.7913000000000001</v>
      </c>
      <c r="C11" s="147">
        <f ca="1">IF(OR('Données projet'!B14="",'Données projet'!C14="",'Données projet'!C14=0%),0,Calculateur!DT3)</f>
        <v>179.32848817523677</v>
      </c>
      <c r="D11" s="147">
        <f>IF(OR('Données projet'!B14="",'Données projet'!C14="",'Données projet'!C14=0%),0,Calculateur!DU3)</f>
        <v>131.3292389103035</v>
      </c>
      <c r="E11" s="147">
        <f t="shared" ca="1" si="0"/>
        <v>131.3292389103035</v>
      </c>
      <c r="F11" s="147">
        <f t="shared" ca="1" si="1"/>
        <v>235.25006566002668</v>
      </c>
      <c r="G11" s="147">
        <f ca="1">F11*(100%-'Données projet'!$C$24)*(100%-'Données projet'!$C$25)*(100%-'Données projet'!$C$26)*(100%-'Données projet'!$C$27)</f>
        <v>211.725059094024</v>
      </c>
      <c r="H11" s="155">
        <f>IF(OR('Données projet'!B14="",'Données projet'!C14="",'Données projet'!C14=0%),0,AVERAGE(Calculateur!$ED$3:$ED$33)*B11)</f>
        <v>10.845103751309606</v>
      </c>
      <c r="I11" s="149">
        <f>H11*(100%-'Données projet'!$C$24)*(100%-'Données projet'!$C$25)*(100%-'Données projet'!$C$26)*(100%-'Données projet'!$C$27)</f>
        <v>9.7605933761786456</v>
      </c>
      <c r="J11" s="150">
        <f>IF(OR('Données projet'!B14="",'Données projet'!C14="",'Données projet'!C14=0%),0,SUM(Calculateur!$DW$3:$DW$33)*VLOOKUP('Données projet'!$B$14,Paramètres!$A$1:$I$89,9,0)*B11)</f>
        <v>67.314711530769216</v>
      </c>
      <c r="K11" s="151">
        <f>J11*(100%-'Données projet'!$C$24)*(100%-'Données projet'!$C$25)*(100%-'Données projet'!$C$26)*(100%-'Données projet'!$C$27)</f>
        <v>60.583240377692299</v>
      </c>
      <c r="L11" s="152">
        <f t="shared" ca="1" si="2"/>
        <v>282.06889284789492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>Séquoia toujours vert</v>
      </c>
      <c r="B12" s="154">
        <f>'Données projet'!D15</f>
        <v>1.5353999999999999</v>
      </c>
      <c r="C12" s="147">
        <f ca="1">IF(OR('Données projet'!B15="",'Données projet'!C15="",'Données projet'!C15=0%),0,Calculateur!EO3)</f>
        <v>191.932060106699</v>
      </c>
      <c r="D12" s="147">
        <f>IF(OR('Données projet'!B15="",'Données projet'!C15="",'Données projet'!C15=0%),0,Calculateur!EP3)</f>
        <v>260.28593152736903</v>
      </c>
      <c r="E12" s="147">
        <f t="shared" ca="1" si="0"/>
        <v>191.932060106699</v>
      </c>
      <c r="F12" s="147">
        <f t="shared" ca="1" si="1"/>
        <v>294.69248508782562</v>
      </c>
      <c r="G12" s="147">
        <f ca="1">F12*(100%-'Données projet'!$C$24)*(100%-'Données projet'!$C$25)*(100%-'Données projet'!$C$26)*(100%-'Données projet'!$C$27)</f>
        <v>265.22323657904309</v>
      </c>
      <c r="H12" s="155">
        <f>IF(OR('Données projet'!B15="",'Données projet'!C15="",'Données projet'!C15=0%),0,AVERAGE(Calculateur!$EY$3:$EY$33)*B12)</f>
        <v>12.966409171263377</v>
      </c>
      <c r="I12" s="149">
        <f>H12*(100%-'Données projet'!$C$24)*(100%-'Données projet'!$C$25)*(100%-'Données projet'!$C$26)*(100%-'Données projet'!$C$27)</f>
        <v>11.66976825413704</v>
      </c>
      <c r="J12" s="150">
        <f>IF(OR('Données projet'!B15="",'Données projet'!C15="",'Données projet'!C15=0%),0,SUM(Calculateur!$ER$3:$ER$33)*VLOOKUP('Données projet'!$B$15,Paramètres!$A$1:$I$89,9,0)*B12)</f>
        <v>117.26558446153842</v>
      </c>
      <c r="K12" s="151">
        <f>J12*(100%-'Données projet'!$C$24)*(100%-'Données projet'!$C$25)*(100%-'Données projet'!$C$26)*(100%-'Données projet'!$C$27)</f>
        <v>105.53902601538458</v>
      </c>
      <c r="L12" s="152">
        <f t="shared" ca="1" si="2"/>
        <v>382.43203084856475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>Alisier torminal</v>
      </c>
      <c r="B13" s="154">
        <f>'Données projet'!D16</f>
        <v>1.2795000000000001</v>
      </c>
      <c r="C13" s="147">
        <f ca="1">IF(OR('Données projet'!B16="",'Données projet'!C16="",'Données projet'!C16=0%),0,Calculateur!FJ3)</f>
        <v>102.86738524979938</v>
      </c>
      <c r="D13" s="147">
        <f>IF(OR('Données projet'!B16="",'Données projet'!C16="",'Données projet'!C16=0%),0,Calculateur!FK3)</f>
        <v>56.347130462109817</v>
      </c>
      <c r="E13" s="147">
        <f t="shared" ca="1" si="0"/>
        <v>56.347130462109817</v>
      </c>
      <c r="F13" s="147">
        <f t="shared" ca="1" si="1"/>
        <v>72.09615342626951</v>
      </c>
      <c r="G13" s="147">
        <f ca="1">F13*(100%-'Données projet'!$C$24)*(100%-'Données projet'!$C$25)*(100%-'Données projet'!$C$26)*(100%-'Données projet'!$C$27)</f>
        <v>64.886538083642563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2.8788750000000003</v>
      </c>
      <c r="K13" s="151">
        <f>J13*(100%-'Données projet'!$C$24)*(100%-'Données projet'!$C$25)*(100%-'Données projet'!$C$26)*(100%-'Données projet'!$C$27)</f>
        <v>2.5909875000000002</v>
      </c>
      <c r="L13" s="152">
        <f t="shared" ca="1" si="2"/>
        <v>67.47752558364256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>Tilleul</v>
      </c>
      <c r="B14" s="154">
        <f>'Données projet'!D17</f>
        <v>1.0236000000000001</v>
      </c>
      <c r="C14" s="147">
        <f ca="1">IF(OR('Données projet'!B17="",'Données projet'!C17="",'Données projet'!C17=0%),0,Calculateur!GE3)</f>
        <v>168.00454652899231</v>
      </c>
      <c r="D14" s="147">
        <f>IF(OR('Données projet'!B17="",'Données projet'!C17="",'Données projet'!C17=0%),0,Calculateur!GF3)</f>
        <v>135.31958994080446</v>
      </c>
      <c r="E14" s="147">
        <f t="shared" ca="1" si="0"/>
        <v>135.31958994080446</v>
      </c>
      <c r="F14" s="147">
        <f t="shared" ca="1" si="1"/>
        <v>138.51313226340747</v>
      </c>
      <c r="G14" s="147">
        <f ca="1">F14*(100%-'Données projet'!$C$24)*(100%-'Données projet'!$C$25)*(100%-'Données projet'!$C$26)*(100%-'Données projet'!$C$27)</f>
        <v>124.66181903706672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14.586300000000001</v>
      </c>
      <c r="K14" s="151">
        <f>J14*(100%-'Données projet'!$C$24)*(100%-'Données projet'!$C$25)*(100%-'Données projet'!$C$26)*(100%-'Données projet'!$C$27)</f>
        <v>13.127670000000002</v>
      </c>
      <c r="L14" s="152">
        <f t="shared" ca="1" si="2"/>
        <v>137.78948903706672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3956.7036385825127</v>
      </c>
      <c r="G16" s="166">
        <f t="shared" ca="1" si="3"/>
        <v>3561.0332747242605</v>
      </c>
      <c r="H16" s="167">
        <f t="shared" si="3"/>
        <v>60.027235606573242</v>
      </c>
      <c r="I16" s="167">
        <f t="shared" si="3"/>
        <v>54.02451204591592</v>
      </c>
      <c r="J16" s="168">
        <f t="shared" si="3"/>
        <v>464.65892875384611</v>
      </c>
      <c r="K16" s="168">
        <f t="shared" si="3"/>
        <v>418.19303587846156</v>
      </c>
      <c r="L16" s="169">
        <f t="shared" ca="1" si="3"/>
        <v>4033.2508226486384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Cèdre de l'Atlas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Mélèze d'Europe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Pin sylvestre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>Pin laricio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>Séquoia toujours vert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>Alisier torminal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>Tilleul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D6" zoomScale="80" zoomScaleNormal="80" workbookViewId="0">
      <selection activeCell="I284" sqref="I284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7" t="s">
        <v>315</v>
      </c>
      <c r="I4" s="257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-2575.9682442237245</v>
      </c>
      <c r="U10" s="178">
        <f>'Données projet'!D9</f>
        <v>6.3975</v>
      </c>
      <c r="V10" s="177">
        <f>U10*T10</f>
        <v>-16479.756842421277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sessile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-3500.0109999978217</v>
      </c>
      <c r="U11" s="178">
        <f>'Données projet'!D10</f>
        <v>5.6298000000000004</v>
      </c>
      <c r="V11" s="177">
        <f t="shared" ref="V11" si="0">U11*T11</f>
        <v>-19704.361927787737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Cèdre de l'Atlas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-1273.0439292687463</v>
      </c>
      <c r="U12" s="178">
        <f>'Données projet'!D11</f>
        <v>2.8149000000000002</v>
      </c>
      <c r="V12" s="177">
        <f t="shared" ref="V12:V19" si="1">U12*T12</f>
        <v>-3583.4913564985941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Mélèze d'Europe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586.8240659587143</v>
      </c>
      <c r="U13" s="178">
        <f>'Données projet'!D12</f>
        <v>2.8149000000000002</v>
      </c>
      <c r="V13" s="177">
        <f t="shared" si="1"/>
        <v>1651.8510632671851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Pin sylvestre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-1154.5877490083467</v>
      </c>
      <c r="U14" s="178">
        <f>'Données projet'!D13</f>
        <v>2.3030999999999997</v>
      </c>
      <c r="V14" s="177">
        <f t="shared" si="1"/>
        <v>-2659.1310447411229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Pin laricio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-1601.9128890645065</v>
      </c>
      <c r="U15" s="178">
        <f>'Données projet'!D14</f>
        <v>1.7913000000000001</v>
      </c>
      <c r="V15" s="177">
        <f t="shared" si="1"/>
        <v>-2869.506558181251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30</v>
      </c>
      <c r="O16" s="23"/>
      <c r="P16" s="23"/>
      <c r="Q16" s="234"/>
      <c r="R16" s="23"/>
      <c r="S16" s="36" t="str">
        <f>B200</f>
        <v>Séquoia toujours vert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3495.8488751122459</v>
      </c>
      <c r="U16" s="178">
        <f>'Données projet'!D15</f>
        <v>1.5353999999999999</v>
      </c>
      <c r="V16" s="177">
        <f t="shared" si="1"/>
        <v>5367.5263628473422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3758</v>
      </c>
      <c r="F17" s="230"/>
      <c r="G17" s="303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29.999999999999993</v>
      </c>
      <c r="O17" s="23"/>
      <c r="P17" s="23"/>
      <c r="Q17" s="234"/>
      <c r="R17" s="23"/>
      <c r="S17" s="36" t="str">
        <f>B231</f>
        <v>Alisier torminal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-3324.9583552578174</v>
      </c>
      <c r="U17" s="178">
        <f>'Données projet'!D16</f>
        <v>1.2795000000000001</v>
      </c>
      <c r="V17" s="177">
        <f t="shared" si="1"/>
        <v>-4254.2842155523776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59" t="s">
        <v>255</v>
      </c>
      <c r="M18" s="261"/>
      <c r="N18" s="192">
        <v>5</v>
      </c>
      <c r="O18" s="23"/>
      <c r="P18" s="23"/>
      <c r="Q18" s="234"/>
      <c r="R18" s="23"/>
      <c r="S18" s="36" t="str">
        <f>B262</f>
        <v>Tilleul</v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652.8913125162203</v>
      </c>
      <c r="U18" s="178">
        <f>'Données projet'!D17</f>
        <v>1.0236000000000001</v>
      </c>
      <c r="V18" s="177">
        <f t="shared" si="1"/>
        <v>668.29954749160311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149.99999999999997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v>2173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2069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800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30</v>
      </c>
      <c r="B23" s="181">
        <f>'Données projet'!D36</f>
        <v>0</v>
      </c>
      <c r="C23" s="193">
        <v>0</v>
      </c>
      <c r="D23" s="182">
        <f>B23*C23</f>
        <v>0</v>
      </c>
      <c r="E23" s="193"/>
      <c r="F23" s="230"/>
      <c r="H23" s="190">
        <v>3</v>
      </c>
      <c r="I23" s="191">
        <v>900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-231111.46610796687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35</v>
      </c>
      <c r="B24" s="181">
        <f>'Données projet'!D37</f>
        <v>60.602564102564102</v>
      </c>
      <c r="C24" s="193">
        <v>10</v>
      </c>
      <c r="D24" s="182">
        <f t="shared" ref="D24:D42" si="2">B24*C24</f>
        <v>606.02564102564099</v>
      </c>
      <c r="E24" s="193"/>
      <c r="F24" s="233"/>
      <c r="H24" s="190">
        <v>4</v>
      </c>
      <c r="I24" s="191">
        <v>1000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1024.8795595236309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41</v>
      </c>
      <c r="B25" s="181">
        <f>'Données projet'!D38</f>
        <v>38.512820512820511</v>
      </c>
      <c r="C25" s="193">
        <v>15</v>
      </c>
      <c r="D25" s="182">
        <f t="shared" si="2"/>
        <v>577.69230769230762</v>
      </c>
      <c r="E25" s="193"/>
      <c r="F25" s="233"/>
      <c r="H25" s="190">
        <v>5</v>
      </c>
      <c r="I25" s="191">
        <v>1100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-232136.3456674905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48</v>
      </c>
      <c r="B26" s="181">
        <f>'Données projet'!D39</f>
        <v>48.025641025641022</v>
      </c>
      <c r="C26" s="193">
        <v>20</v>
      </c>
      <c r="D26" s="182">
        <f t="shared" si="2"/>
        <v>960.51282051282044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55</v>
      </c>
      <c r="B27" s="181">
        <f>'Données projet'!D40</f>
        <v>45.147435897435898</v>
      </c>
      <c r="C27" s="193">
        <v>30</v>
      </c>
      <c r="D27" s="182">
        <f t="shared" si="2"/>
        <v>1354.4230769230769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63</v>
      </c>
      <c r="B28" s="181">
        <f>'Données projet'!D41</f>
        <v>41.724358974358978</v>
      </c>
      <c r="C28" s="193">
        <v>40</v>
      </c>
      <c r="D28" s="182">
        <f t="shared" si="2"/>
        <v>1668.9743589743591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71</v>
      </c>
      <c r="B29" s="181">
        <f>'Données projet'!D42</f>
        <v>39.935897435897431</v>
      </c>
      <c r="C29" s="193">
        <v>50</v>
      </c>
      <c r="D29" s="182">
        <f t="shared" si="2"/>
        <v>1996.7948717948716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80</v>
      </c>
      <c r="B30" s="181">
        <f>'Données projet'!D43</f>
        <v>45.608974358974358</v>
      </c>
      <c r="C30" s="193">
        <v>60</v>
      </c>
      <c r="D30" s="182">
        <f t="shared" si="2"/>
        <v>2736.5384615384614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89</v>
      </c>
      <c r="B31" s="181">
        <f>'Données projet'!D44</f>
        <v>49.391025641025635</v>
      </c>
      <c r="C31" s="193">
        <v>70</v>
      </c>
      <c r="D31" s="182">
        <f t="shared" si="2"/>
        <v>3457.3717948717945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99</v>
      </c>
      <c r="B32" s="181">
        <f>'Données projet'!D45</f>
        <v>48.019230769230766</v>
      </c>
      <c r="C32" s="193">
        <v>90</v>
      </c>
      <c r="D32" s="182">
        <f t="shared" si="2"/>
        <v>4321.7307692307686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109</v>
      </c>
      <c r="B33" s="181">
        <f>'Données projet'!D46</f>
        <v>51.28846153846154</v>
      </c>
      <c r="C33" s="193">
        <v>130</v>
      </c>
      <c r="D33" s="182">
        <f t="shared" si="2"/>
        <v>6667.5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119</v>
      </c>
      <c r="B34" s="181">
        <f>'Données projet'!D47</f>
        <v>150.02564102564102</v>
      </c>
      <c r="C34" s="193">
        <v>150</v>
      </c>
      <c r="D34" s="182">
        <f t="shared" si="2"/>
        <v>22503.846153846152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123</v>
      </c>
      <c r="B35" s="181">
        <f>'Données projet'!D48</f>
        <v>77.17307692307692</v>
      </c>
      <c r="C35" s="193">
        <v>160</v>
      </c>
      <c r="D35" s="182">
        <f t="shared" si="2"/>
        <v>12347.692307692307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127</v>
      </c>
      <c r="B36" s="181">
        <f>'Données projet'!D49</f>
        <v>49.916666666666671</v>
      </c>
      <c r="C36" s="193">
        <v>170</v>
      </c>
      <c r="D36" s="182">
        <f t="shared" si="2"/>
        <v>8485.8333333333339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131</v>
      </c>
      <c r="B37" s="181">
        <f>'Données projet'!D50</f>
        <v>110.91025641025641</v>
      </c>
      <c r="C37" s="193">
        <v>180</v>
      </c>
      <c r="D37" s="182">
        <f t="shared" si="2"/>
        <v>19963.846153846152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Chêne sessile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3925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30</v>
      </c>
      <c r="B54" s="181">
        <f>'Données projet'!D62</f>
        <v>0</v>
      </c>
      <c r="C54" s="191">
        <v>0</v>
      </c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44</v>
      </c>
      <c r="B55" s="181">
        <f>'Données projet'!D63</f>
        <v>64.416666666666657</v>
      </c>
      <c r="C55" s="191">
        <v>10</v>
      </c>
      <c r="D55" s="179">
        <f t="shared" ref="D55:D73" si="4">B55*C55</f>
        <v>644.16666666666652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51</v>
      </c>
      <c r="B56" s="181">
        <f>'Données projet'!D64</f>
        <v>37.685897435897431</v>
      </c>
      <c r="C56" s="191">
        <v>15</v>
      </c>
      <c r="D56" s="179">
        <f t="shared" si="4"/>
        <v>565.28846153846143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59</v>
      </c>
      <c r="B57" s="181">
        <f>'Données projet'!D65</f>
        <v>38.942307692307693</v>
      </c>
      <c r="C57" s="191">
        <v>20</v>
      </c>
      <c r="D57" s="179">
        <f t="shared" si="4"/>
        <v>778.84615384615381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67</v>
      </c>
      <c r="B58" s="181">
        <f>'Données projet'!D66</f>
        <v>31.993589743589741</v>
      </c>
      <c r="C58" s="191">
        <v>30</v>
      </c>
      <c r="D58" s="179">
        <f t="shared" si="4"/>
        <v>959.80769230769226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75</v>
      </c>
      <c r="B59" s="181">
        <f>'Données projet'!D67</f>
        <v>30.916666666666664</v>
      </c>
      <c r="C59" s="191">
        <v>40</v>
      </c>
      <c r="D59" s="179">
        <f t="shared" si="4"/>
        <v>1236.6666666666665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84</v>
      </c>
      <c r="B60" s="181">
        <f>'Données projet'!D68</f>
        <v>35.083333333333329</v>
      </c>
      <c r="C60" s="191">
        <v>50</v>
      </c>
      <c r="D60" s="179">
        <f t="shared" si="4"/>
        <v>1754.1666666666665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93</v>
      </c>
      <c r="B61" s="181">
        <f>'Données projet'!D69</f>
        <v>30.083333333333332</v>
      </c>
      <c r="C61" s="191">
        <v>60</v>
      </c>
      <c r="D61" s="179">
        <f t="shared" si="4"/>
        <v>1805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103</v>
      </c>
      <c r="B62" s="181">
        <f>'Données projet'!D70</f>
        <v>39.512820512820511</v>
      </c>
      <c r="C62" s="191">
        <v>65</v>
      </c>
      <c r="D62" s="179">
        <f t="shared" si="4"/>
        <v>2568.333333333333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113</v>
      </c>
      <c r="B63" s="181">
        <f>'Données projet'!D71</f>
        <v>31.602564102564099</v>
      </c>
      <c r="C63" s="191">
        <v>80</v>
      </c>
      <c r="D63" s="179">
        <f t="shared" si="4"/>
        <v>2528.2051282051279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125</v>
      </c>
      <c r="B64" s="181">
        <f>'Données projet'!D72</f>
        <v>48.160256410256409</v>
      </c>
      <c r="C64" s="191">
        <v>110</v>
      </c>
      <c r="D64" s="179">
        <f t="shared" si="4"/>
        <v>5297.6282051282051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137</v>
      </c>
      <c r="B65" s="181">
        <f>'Données projet'!D73</f>
        <v>51.160256410256409</v>
      </c>
      <c r="C65" s="191">
        <v>120</v>
      </c>
      <c r="D65" s="179">
        <f t="shared" si="4"/>
        <v>6139.2307692307695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149</v>
      </c>
      <c r="B66" s="181">
        <f>'Données projet'!D74</f>
        <v>120.50641025641026</v>
      </c>
      <c r="C66" s="191">
        <v>130</v>
      </c>
      <c r="D66" s="179">
        <f t="shared" si="4"/>
        <v>15665.833333333334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153</v>
      </c>
      <c r="B67" s="181">
        <f>'Données projet'!D75</f>
        <v>70.115384615384613</v>
      </c>
      <c r="C67" s="191">
        <v>150</v>
      </c>
      <c r="D67" s="179">
        <f t="shared" si="4"/>
        <v>10517.307692307691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157</v>
      </c>
      <c r="B68" s="181">
        <f>'Données projet'!D76</f>
        <v>45.71153846153846</v>
      </c>
      <c r="C68" s="191">
        <v>170</v>
      </c>
      <c r="D68" s="179">
        <f t="shared" si="4"/>
        <v>7770.9615384615381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161</v>
      </c>
      <c r="B69" s="181">
        <f>'Données projet'!D77</f>
        <v>91.365384615384613</v>
      </c>
      <c r="C69" s="191">
        <v>180</v>
      </c>
      <c r="D69" s="179">
        <f t="shared" si="4"/>
        <v>16445.76923076923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Cèdre de l'Atlas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3424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30</v>
      </c>
      <c r="B85" s="181">
        <f>'Données projet'!D88</f>
        <v>0</v>
      </c>
      <c r="C85" s="191">
        <v>0</v>
      </c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42</v>
      </c>
      <c r="B86" s="181">
        <f>'Données projet'!D89</f>
        <v>179.84615384615384</v>
      </c>
      <c r="C86" s="191">
        <v>20</v>
      </c>
      <c r="D86" s="179">
        <f t="shared" ref="D86:D104" si="6">B86*C86</f>
        <v>3596.9230769230767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49</v>
      </c>
      <c r="B87" s="181">
        <f>'Données projet'!D90</f>
        <v>94.476923076923072</v>
      </c>
      <c r="C87" s="191">
        <v>25</v>
      </c>
      <c r="D87" s="179">
        <f t="shared" si="6"/>
        <v>2361.9230769230767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56</v>
      </c>
      <c r="B88" s="181">
        <f>'Données projet'!D91</f>
        <v>72.769230769230759</v>
      </c>
      <c r="C88" s="191">
        <v>30</v>
      </c>
      <c r="D88" s="179">
        <f t="shared" si="6"/>
        <v>2183.0769230769229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str">
        <f>IF(O87+1&lt;=MIN('Données projet'!$E$9:$E$18),O87+1,"STOP")</f>
        <v>STOP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63</v>
      </c>
      <c r="B89" s="181">
        <f>'Données projet'!D92</f>
        <v>71.123076923076923</v>
      </c>
      <c r="C89" s="191">
        <v>45</v>
      </c>
      <c r="D89" s="179">
        <f t="shared" si="6"/>
        <v>3200.5384615384614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71</v>
      </c>
      <c r="B90" s="181">
        <f>'Données projet'!D93</f>
        <v>80.399999999999991</v>
      </c>
      <c r="C90" s="191">
        <v>55</v>
      </c>
      <c r="D90" s="179">
        <f t="shared" si="6"/>
        <v>4421.9999999999991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79</v>
      </c>
      <c r="B91" s="181">
        <f>'Données projet'!D94</f>
        <v>77.338461538461544</v>
      </c>
      <c r="C91" s="191">
        <v>60</v>
      </c>
      <c r="D91" s="179">
        <f t="shared" si="6"/>
        <v>4640.3076923076924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87</v>
      </c>
      <c r="B92" s="181">
        <f>'Données projet'!D95</f>
        <v>77.330769230769235</v>
      </c>
      <c r="C92" s="191">
        <v>65</v>
      </c>
      <c r="D92" s="179">
        <f t="shared" si="6"/>
        <v>5026.5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95</v>
      </c>
      <c r="B93" s="181">
        <f>'Données projet'!D96</f>
        <v>234.42307692307691</v>
      </c>
      <c r="C93" s="191">
        <v>70</v>
      </c>
      <c r="D93" s="179">
        <f t="shared" si="6"/>
        <v>16409.615384615383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105</v>
      </c>
      <c r="B94" s="181">
        <f>'Données projet'!D97</f>
        <v>309.71538461538461</v>
      </c>
      <c r="C94" s="191">
        <v>75</v>
      </c>
      <c r="D94" s="179">
        <f t="shared" si="6"/>
        <v>23228.653846153844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Mélèze d'Europe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2422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20</v>
      </c>
      <c r="B116" s="181">
        <f>'Données projet'!D114</f>
        <v>60</v>
      </c>
      <c r="C116" s="191">
        <v>20</v>
      </c>
      <c r="D116" s="179">
        <f>B116*C116</f>
        <v>1200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30</v>
      </c>
      <c r="B117" s="181">
        <f>'Données projet'!D115</f>
        <v>84</v>
      </c>
      <c r="C117" s="191">
        <v>25</v>
      </c>
      <c r="D117" s="179">
        <f t="shared" ref="D117:D135" si="8">B117*C117</f>
        <v>2100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40</v>
      </c>
      <c r="B118" s="181">
        <f>'Données projet'!D116</f>
        <v>82</v>
      </c>
      <c r="C118" s="191">
        <v>30</v>
      </c>
      <c r="D118" s="179">
        <f t="shared" si="8"/>
        <v>2460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50</v>
      </c>
      <c r="B119" s="181">
        <f>'Données projet'!D117</f>
        <v>68</v>
      </c>
      <c r="C119" s="191">
        <v>45</v>
      </c>
      <c r="D119" s="179">
        <f t="shared" si="8"/>
        <v>3060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60</v>
      </c>
      <c r="B120" s="181">
        <f>'Données projet'!D118</f>
        <v>55</v>
      </c>
      <c r="C120" s="191">
        <v>55</v>
      </c>
      <c r="D120" s="179">
        <f t="shared" si="8"/>
        <v>3025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70</v>
      </c>
      <c r="B121" s="181">
        <f>'Données projet'!D119</f>
        <v>45</v>
      </c>
      <c r="C121" s="191">
        <v>60</v>
      </c>
      <c r="D121" s="179">
        <f t="shared" si="8"/>
        <v>2700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80</v>
      </c>
      <c r="B122" s="181">
        <f>'Données projet'!D120</f>
        <v>442</v>
      </c>
      <c r="C122" s="191">
        <v>65</v>
      </c>
      <c r="D122" s="179">
        <f t="shared" si="8"/>
        <v>28730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Pin sylvestre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2088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22</v>
      </c>
      <c r="B147" s="175">
        <f>'Données projet'!D140</f>
        <v>57.423076923076927</v>
      </c>
      <c r="C147" s="191">
        <v>7</v>
      </c>
      <c r="D147" s="182">
        <f>B147*C147</f>
        <v>401.96153846153851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29</v>
      </c>
      <c r="B148" s="175">
        <f>'Données projet'!D141</f>
        <v>31.753846153846155</v>
      </c>
      <c r="C148" s="191">
        <v>10</v>
      </c>
      <c r="D148" s="182">
        <f t="shared" ref="D148:D166" si="10">B148*C148</f>
        <v>317.53846153846155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36</v>
      </c>
      <c r="B149" s="175">
        <f>'Données projet'!D142</f>
        <v>40.184615384615384</v>
      </c>
      <c r="C149" s="191">
        <v>12</v>
      </c>
      <c r="D149" s="182">
        <f t="shared" si="10"/>
        <v>482.21538461538461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44</v>
      </c>
      <c r="B150" s="175">
        <f>'Données projet'!D143</f>
        <v>39.492307692307691</v>
      </c>
      <c r="C150" s="191">
        <v>15</v>
      </c>
      <c r="D150" s="182">
        <f t="shared" si="10"/>
        <v>592.38461538461536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52</v>
      </c>
      <c r="B151" s="175">
        <f>'Données projet'!D144</f>
        <v>42.030769230769231</v>
      </c>
      <c r="C151" s="191">
        <v>20</v>
      </c>
      <c r="D151" s="182">
        <f t="shared" si="10"/>
        <v>840.61538461538464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60</v>
      </c>
      <c r="B152" s="175">
        <f>'Données projet'!D145</f>
        <v>37.138461538461542</v>
      </c>
      <c r="C152" s="191">
        <v>25</v>
      </c>
      <c r="D152" s="182">
        <f t="shared" si="10"/>
        <v>928.46153846153857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70</v>
      </c>
      <c r="B153" s="175">
        <f>'Données projet'!D146</f>
        <v>44.123076923076923</v>
      </c>
      <c r="C153" s="191">
        <v>30</v>
      </c>
      <c r="D153" s="182">
        <f t="shared" si="10"/>
        <v>1323.6923076923076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80</v>
      </c>
      <c r="B154" s="175">
        <f>'Données projet'!D147</f>
        <v>34.915384615384617</v>
      </c>
      <c r="C154" s="191">
        <v>35</v>
      </c>
      <c r="D154" s="182">
        <f t="shared" si="10"/>
        <v>1222.0384615384617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90</v>
      </c>
      <c r="B155" s="175">
        <f>'Données projet'!D148</f>
        <v>35.161538461538463</v>
      </c>
      <c r="C155" s="191">
        <v>40</v>
      </c>
      <c r="D155" s="182">
        <f t="shared" si="10"/>
        <v>1406.4615384615386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100</v>
      </c>
      <c r="B156" s="175">
        <f>'Données projet'!D149</f>
        <v>190.88461538461539</v>
      </c>
      <c r="C156" s="191">
        <v>55</v>
      </c>
      <c r="D156" s="182">
        <f t="shared" si="10"/>
        <v>10498.653846153846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103</v>
      </c>
      <c r="B157" s="175">
        <f>'Données projet'!D150</f>
        <v>138.55384615384617</v>
      </c>
      <c r="C157" s="191">
        <v>70</v>
      </c>
      <c r="D157" s="182">
        <f t="shared" si="10"/>
        <v>9698.7692307692323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>Pin laricio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v>3758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15</v>
      </c>
      <c r="B178" s="181">
        <f>'Données projet'!D166</f>
        <v>0</v>
      </c>
      <c r="C178" s="193">
        <v>0</v>
      </c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22</v>
      </c>
      <c r="B179" s="181">
        <f>'Données projet'!D167</f>
        <v>52.746153846153838</v>
      </c>
      <c r="C179" s="193">
        <v>10</v>
      </c>
      <c r="D179" s="179">
        <f t="shared" ref="D179:D197" si="11">B179*C179</f>
        <v>527.46153846153834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27</v>
      </c>
      <c r="B180" s="181">
        <f>'Données projet'!D168</f>
        <v>34.646153846153844</v>
      </c>
      <c r="C180" s="193">
        <v>20</v>
      </c>
      <c r="D180" s="179">
        <f t="shared" si="11"/>
        <v>692.92307692307691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33</v>
      </c>
      <c r="B181" s="181">
        <f>'Données projet'!D169</f>
        <v>43.007692307692302</v>
      </c>
      <c r="C181" s="193">
        <v>25</v>
      </c>
      <c r="D181" s="179">
        <f t="shared" si="11"/>
        <v>1075.1923076923076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41</v>
      </c>
      <c r="B182" s="181">
        <f>'Données projet'!D170</f>
        <v>58.484615384615381</v>
      </c>
      <c r="C182" s="193">
        <v>30</v>
      </c>
      <c r="D182" s="179">
        <f t="shared" si="11"/>
        <v>1754.5384615384614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50</v>
      </c>
      <c r="B183" s="181">
        <f>'Données projet'!D171</f>
        <v>55.292307692307688</v>
      </c>
      <c r="C183" s="193">
        <v>35</v>
      </c>
      <c r="D183" s="179">
        <f t="shared" si="11"/>
        <v>1935.2307692307691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60</v>
      </c>
      <c r="B184" s="181">
        <f>'Données projet'!D172</f>
        <v>54.261538461538464</v>
      </c>
      <c r="C184" s="193">
        <v>40</v>
      </c>
      <c r="D184" s="179">
        <f t="shared" si="11"/>
        <v>2170.4615384615386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70</v>
      </c>
      <c r="B185" s="181">
        <f>'Données projet'!D173</f>
        <v>52.669230769230765</v>
      </c>
      <c r="C185" s="193">
        <v>50</v>
      </c>
      <c r="D185" s="179">
        <f t="shared" si="11"/>
        <v>2633.4615384615381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80</v>
      </c>
      <c r="B186" s="181">
        <f>'Données projet'!D174</f>
        <v>402.90769230769229</v>
      </c>
      <c r="C186" s="193">
        <v>60</v>
      </c>
      <c r="D186" s="179">
        <f t="shared" si="11"/>
        <v>24174.461538461539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>Séquoia toujours vert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v>4259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17</v>
      </c>
      <c r="B209" s="181">
        <f>'Données projet'!D192</f>
        <v>0</v>
      </c>
      <c r="C209" s="193">
        <v>0</v>
      </c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18</v>
      </c>
      <c r="B210" s="181">
        <f>'Données projet'!D193</f>
        <v>69.284615384615378</v>
      </c>
      <c r="C210" s="193">
        <v>20</v>
      </c>
      <c r="D210" s="179">
        <f t="shared" ref="D210:D228" si="12">B210*C210</f>
        <v>1385.6923076923076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24</v>
      </c>
      <c r="B211" s="181">
        <f>'Données projet'!D194</f>
        <v>42.661538461538463</v>
      </c>
      <c r="C211" s="193">
        <v>25</v>
      </c>
      <c r="D211" s="179">
        <f t="shared" si="12"/>
        <v>1066.5384615384617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30</v>
      </c>
      <c r="B212" s="181">
        <f>'Données projet'!D195</f>
        <v>65.669230769230765</v>
      </c>
      <c r="C212" s="193">
        <v>30</v>
      </c>
      <c r="D212" s="179">
        <f t="shared" si="12"/>
        <v>1970.0769230769229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36</v>
      </c>
      <c r="B213" s="181">
        <f>'Données projet'!D196</f>
        <v>69.3</v>
      </c>
      <c r="C213" s="193">
        <v>45</v>
      </c>
      <c r="D213" s="179">
        <f t="shared" si="12"/>
        <v>3118.5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42</v>
      </c>
      <c r="B214" s="181">
        <f>'Données projet'!D197</f>
        <v>73.392307692307682</v>
      </c>
      <c r="C214" s="193">
        <v>60</v>
      </c>
      <c r="D214" s="179">
        <f t="shared" si="12"/>
        <v>4403.538461538461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48</v>
      </c>
      <c r="B215" s="181">
        <f>'Données projet'!D198</f>
        <v>81.330769230769235</v>
      </c>
      <c r="C215" s="193">
        <v>70</v>
      </c>
      <c r="D215" s="179">
        <f t="shared" si="12"/>
        <v>5693.1538461538466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54</v>
      </c>
      <c r="B216" s="181">
        <f>'Données projet'!D199</f>
        <v>566.79999999999995</v>
      </c>
      <c r="C216" s="193">
        <v>80</v>
      </c>
      <c r="D216" s="179">
        <f t="shared" si="12"/>
        <v>45344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>Alisier torminal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>
        <v>3758</v>
      </c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20</v>
      </c>
      <c r="B240" s="181">
        <f>'Données projet'!D218</f>
        <v>0</v>
      </c>
      <c r="C240" s="193">
        <v>0</v>
      </c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30</v>
      </c>
      <c r="B241" s="181">
        <f>'Données projet'!D219</f>
        <v>9</v>
      </c>
      <c r="C241" s="193">
        <v>10</v>
      </c>
      <c r="D241" s="179">
        <f t="shared" ref="D241:D259" si="13">B241*C241</f>
        <v>90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40</v>
      </c>
      <c r="B242" s="181">
        <f>'Données projet'!D220</f>
        <v>17</v>
      </c>
      <c r="C242" s="193">
        <v>20</v>
      </c>
      <c r="D242" s="179">
        <f t="shared" si="13"/>
        <v>340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50</v>
      </c>
      <c r="B243" s="181">
        <f>'Données projet'!D221</f>
        <v>18</v>
      </c>
      <c r="C243" s="193">
        <v>30</v>
      </c>
      <c r="D243" s="179">
        <f t="shared" si="13"/>
        <v>540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60</v>
      </c>
      <c r="B244" s="181">
        <f>'Données projet'!D222</f>
        <v>20</v>
      </c>
      <c r="C244" s="193">
        <v>40</v>
      </c>
      <c r="D244" s="179">
        <f t="shared" si="13"/>
        <v>800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70</v>
      </c>
      <c r="B245" s="181">
        <f>'Données projet'!D223</f>
        <v>20</v>
      </c>
      <c r="C245" s="193">
        <v>60</v>
      </c>
      <c r="D245" s="179">
        <f t="shared" si="13"/>
        <v>1200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80</v>
      </c>
      <c r="B246" s="181">
        <f>'Données projet'!D224</f>
        <v>19</v>
      </c>
      <c r="C246" s="193">
        <v>90</v>
      </c>
      <c r="D246" s="179">
        <f t="shared" si="13"/>
        <v>1710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90</v>
      </c>
      <c r="B247" s="181">
        <f>'Données projet'!D225</f>
        <v>18</v>
      </c>
      <c r="C247" s="193">
        <v>120</v>
      </c>
      <c r="D247" s="179">
        <f t="shared" si="13"/>
        <v>2160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100</v>
      </c>
      <c r="B248" s="181">
        <f>'Données projet'!D226</f>
        <v>18</v>
      </c>
      <c r="C248" s="193">
        <v>150</v>
      </c>
      <c r="D248" s="179">
        <f t="shared" si="13"/>
        <v>2700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110</v>
      </c>
      <c r="B249" s="181">
        <f>'Données projet'!D227</f>
        <v>19</v>
      </c>
      <c r="C249" s="193">
        <v>190</v>
      </c>
      <c r="D249" s="179">
        <f t="shared" si="13"/>
        <v>3610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120</v>
      </c>
      <c r="B250" s="181">
        <f>'Données projet'!D228</f>
        <v>20</v>
      </c>
      <c r="C250" s="193">
        <v>250</v>
      </c>
      <c r="D250" s="179">
        <f t="shared" si="13"/>
        <v>5000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>Tilleul</v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20</v>
      </c>
      <c r="B271" s="181">
        <f>'Données projet'!D244</f>
        <v>18</v>
      </c>
      <c r="C271" s="193">
        <v>0</v>
      </c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30</v>
      </c>
      <c r="B272" s="181">
        <f>'Données projet'!D245</f>
        <v>39</v>
      </c>
      <c r="C272" s="193">
        <v>10</v>
      </c>
      <c r="D272" s="179">
        <f t="shared" ref="D272:D290" si="14">B272*C272</f>
        <v>390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40</v>
      </c>
      <c r="B273" s="181">
        <f>'Données projet'!D246</f>
        <v>48</v>
      </c>
      <c r="C273" s="193">
        <v>15</v>
      </c>
      <c r="D273" s="179">
        <f t="shared" si="14"/>
        <v>720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50</v>
      </c>
      <c r="B274" s="181">
        <f>'Données projet'!D247</f>
        <v>53</v>
      </c>
      <c r="C274" s="193">
        <v>20</v>
      </c>
      <c r="D274" s="179">
        <f t="shared" si="14"/>
        <v>1060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60</v>
      </c>
      <c r="B275" s="181">
        <f>'Données projet'!D248</f>
        <v>54</v>
      </c>
      <c r="C275" s="193">
        <v>25</v>
      </c>
      <c r="D275" s="179">
        <f t="shared" si="14"/>
        <v>1350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70</v>
      </c>
      <c r="B276" s="181">
        <f>'Données projet'!D249</f>
        <v>53</v>
      </c>
      <c r="C276" s="193">
        <v>30</v>
      </c>
      <c r="D276" s="179">
        <f t="shared" si="14"/>
        <v>1590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80</v>
      </c>
      <c r="B277" s="181">
        <f>'Données projet'!D250</f>
        <v>51</v>
      </c>
      <c r="C277" s="193">
        <v>35</v>
      </c>
      <c r="D277" s="179">
        <f t="shared" si="14"/>
        <v>1785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90</v>
      </c>
      <c r="B278" s="181">
        <f>'Données projet'!D251</f>
        <v>47</v>
      </c>
      <c r="C278" s="193">
        <v>40</v>
      </c>
      <c r="D278" s="179">
        <f t="shared" si="14"/>
        <v>1880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100</v>
      </c>
      <c r="B279" s="181">
        <f>'Données projet'!D252</f>
        <v>43</v>
      </c>
      <c r="C279" s="193">
        <v>45</v>
      </c>
      <c r="D279" s="179">
        <f t="shared" si="14"/>
        <v>1935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110</v>
      </c>
      <c r="B280" s="181">
        <f>'Données projet'!D253</f>
        <v>40</v>
      </c>
      <c r="C280" s="193">
        <v>50</v>
      </c>
      <c r="D280" s="179">
        <f t="shared" si="14"/>
        <v>2000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120</v>
      </c>
      <c r="B281" s="181">
        <f>'Données projet'!D254</f>
        <v>37</v>
      </c>
      <c r="C281" s="193">
        <v>55</v>
      </c>
      <c r="D281" s="179">
        <f t="shared" si="14"/>
        <v>2035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Francois LEGRON</cp:lastModifiedBy>
  <dcterms:created xsi:type="dcterms:W3CDTF">2021-02-01T08:22:39Z</dcterms:created>
  <dcterms:modified xsi:type="dcterms:W3CDTF">2026-05-27T08:34:47Z</dcterms:modified>
</cp:coreProperties>
</file>