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5\PERRIERE\"/>
    </mc:Choice>
  </mc:AlternateContent>
  <xr:revisionPtr revIDLastSave="0" documentId="13_ncr:1_{ED5EDFE0-11CC-4A2A-8AE3-95E5C2F6971A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1" i="1" l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D114" i="1"/>
  <c r="B114" i="1"/>
  <c r="B95" i="1"/>
  <c r="D95" i="1" s="1"/>
  <c r="D94" i="1"/>
  <c r="D93" i="1"/>
  <c r="D92" i="1"/>
  <c r="D91" i="1"/>
  <c r="D90" i="1"/>
  <c r="D89" i="1"/>
  <c r="B69" i="1"/>
  <c r="D69" i="1" s="1"/>
  <c r="D68" i="1"/>
  <c r="D67" i="1"/>
  <c r="D66" i="1"/>
  <c r="D65" i="1"/>
  <c r="D64" i="1"/>
  <c r="D63" i="1"/>
  <c r="D62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<sst xmlns="http://schemas.openxmlformats.org/spreadsheetml/2006/main" count="1173" uniqueCount="324">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</sst>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1.9371373631158919</c:v>
                </c:pt>
                <c:pt idx="2">
                  <c:v>2.582043612011879</c:v>
                </c:pt>
                <c:pt idx="3">
                  <c:v>3.4425466249226413</c:v>
                </c:pt>
                <c:pt idx="4">
                  <c:v>4.591004491739012</c:v>
                </c:pt>
                <c:pt idx="5">
                  <c:v>6.124148648935722</c:v>
                </c:pt>
                <c:pt idx="6">
                  <c:v>8.1713216117174081</c:v>
                </c:pt>
                <c:pt idx="7">
                  <c:v>10.905507543402789</c:v>
                </c:pt>
                <c:pt idx="8">
                  <c:v>14.558105199493902</c:v>
                </c:pt>
                <c:pt idx="9">
                  <c:v>19.438716447552824</c:v>
                </c:pt>
                <c:pt idx="10">
                  <c:v>25.96165780940046</c:v>
                </c:pt>
                <c:pt idx="11">
                  <c:v>34.681485159077681</c:v>
                </c:pt>
                <c:pt idx="12">
                  <c:v>46.340603684565174</c:v>
                </c:pt>
                <c:pt idx="13">
                  <c:v>61.933084777661577</c:v>
                </c:pt>
                <c:pt idx="14">
                  <c:v>82.790220394132618</c:v>
                </c:pt>
                <c:pt idx="15">
                  <c:v>110.69523687133828</c:v>
                </c:pt>
                <c:pt idx="16">
                  <c:v>148.03712979275406</c:v>
                </c:pt>
                <c:pt idx="17">
                  <c:v>198.01699175113845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2.0745631571652896</c:v>
                </c:pt>
                <c:pt idx="2">
                  <c:v>3.0297422110396059</c:v>
                </c:pt>
                <c:pt idx="3">
                  <c:v>4.426694796399576</c:v>
                </c:pt>
                <c:pt idx="4">
                  <c:v>6.4706057550725733</c:v>
                </c:pt>
                <c:pt idx="5">
                  <c:v>9.462332887170275</c:v>
                </c:pt>
                <c:pt idx="6">
                  <c:v>13.843177914710504</c:v>
                </c:pt>
                <c:pt idx="7">
                  <c:v>20.260677428574223</c:v>
                </c:pt>
                <c:pt idx="8">
                  <c:v>29.665312227503268</c:v>
                </c:pt>
                <c:pt idx="9">
                  <c:v>43.452707245633206</c:v>
                </c:pt>
                <c:pt idx="10">
                  <c:v>63.672780247520365</c:v>
                </c:pt>
                <c:pt idx="11">
                  <c:v>74.211914277304729</c:v>
                </c:pt>
                <c:pt idx="12">
                  <c:v>94.339696661064423</c:v>
                </c:pt>
                <c:pt idx="13">
                  <c:v>114.35988002843902</c:v>
                </c:pt>
                <c:pt idx="14">
                  <c:v>134.29404570864804</c:v>
                </c:pt>
                <c:pt idx="15">
                  <c:v>154.15679349366337</c:v>
                </c:pt>
                <c:pt idx="16">
                  <c:v>173.95863427802908</c:v>
                </c:pt>
                <c:pt idx="17">
                  <c:v>193.70748241961215</c:v>
                </c:pt>
                <c:pt idx="18">
                  <c:v>213.40950296894428</c:v>
                </c:pt>
                <c:pt idx="19">
                  <c:v>233.06962789410557</c:v>
                </c:pt>
                <c:pt idx="20">
                  <c:v>252.69188827494611</c:v>
                </c:pt>
                <c:pt idx="21">
                  <c:v>158.90496348262437</c:v>
                </c:pt>
                <c:pt idx="22">
                  <c:v>180.82317750350458</c:v>
                </c:pt>
                <c:pt idx="23">
                  <c:v>202.67915683996458</c:v>
                </c:pt>
                <c:pt idx="24">
                  <c:v>224.48055915021379</c:v>
                </c:pt>
                <c:pt idx="25">
                  <c:v>246.23343069700653</c:v>
                </c:pt>
                <c:pt idx="26">
                  <c:v>267.942661077026</c:v>
                </c:pt>
                <c:pt idx="27">
                  <c:v>289.61228235764639</c:v>
                </c:pt>
                <c:pt idx="28">
                  <c:v>311.24567377041313</c:v>
                </c:pt>
                <c:pt idx="29">
                  <c:v>332.84570640959026</c:v>
                </c:pt>
                <c:pt idx="30">
                  <c:v>354.41484835314122</c:v>
                </c:pt>
                <c:pt idx="31">
                  <c:v>258.20796683564902</c:v>
                </c:pt>
                <c:pt idx="32">
                  <c:v>276.61506059958816</c:v>
                </c:pt>
                <c:pt idx="33">
                  <c:v>294.99466081803865</c:v>
                </c:pt>
                <c:pt idx="34">
                  <c:v>313.34872108947019</c:v>
                </c:pt>
                <c:pt idx="35">
                  <c:v>331.67894746173437</c:v>
                </c:pt>
                <c:pt idx="36">
                  <c:v>349.98684203459584</c:v>
                </c:pt>
                <c:pt idx="37">
                  <c:v>368.27373695629672</c:v>
                </c:pt>
                <c:pt idx="38">
                  <c:v>386.54082131190904</c:v>
                </c:pt>
                <c:pt idx="39">
                  <c:v>404.78916266210507</c:v>
                </c:pt>
                <c:pt idx="40">
                  <c:v>423.01972449465916</c:v>
                </c:pt>
                <c:pt idx="41">
                  <c:v>331.21221855116193</c:v>
                </c:pt>
                <c:pt idx="42">
                  <c:v>346.49017993514076</c:v>
                </c:pt>
                <c:pt idx="43">
                  <c:v>361.7533546354652</c:v>
                </c:pt>
                <c:pt idx="44">
                  <c:v>377.00245431440914</c:v>
                </c:pt>
                <c:pt idx="45">
                  <c:v>392.2381283696534</c:v>
                </c:pt>
                <c:pt idx="46">
                  <c:v>407.46097163939231</c:v>
                </c:pt>
                <c:pt idx="47">
                  <c:v>422.67153089581711</c:v>
                </c:pt>
                <c:pt idx="48">
                  <c:v>437.87031035511899</c:v>
                </c:pt>
                <c:pt idx="49">
                  <c:v>453.05777638262111</c:v>
                </c:pt>
                <c:pt idx="50">
                  <c:v>468.23436153418692</c:v>
                </c:pt>
                <c:pt idx="51">
                  <c:v>394.33056437804663</c:v>
                </c:pt>
                <c:pt idx="52">
                  <c:v>407.46097163939248</c:v>
                </c:pt>
                <c:pt idx="53">
                  <c:v>420.5822393983571</c:v>
                </c:pt>
                <c:pt idx="54">
                  <c:v>433.69469295434129</c:v>
                </c:pt>
                <c:pt idx="55">
                  <c:v>446.79863633235749</c:v>
                </c:pt>
                <c:pt idx="56">
                  <c:v>459.89435427063654</c:v>
                </c:pt>
                <c:pt idx="57">
                  <c:v>472.98211397005889</c:v>
                </c:pt>
                <c:pt idx="58">
                  <c:v>486.06216663988494</c:v>
                </c:pt>
                <c:pt idx="59">
                  <c:v>499.13474886845819</c:v>
                </c:pt>
                <c:pt idx="60">
                  <c:v>512.20008384285632</c:v>
                </c:pt>
                <c:pt idx="61">
                  <c:v>445.98712945328037</c:v>
                </c:pt>
                <c:pt idx="62">
                  <c:v>457.3453774458365</c:v>
                </c:pt>
                <c:pt idx="63">
                  <c:v>468.69760187850301</c:v>
                </c:pt>
                <c:pt idx="64">
                  <c:v>480.04396921749617</c:v>
                </c:pt>
                <c:pt idx="65">
                  <c:v>491.38463741771352</c:v>
                </c:pt>
                <c:pt idx="66">
                  <c:v>502.71975654847256</c:v>
                </c:pt>
                <c:pt idx="67">
                  <c:v>514.04946935988221</c:v>
                </c:pt>
                <c:pt idx="68">
                  <c:v>525.37391179668555</c:v>
                </c:pt>
                <c:pt idx="69">
                  <c:v>536.69321346550237</c:v>
                </c:pt>
                <c:pt idx="70">
                  <c:v>548.00749806060537</c:v>
                </c:pt>
                <c:pt idx="71">
                  <c:v>485.13639362991449</c:v>
                </c:pt>
                <c:pt idx="72">
                  <c:v>495.08650386656171</c:v>
                </c:pt>
                <c:pt idx="73">
                  <c:v>505.03237738917477</c:v>
                </c:pt>
                <c:pt idx="74">
                  <c:v>514.974109405685</c:v>
                </c:pt>
                <c:pt idx="75">
                  <c:v>524.91179114784131</c:v>
                </c:pt>
                <c:pt idx="76">
                  <c:v>534.84551011101053</c:v>
                </c:pt>
                <c:pt idx="77">
                  <c:v>544.77535027524038</c:v>
                </c:pt>
                <c:pt idx="78">
                  <c:v>554.70139230936479</c:v>
                </c:pt>
                <c:pt idx="79">
                  <c:v>564.62371375974271</c:v>
                </c:pt>
                <c:pt idx="80">
                  <c:v>574.54238922504044</c:v>
                </c:pt>
                <c:pt idx="81">
                  <c:v>7.6581912194083782E-12</c:v>
                </c:pt>
                <c:pt idx="82">
                  <c:v>7.6581912194083782E-12</c:v>
                </c:pt>
                <c:pt idx="83">
                  <c:v>7.6581912194083782E-12</c:v>
                </c:pt>
                <c:pt idx="84">
                  <c:v>7.6581912194083782E-12</c:v>
                </c:pt>
                <c:pt idx="85">
                  <c:v>7.6581912194083782E-12</c:v>
                </c:pt>
                <c:pt idx="86">
                  <c:v>7.6581912194083782E-12</c:v>
                </c:pt>
                <c:pt idx="87">
                  <c:v>7.6581912194083782E-12</c:v>
                </c:pt>
                <c:pt idx="88">
                  <c:v>7.6581912194083782E-12</c:v>
                </c:pt>
                <c:pt idx="89">
                  <c:v>7.6581912194083782E-12</c:v>
                </c:pt>
                <c:pt idx="90">
                  <c:v>7.6581912194083782E-12</c:v>
                </c:pt>
                <c:pt idx="91">
                  <c:v>7.6581912194083782E-12</c:v>
                </c:pt>
                <c:pt idx="92">
                  <c:v>7.6581912194083782E-12</c:v>
                </c:pt>
                <c:pt idx="93">
                  <c:v>7.6581912194083782E-12</c:v>
                </c:pt>
                <c:pt idx="94">
                  <c:v>7.6581912194083782E-12</c:v>
                </c:pt>
                <c:pt idx="95">
                  <c:v>7.6581912194083782E-12</c:v>
                </c:pt>
                <c:pt idx="96">
                  <c:v>7.6581912194083782E-12</c:v>
                </c:pt>
                <c:pt idx="97">
                  <c:v>7.6581912194083782E-12</c:v>
                </c:pt>
                <c:pt idx="98">
                  <c:v>7.6581912194083782E-12</c:v>
                </c:pt>
                <c:pt idx="99">
                  <c:v>7.6581912194083782E-12</c:v>
                </c:pt>
                <c:pt idx="100">
                  <c:v>7.6581912194083782E-12</c:v>
                </c:pt>
                <c:pt idx="101">
                  <c:v>7.6581912194083782E-12</c:v>
                </c:pt>
                <c:pt idx="102">
                  <c:v>7.6581912194083782E-12</c:v>
                </c:pt>
                <c:pt idx="103">
                  <c:v>7.6581912194083782E-12</c:v>
                </c:pt>
                <c:pt idx="104">
                  <c:v>7.6581912194083782E-12</c:v>
                </c:pt>
                <c:pt idx="105">
                  <c:v>7.6581912194083782E-12</c:v>
                </c:pt>
                <c:pt idx="106">
                  <c:v>7.6581912194083782E-12</c:v>
                </c:pt>
                <c:pt idx="107">
                  <c:v>7.6581912194083782E-12</c:v>
                </c:pt>
                <c:pt idx="108">
                  <c:v>7.6581912194083782E-12</c:v>
                </c:pt>
                <c:pt idx="109">
                  <c:v>7.6581912194083782E-12</c:v>
                </c:pt>
                <c:pt idx="110">
                  <c:v>7.6581912194083782E-12</c:v>
                </c:pt>
                <c:pt idx="111">
                  <c:v>7.6581912194083782E-12</c:v>
                </c:pt>
                <c:pt idx="112">
                  <c:v>7.6581912194083782E-12</c:v>
                </c:pt>
                <c:pt idx="113">
                  <c:v>7.6581912194083782E-12</c:v>
                </c:pt>
                <c:pt idx="114">
                  <c:v>7.6581912194083782E-12</c:v>
                </c:pt>
                <c:pt idx="115">
                  <c:v>7.6581912194083782E-12</c:v>
                </c:pt>
                <c:pt idx="116">
                  <c:v>7.6581912194083782E-12</c:v>
                </c:pt>
                <c:pt idx="117">
                  <c:v>7.6581912194083782E-12</c:v>
                </c:pt>
                <c:pt idx="118">
                  <c:v>7.6581912194083782E-12</c:v>
                </c:pt>
                <c:pt idx="119">
                  <c:v>7.6581912194083782E-12</c:v>
                </c:pt>
                <c:pt idx="120">
                  <c:v>7.6581912194083782E-12</c:v>
                </c:pt>
                <c:pt idx="121">
                  <c:v>7.6581912194083782E-12</c:v>
                </c:pt>
                <c:pt idx="122">
                  <c:v>7.6581912194083782E-12</c:v>
                </c:pt>
                <c:pt idx="123">
                  <c:v>7.6581912194083782E-12</c:v>
                </c:pt>
                <c:pt idx="124">
                  <c:v>7.6581912194083782E-12</c:v>
                </c:pt>
                <c:pt idx="125">
                  <c:v>7.6581912194083782E-12</c:v>
                </c:pt>
                <c:pt idx="126">
                  <c:v>7.6581912194083782E-12</c:v>
                </c:pt>
                <c:pt idx="127">
                  <c:v>7.6581912194083782E-12</c:v>
                </c:pt>
                <c:pt idx="128">
                  <c:v>7.6581912194083782E-12</c:v>
                </c:pt>
                <c:pt idx="129">
                  <c:v>7.6581912194083782E-12</c:v>
                </c:pt>
                <c:pt idx="130">
                  <c:v>7.6581912194083782E-12</c:v>
                </c:pt>
                <c:pt idx="131">
                  <c:v>7.6581912194083782E-12</c:v>
                </c:pt>
                <c:pt idx="132">
                  <c:v>7.6581912194083782E-12</c:v>
                </c:pt>
                <c:pt idx="133">
                  <c:v>7.6581912194083782E-12</c:v>
                </c:pt>
                <c:pt idx="134">
                  <c:v>7.6581912194083782E-12</c:v>
                </c:pt>
                <c:pt idx="135">
                  <c:v>7.6581912194083782E-12</c:v>
                </c:pt>
                <c:pt idx="136">
                  <c:v>7.6581912194083782E-12</c:v>
                </c:pt>
                <c:pt idx="137">
                  <c:v>7.6581912194083782E-12</c:v>
                </c:pt>
                <c:pt idx="138">
                  <c:v>7.6581912194083782E-12</c:v>
                </c:pt>
                <c:pt idx="139">
                  <c:v>7.6581912194083782E-12</c:v>
                </c:pt>
                <c:pt idx="140">
                  <c:v>7.6581912194083782E-12</c:v>
                </c:pt>
                <c:pt idx="141">
                  <c:v>7.6581912194083782E-12</c:v>
                </c:pt>
                <c:pt idx="142">
                  <c:v>7.6581912194083782E-12</c:v>
                </c:pt>
                <c:pt idx="143">
                  <c:v>7.6581912194083782E-12</c:v>
                </c:pt>
                <c:pt idx="144">
                  <c:v>7.6581912194083782E-12</c:v>
                </c:pt>
                <c:pt idx="145">
                  <c:v>7.6581912194083782E-12</c:v>
                </c:pt>
                <c:pt idx="146">
                  <c:v>7.6581912194083782E-12</c:v>
                </c:pt>
                <c:pt idx="147">
                  <c:v>7.6581912194083782E-12</c:v>
                </c:pt>
                <c:pt idx="148">
                  <c:v>7.6581912194083782E-12</c:v>
                </c:pt>
                <c:pt idx="149">
                  <c:v>7.6581912194083782E-12</c:v>
                </c:pt>
                <c:pt idx="150">
                  <c:v>7.6581912194083782E-12</c:v>
                </c:pt>
                <c:pt idx="151">
                  <c:v>7.6581912194083782E-12</c:v>
                </c:pt>
                <c:pt idx="152">
                  <c:v>7.6581912194083782E-12</c:v>
                </c:pt>
                <c:pt idx="153">
                  <c:v>7.6581912194083782E-12</c:v>
                </c:pt>
                <c:pt idx="154">
                  <c:v>7.6581912194083782E-12</c:v>
                </c:pt>
                <c:pt idx="155">
                  <c:v>7.6581912194083782E-12</c:v>
                </c:pt>
                <c:pt idx="156">
                  <c:v>7.6581912194083782E-12</c:v>
                </c:pt>
                <c:pt idx="157">
                  <c:v>7.6581912194083782E-12</c:v>
                </c:pt>
                <c:pt idx="158">
                  <c:v>7.6581912194083782E-12</c:v>
                </c:pt>
                <c:pt idx="159">
                  <c:v>7.6581912194083782E-12</c:v>
                </c:pt>
                <c:pt idx="160">
                  <c:v>7.6581912194083782E-12</c:v>
                </c:pt>
                <c:pt idx="161">
                  <c:v>7.6581912194083782E-12</c:v>
                </c:pt>
                <c:pt idx="162">
                  <c:v>7.6581912194083782E-12</c:v>
                </c:pt>
                <c:pt idx="163">
                  <c:v>7.6581912194083782E-12</c:v>
                </c:pt>
                <c:pt idx="164">
                  <c:v>7.6581912194083782E-12</c:v>
                </c:pt>
                <c:pt idx="165">
                  <c:v>7.6581912194083782E-12</c:v>
                </c:pt>
                <c:pt idx="166">
                  <c:v>7.6581912194083782E-12</c:v>
                </c:pt>
                <c:pt idx="167">
                  <c:v>7.6581912194083782E-12</c:v>
                </c:pt>
                <c:pt idx="168">
                  <c:v>7.6581912194083782E-12</c:v>
                </c:pt>
                <c:pt idx="169">
                  <c:v>7.6581912194083782E-12</c:v>
                </c:pt>
                <c:pt idx="170">
                  <c:v>7.6581912194083782E-12</c:v>
                </c:pt>
                <c:pt idx="171">
                  <c:v>7.6581912194083782E-12</c:v>
                </c:pt>
                <c:pt idx="172">
                  <c:v>7.6581912194083782E-12</c:v>
                </c:pt>
                <c:pt idx="173">
                  <c:v>7.6581912194083782E-12</c:v>
                </c:pt>
                <c:pt idx="174">
                  <c:v>7.6581912194083782E-12</c:v>
                </c:pt>
                <c:pt idx="175">
                  <c:v>7.6581912194083782E-12</c:v>
                </c:pt>
                <c:pt idx="176">
                  <c:v>7.6581912194083782E-12</c:v>
                </c:pt>
                <c:pt idx="177">
                  <c:v>7.6581912194083782E-12</c:v>
                </c:pt>
                <c:pt idx="178">
                  <c:v>7.6581912194083782E-12</c:v>
                </c:pt>
                <c:pt idx="179">
                  <c:v>7.6581912194083782E-12</c:v>
                </c:pt>
                <c:pt idx="180">
                  <c:v>7.6581912194083782E-12</c:v>
                </c:pt>
                <c:pt idx="181">
                  <c:v>7.6581912194083782E-12</c:v>
                </c:pt>
                <c:pt idx="182">
                  <c:v>7.6581912194083782E-12</c:v>
                </c:pt>
                <c:pt idx="183">
                  <c:v>7.6581912194083782E-12</c:v>
                </c:pt>
                <c:pt idx="184">
                  <c:v>7.6581912194083782E-12</c:v>
                </c:pt>
                <c:pt idx="185">
                  <c:v>7.6581912194083782E-12</c:v>
                </c:pt>
                <c:pt idx="186">
                  <c:v>7.6581912194083782E-12</c:v>
                </c:pt>
                <c:pt idx="187">
                  <c:v>7.6581912194083782E-12</c:v>
                </c:pt>
                <c:pt idx="188">
                  <c:v>7.6581912194083782E-12</c:v>
                </c:pt>
                <c:pt idx="189">
                  <c:v>7.6581912194083782E-12</c:v>
                </c:pt>
                <c:pt idx="190">
                  <c:v>7.6581912194083782E-12</c:v>
                </c:pt>
                <c:pt idx="191">
                  <c:v>7.6581912194083782E-12</c:v>
                </c:pt>
                <c:pt idx="192">
                  <c:v>7.6581912194083782E-12</c:v>
                </c:pt>
                <c:pt idx="193">
                  <c:v>7.6581912194083782E-12</c:v>
                </c:pt>
                <c:pt idx="194">
                  <c:v>7.6581912194083782E-12</c:v>
                </c:pt>
                <c:pt idx="195">
                  <c:v>7.6581912194083782E-12</c:v>
                </c:pt>
                <c:pt idx="196">
                  <c:v>7.6581912194083782E-12</c:v>
                </c:pt>
                <c:pt idx="197">
                  <c:v>7.6581912194083782E-12</c:v>
                </c:pt>
                <c:pt idx="198">
                  <c:v>7.6581912194083782E-12</c:v>
                </c:pt>
                <c:pt idx="199">
                  <c:v>7.6581912194083782E-12</c:v>
                </c:pt>
                <c:pt idx="200">
                  <c:v>7.6581912194083782E-12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62.580068182725313</c:v>
                </c:pt>
                <c:pt idx="12">
                  <c:v>79.64780089225961</c:v>
                </c:pt>
                <c:pt idx="13">
                  <c:v>96.622378392606606</c:v>
                </c:pt>
                <c:pt idx="14">
                  <c:v>113.52255899804454</c:v>
                </c:pt>
                <c:pt idx="15">
                  <c:v>130.36101221629727</c:v>
                </c:pt>
                <c:pt idx="16">
                  <c:v>147.14684893940071</c:v>
                </c:pt>
                <c:pt idx="17">
                  <c:v>163.88692361334699</c:v>
                </c:pt>
                <c:pt idx="18">
                  <c:v>180.58657218998459</c:v>
                </c:pt>
                <c:pt idx="19">
                  <c:v>197.25006116701806</c:v>
                </c:pt>
                <c:pt idx="20">
                  <c:v>213.88087624460479</c:v>
                </c:pt>
                <c:pt idx="21">
                  <c:v>137.39083930673908</c:v>
                </c:pt>
                <c:pt idx="22">
                  <c:v>156.88740899092929</c:v>
                </c:pt>
                <c:pt idx="23">
                  <c:v>176.32642399290856</c:v>
                </c:pt>
                <c:pt idx="24">
                  <c:v>195.7151268464269</c:v>
                </c:pt>
                <c:pt idx="25">
                  <c:v>215.0592048597434</c:v>
                </c:pt>
                <c:pt idx="26">
                  <c:v>234.36323716840596</c:v>
                </c:pt>
                <c:pt idx="27">
                  <c:v>253.6309862079039</c:v>
                </c:pt>
                <c:pt idx="28">
                  <c:v>272.86559571589572</c:v>
                </c:pt>
                <c:pt idx="29">
                  <c:v>292.06972985560316</c:v>
                </c:pt>
                <c:pt idx="30">
                  <c:v>311.24567377041313</c:v>
                </c:pt>
                <c:pt idx="31">
                  <c:v>228.952501957349</c:v>
                </c:pt>
                <c:pt idx="32">
                  <c:v>245.17622856574675</c:v>
                </c:pt>
                <c:pt idx="33">
                  <c:v>261.37556913199376</c:v>
                </c:pt>
                <c:pt idx="34">
                  <c:v>277.55224782280595</c:v>
                </c:pt>
                <c:pt idx="35">
                  <c:v>293.70777135039344</c:v>
                </c:pt>
                <c:pt idx="36">
                  <c:v>309.84346710446169</c:v>
                </c:pt>
                <c:pt idx="37">
                  <c:v>325.9605129186765</c:v>
                </c:pt>
                <c:pt idx="38">
                  <c:v>342.0599606381441</c:v>
                </c:pt>
                <c:pt idx="39">
                  <c:v>358.14275501577009</c:v>
                </c:pt>
                <c:pt idx="40">
                  <c:v>374.20974903573421</c:v>
                </c:pt>
                <c:pt idx="41">
                  <c:v>294.2927366781621</c:v>
                </c:pt>
                <c:pt idx="42">
                  <c:v>307.73989261056767</c:v>
                </c:pt>
                <c:pt idx="43">
                  <c:v>321.1739980509787</c:v>
                </c:pt>
                <c:pt idx="44">
                  <c:v>334.59567585759885</c:v>
                </c:pt>
                <c:pt idx="45">
                  <c:v>348.00549483018625</c:v>
                </c:pt>
                <c:pt idx="46">
                  <c:v>361.40397634816759</c:v>
                </c:pt>
                <c:pt idx="47">
                  <c:v>374.79159997264645</c:v>
                </c:pt>
                <c:pt idx="48">
                  <c:v>388.1688082060096</c:v>
                </c:pt>
                <c:pt idx="49">
                  <c:v>401.53601056106123</c:v>
                </c:pt>
                <c:pt idx="50">
                  <c:v>414.89358705996847</c:v>
                </c:pt>
                <c:pt idx="51">
                  <c:v>350.68608221443083</c:v>
                </c:pt>
                <c:pt idx="52">
                  <c:v>362.10272554390031</c:v>
                </c:pt>
                <c:pt idx="53">
                  <c:v>373.51150187973388</c:v>
                </c:pt>
                <c:pt idx="54">
                  <c:v>384.91268544829836</c:v>
                </c:pt>
                <c:pt idx="55">
                  <c:v>396.30653290088247</c:v>
                </c:pt>
                <c:pt idx="56">
                  <c:v>407.6932849237607</c:v>
                </c:pt>
                <c:pt idx="57">
                  <c:v>419.0731676589694</c:v>
                </c:pt>
                <c:pt idx="58">
                  <c:v>430.44639396268781</c:v>
                </c:pt>
                <c:pt idx="59">
                  <c:v>441.81316452367497</c:v>
                </c:pt>
                <c:pt idx="60">
                  <c:v>453.17366886059989</c:v>
                </c:pt>
                <c:pt idx="61">
                  <c:v>398.04985721662001</c:v>
                </c:pt>
                <c:pt idx="62">
                  <c:v>407.92559534757805</c:v>
                </c:pt>
                <c:pt idx="63">
                  <c:v>417.79616934776453</c:v>
                </c:pt>
                <c:pt idx="64">
                  <c:v>427.66171846396509</c:v>
                </c:pt>
                <c:pt idx="65">
                  <c:v>437.52237499233479</c:v>
                </c:pt>
                <c:pt idx="66">
                  <c:v>447.37826477754788</c:v>
                </c:pt>
                <c:pt idx="67">
                  <c:v>457.22950766566288</c:v>
                </c:pt>
                <c:pt idx="68">
                  <c:v>467.07621791591828</c:v>
                </c:pt>
                <c:pt idx="69">
                  <c:v>476.91850457599202</c:v>
                </c:pt>
                <c:pt idx="70">
                  <c:v>486.75647182466588</c:v>
                </c:pt>
                <c:pt idx="71">
                  <c:v>435.08666090841865</c:v>
                </c:pt>
                <c:pt idx="72">
                  <c:v>443.66836388772407</c:v>
                </c:pt>
                <c:pt idx="73">
                  <c:v>452.24651127718994</c:v>
                </c:pt>
                <c:pt idx="74">
                  <c:v>460.82118005626143</c:v>
                </c:pt>
                <c:pt idx="75">
                  <c:v>469.39244410483235</c:v>
                </c:pt>
                <c:pt idx="76">
                  <c:v>477.96037438359508</c:v>
                </c:pt>
                <c:pt idx="77">
                  <c:v>486.52503910078366</c:v>
                </c:pt>
                <c:pt idx="78">
                  <c:v>495.08650386656154</c:v>
                </c:pt>
                <c:pt idx="79">
                  <c:v>503.64483183617295</c:v>
                </c:pt>
                <c:pt idx="80">
                  <c:v>512.20008384285597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6.7012266474292561</c:v>
                </c:pt>
                <c:pt idx="2">
                  <c:v>13.100360091769332</c:v>
                </c:pt>
                <c:pt idx="3">
                  <c:v>19.401932595641792</c:v>
                </c:pt>
                <c:pt idx="4">
                  <c:v>25.643366265817331</c:v>
                </c:pt>
                <c:pt idx="5">
                  <c:v>31.841622027862211</c:v>
                </c:pt>
                <c:pt idx="6">
                  <c:v>38.006375101857856</c:v>
                </c:pt>
                <c:pt idx="7">
                  <c:v>44.143862728092891</c:v>
                </c:pt>
                <c:pt idx="8">
                  <c:v>50.258429390674486</c:v>
                </c:pt>
                <c:pt idx="9">
                  <c:v>56.353268340687663</c:v>
                </c:pt>
                <c:pt idx="10">
                  <c:v>62.430821588422752</c:v>
                </c:pt>
                <c:pt idx="11">
                  <c:v>68.493014479590201</c:v>
                </c:pt>
                <c:pt idx="12">
                  <c:v>74.541402218590207</c:v>
                </c:pt>
                <c:pt idx="13">
                  <c:v>80.577266028370119</c:v>
                </c:pt>
                <c:pt idx="14">
                  <c:v>86.601678823468816</c:v>
                </c:pt>
                <c:pt idx="15">
                  <c:v>92.615551559719918</c:v>
                </c:pt>
                <c:pt idx="16">
                  <c:v>98.619666860582356</c:v>
                </c:pt>
                <c:pt idx="17">
                  <c:v>104.61470399233006</c:v>
                </c:pt>
                <c:pt idx="18">
                  <c:v>110.60125779317569</c:v>
                </c:pt>
                <c:pt idx="19">
                  <c:v>116.57985327532657</c:v>
                </c:pt>
                <c:pt idx="20">
                  <c:v>122.55095706522599</c:v>
                </c:pt>
                <c:pt idx="21">
                  <c:v>128.51498649072371</c:v>
                </c:pt>
                <c:pt idx="22">
                  <c:v>134.47231688831482</c:v>
                </c:pt>
                <c:pt idx="23">
                  <c:v>140.42328754423383</c:v>
                </c:pt>
                <c:pt idx="24">
                  <c:v>146.36820657315965</c:v>
                </c:pt>
                <c:pt idx="25">
                  <c:v>152.30735496089207</c:v>
                </c:pt>
                <c:pt idx="26">
                  <c:v>158.24098994199105</c:v>
                </c:pt>
                <c:pt idx="27">
                  <c:v>164.16934784316467</c:v>
                </c:pt>
                <c:pt idx="28">
                  <c:v>170.09264649357141</c:v>
                </c:pt>
                <c:pt idx="29">
                  <c:v>176.01108728111834</c:v>
                </c:pt>
                <c:pt idx="30">
                  <c:v>181.92485691716328</c:v>
                </c:pt>
                <c:pt idx="31">
                  <c:v>187.83412895931338</c:v>
                </c:pt>
                <c:pt idx="32">
                  <c:v>193.73906513221425</c:v>
                </c:pt>
                <c:pt idx="33">
                  <c:v>199.63981647860271</c:v>
                </c:pt>
                <c:pt idx="34">
                  <c:v>205.53652436691712</c:v>
                </c:pt>
                <c:pt idx="35">
                  <c:v>211.42932137703534</c:v>
                </c:pt>
                <c:pt idx="36">
                  <c:v>217.31833208193919</c:v>
                </c:pt>
                <c:pt idx="37">
                  <c:v>223.20367374008651</c:v>
                </c:pt>
                <c:pt idx="38">
                  <c:v>229.08545691082665</c:v>
                </c:pt>
                <c:pt idx="39">
                  <c:v>234.96378600321347</c:v>
                </c:pt>
                <c:pt idx="40">
                  <c:v>240.8387597669454</c:v>
                </c:pt>
                <c:pt idx="41">
                  <c:v>179.31935321215676</c:v>
                </c:pt>
                <c:pt idx="42">
                  <c:v>191.33757043506856</c:v>
                </c:pt>
                <c:pt idx="43">
                  <c:v>203.33821610742942</c:v>
                </c:pt>
                <c:pt idx="44">
                  <c:v>215.32247405361412</c:v>
                </c:pt>
                <c:pt idx="45">
                  <c:v>227.29138543375416</c:v>
                </c:pt>
                <c:pt idx="46">
                  <c:v>239.24587270695574</c:v>
                </c:pt>
                <c:pt idx="47">
                  <c:v>251.18675854768705</c:v>
                </c:pt>
                <c:pt idx="48">
                  <c:v>263.11478097261084</c:v>
                </c:pt>
                <c:pt idx="49">
                  <c:v>275.03060557796812</c:v>
                </c:pt>
                <c:pt idx="50">
                  <c:v>286.93483554330078</c:v>
                </c:pt>
                <c:pt idx="51">
                  <c:v>237.73240617183436</c:v>
                </c:pt>
                <c:pt idx="52">
                  <c:v>250.55024224220472</c:v>
                </c:pt>
                <c:pt idx="53">
                  <c:v>263.3532148966292</c:v>
                </c:pt>
                <c:pt idx="54">
                  <c:v>276.14214878251744</c:v>
                </c:pt>
                <c:pt idx="55">
                  <c:v>288.91778588930123</c:v>
                </c:pt>
                <c:pt idx="56">
                  <c:v>301.68079720041504</c:v>
                </c:pt>
                <c:pt idx="57">
                  <c:v>314.43179226896012</c:v>
                </c:pt>
                <c:pt idx="58">
                  <c:v>327.1713271579618</c:v>
                </c:pt>
                <c:pt idx="59">
                  <c:v>339.89991107863034</c:v>
                </c:pt>
                <c:pt idx="60">
                  <c:v>352.61801198187936</c:v>
                </c:pt>
                <c:pt idx="61">
                  <c:v>315.6191814146444</c:v>
                </c:pt>
                <c:pt idx="62">
                  <c:v>330.01840353433437</c:v>
                </c:pt>
                <c:pt idx="63">
                  <c:v>344.40376847243942</c:v>
                </c:pt>
                <c:pt idx="64">
                  <c:v>358.77593654868457</c:v>
                </c:pt>
                <c:pt idx="65">
                  <c:v>373.13551085943897</c:v>
                </c:pt>
                <c:pt idx="66">
                  <c:v>387.48304429428185</c:v>
                </c:pt>
                <c:pt idx="67">
                  <c:v>401.81904545892212</c:v>
                </c:pt>
                <c:pt idx="68">
                  <c:v>416.14398370865251</c:v>
                </c:pt>
                <c:pt idx="69">
                  <c:v>430.45829345255555</c:v>
                </c:pt>
                <c:pt idx="70">
                  <c:v>444.76237785533249</c:v>
                </c:pt>
                <c:pt idx="71">
                  <c:v>420.39217677567558</c:v>
                </c:pt>
                <c:pt idx="72">
                  <c:v>437.69018338682162</c:v>
                </c:pt>
                <c:pt idx="73">
                  <c:v>454.97352940578475</c:v>
                </c:pt>
                <c:pt idx="74">
                  <c:v>472.24284989772531</c:v>
                </c:pt>
                <c:pt idx="75">
                  <c:v>489.49872971371423</c:v>
                </c:pt>
                <c:pt idx="76">
                  <c:v>506.74170912772075</c:v>
                </c:pt>
                <c:pt idx="77">
                  <c:v>523.97228866665114</c:v>
                </c:pt>
                <c:pt idx="78">
                  <c:v>541.19093327221731</c:v>
                </c:pt>
                <c:pt idx="79">
                  <c:v>558.39807590580369</c:v>
                </c:pt>
                <c:pt idx="80">
                  <c:v>575.59412068608583</c:v>
                </c:pt>
                <c:pt idx="81">
                  <c:v>561.52544355316797</c:v>
                </c:pt>
                <c:pt idx="82">
                  <c:v>582.62575594754583</c:v>
                </c:pt>
                <c:pt idx="83">
                  <c:v>603.71014314896422</c:v>
                </c:pt>
                <c:pt idx="84">
                  <c:v>624.77923907367449</c:v>
                </c:pt>
                <c:pt idx="85">
                  <c:v>645.83363144000441</c:v>
                </c:pt>
                <c:pt idx="86">
                  <c:v>666.87386656172839</c:v>
                </c:pt>
                <c:pt idx="87">
                  <c:v>687.90045350556591</c:v>
                </c:pt>
                <c:pt idx="88">
                  <c:v>708.91386771439068</c:v>
                </c:pt>
                <c:pt idx="89">
                  <c:v>729.91455417892757</c:v>
                </c:pt>
                <c:pt idx="90">
                  <c:v>750.90293022581852</c:v>
                </c:pt>
                <c:pt idx="91">
                  <c:v>751.05835473990373</c:v>
                </c:pt>
                <c:pt idx="92">
                  <c:v>777.62645970613573</c:v>
                </c:pt>
                <c:pt idx="93">
                  <c:v>804.17618924269766</c:v>
                </c:pt>
                <c:pt idx="94">
                  <c:v>830.70823443498955</c:v>
                </c:pt>
                <c:pt idx="95">
                  <c:v>857.22323869383774</c:v>
                </c:pt>
                <c:pt idx="96">
                  <c:v>883.72180244616675</c:v>
                </c:pt>
                <c:pt idx="97">
                  <c:v>910.20448723463699</c:v>
                </c:pt>
                <c:pt idx="98">
                  <c:v>936.67181931607627</c:v>
                </c:pt>
                <c:pt idx="99">
                  <c:v>963.12429283267693</c:v>
                </c:pt>
                <c:pt idx="100">
                  <c:v>989.56237261724812</c:v>
                </c:pt>
                <c:pt idx="101">
                  <c:v>1005.9438563615032</c:v>
                </c:pt>
                <c:pt idx="102">
                  <c:v>1040.080892488696</c:v>
                </c:pt>
                <c:pt idx="103">
                  <c:v>1074.1959039751603</c:v>
                </c:pt>
                <c:pt idx="104">
                  <c:v>1108.2896871957905</c:v>
                </c:pt>
                <c:pt idx="105">
                  <c:v>1142.3629856410046</c:v>
                </c:pt>
                <c:pt idx="106">
                  <c:v>1176.4164949313861</c:v>
                </c:pt>
                <c:pt idx="107">
                  <c:v>1210.4508672227037</c:v>
                </c:pt>
                <c:pt idx="108">
                  <c:v>1244.4667150908033</c:v>
                </c:pt>
                <c:pt idx="109">
                  <c:v>1278.4646149705729</c:v>
                </c:pt>
                <c:pt idx="110">
                  <c:v>1312.4451102108931</c:v>
                </c:pt>
                <c:pt idx="111">
                  <c:v>1303.9900241461421</c:v>
                </c:pt>
                <c:pt idx="112">
                  <c:v>1303.9900241461421</c:v>
                </c:pt>
                <c:pt idx="113">
                  <c:v>1303.9900241461421</c:v>
                </c:pt>
                <c:pt idx="114">
                  <c:v>1303.9900241461421</c:v>
                </c:pt>
                <c:pt idx="115">
                  <c:v>1303.9900241461421</c:v>
                </c:pt>
                <c:pt idx="116">
                  <c:v>1303.9900241461421</c:v>
                </c:pt>
                <c:pt idx="117">
                  <c:v>1303.9900241461421</c:v>
                </c:pt>
                <c:pt idx="118">
                  <c:v>1303.9900241461421</c:v>
                </c:pt>
                <c:pt idx="119">
                  <c:v>1303.9900241461421</c:v>
                </c:pt>
                <c:pt idx="120">
                  <c:v>1303.9900241461421</c:v>
                </c:pt>
                <c:pt idx="121">
                  <c:v>1303.9900241461421</c:v>
                </c:pt>
                <c:pt idx="122">
                  <c:v>1303.9900241461421</c:v>
                </c:pt>
                <c:pt idx="123">
                  <c:v>1303.9900241461421</c:v>
                </c:pt>
                <c:pt idx="124">
                  <c:v>1303.9900241461421</c:v>
                </c:pt>
                <c:pt idx="125">
                  <c:v>1303.9900241461421</c:v>
                </c:pt>
                <c:pt idx="126">
                  <c:v>1303.9900241461421</c:v>
                </c:pt>
                <c:pt idx="127">
                  <c:v>1303.9900241461421</c:v>
                </c:pt>
                <c:pt idx="128">
                  <c:v>1303.9900241461421</c:v>
                </c:pt>
                <c:pt idx="129">
                  <c:v>1303.9900241461421</c:v>
                </c:pt>
                <c:pt idx="130">
                  <c:v>1303.9900241461421</c:v>
                </c:pt>
                <c:pt idx="131">
                  <c:v>1303.9900241461421</c:v>
                </c:pt>
                <c:pt idx="132">
                  <c:v>1303.9900241461421</c:v>
                </c:pt>
                <c:pt idx="133">
                  <c:v>1303.9900241461421</c:v>
                </c:pt>
                <c:pt idx="134">
                  <c:v>1303.9900241461421</c:v>
                </c:pt>
                <c:pt idx="135">
                  <c:v>1303.9900241461421</c:v>
                </c:pt>
                <c:pt idx="136">
                  <c:v>1303.9900241461421</c:v>
                </c:pt>
                <c:pt idx="137">
                  <c:v>1303.9900241461421</c:v>
                </c:pt>
                <c:pt idx="138">
                  <c:v>1303.9900241461421</c:v>
                </c:pt>
                <c:pt idx="139">
                  <c:v>1303.9900241461421</c:v>
                </c:pt>
                <c:pt idx="140">
                  <c:v>1303.9900241461421</c:v>
                </c:pt>
                <c:pt idx="141">
                  <c:v>1303.9900241461421</c:v>
                </c:pt>
                <c:pt idx="142">
                  <c:v>1303.9900241461421</c:v>
                </c:pt>
                <c:pt idx="143">
                  <c:v>1303.9900241461421</c:v>
                </c:pt>
                <c:pt idx="144">
                  <c:v>1303.9900241461421</c:v>
                </c:pt>
                <c:pt idx="145">
                  <c:v>1303.9900241461421</c:v>
                </c:pt>
                <c:pt idx="146">
                  <c:v>1303.9900241461421</c:v>
                </c:pt>
                <c:pt idx="147">
                  <c:v>1303.9900241461421</c:v>
                </c:pt>
                <c:pt idx="148">
                  <c:v>1303.9900241461421</c:v>
                </c:pt>
                <c:pt idx="149">
                  <c:v>1303.9900241461421</c:v>
                </c:pt>
                <c:pt idx="150">
                  <c:v>1303.9900241461421</c:v>
                </c:pt>
                <c:pt idx="151">
                  <c:v>1303.9900241461421</c:v>
                </c:pt>
                <c:pt idx="152">
                  <c:v>1303.9900241461421</c:v>
                </c:pt>
                <c:pt idx="153">
                  <c:v>1303.9900241461421</c:v>
                </c:pt>
                <c:pt idx="154">
                  <c:v>1303.9900241461421</c:v>
                </c:pt>
                <c:pt idx="155">
                  <c:v>1303.9900241461421</c:v>
                </c:pt>
                <c:pt idx="156">
                  <c:v>1303.9900241461421</c:v>
                </c:pt>
                <c:pt idx="157">
                  <c:v>1303.9900241461421</c:v>
                </c:pt>
                <c:pt idx="158">
                  <c:v>1303.9900241461421</c:v>
                </c:pt>
                <c:pt idx="159">
                  <c:v>1303.9900241461421</c:v>
                </c:pt>
                <c:pt idx="160">
                  <c:v>1303.9900241461421</c:v>
                </c:pt>
                <c:pt idx="161">
                  <c:v>1303.9900241461421</c:v>
                </c:pt>
                <c:pt idx="162">
                  <c:v>1303.9900241461421</c:v>
                </c:pt>
                <c:pt idx="163">
                  <c:v>1303.9900241461421</c:v>
                </c:pt>
                <c:pt idx="164">
                  <c:v>1303.9900241461421</c:v>
                </c:pt>
                <c:pt idx="165">
                  <c:v>1303.9900241461421</c:v>
                </c:pt>
                <c:pt idx="166">
                  <c:v>1303.9900241461421</c:v>
                </c:pt>
                <c:pt idx="167">
                  <c:v>1303.9900241461421</c:v>
                </c:pt>
                <c:pt idx="168">
                  <c:v>1303.9900241461421</c:v>
                </c:pt>
                <c:pt idx="169">
                  <c:v>1303.9900241461421</c:v>
                </c:pt>
                <c:pt idx="170">
                  <c:v>1303.9900241461421</c:v>
                </c:pt>
                <c:pt idx="171">
                  <c:v>1303.9900241461421</c:v>
                </c:pt>
                <c:pt idx="172">
                  <c:v>1303.9900241461421</c:v>
                </c:pt>
                <c:pt idx="173">
                  <c:v>1303.9900241461421</c:v>
                </c:pt>
                <c:pt idx="174">
                  <c:v>1303.9900241461421</c:v>
                </c:pt>
                <c:pt idx="175">
                  <c:v>1303.9900241461421</c:v>
                </c:pt>
                <c:pt idx="176">
                  <c:v>1303.9900241461421</c:v>
                </c:pt>
                <c:pt idx="177">
                  <c:v>1303.9900241461421</c:v>
                </c:pt>
                <c:pt idx="178">
                  <c:v>1303.9900241461421</c:v>
                </c:pt>
                <c:pt idx="179">
                  <c:v>1303.9900241461421</c:v>
                </c:pt>
                <c:pt idx="180">
                  <c:v>1303.9900241461421</c:v>
                </c:pt>
                <c:pt idx="181">
                  <c:v>1303.9900241461421</c:v>
                </c:pt>
                <c:pt idx="182">
                  <c:v>1303.9900241461421</c:v>
                </c:pt>
                <c:pt idx="183">
                  <c:v>1303.9900241461421</c:v>
                </c:pt>
                <c:pt idx="184">
                  <c:v>1303.9900241461421</c:v>
                </c:pt>
                <c:pt idx="185">
                  <c:v>1303.9900241461421</c:v>
                </c:pt>
                <c:pt idx="186">
                  <c:v>1303.9900241461421</c:v>
                </c:pt>
                <c:pt idx="187">
                  <c:v>1303.9900241461421</c:v>
                </c:pt>
                <c:pt idx="188">
                  <c:v>1303.9900241461421</c:v>
                </c:pt>
                <c:pt idx="189">
                  <c:v>1303.9900241461421</c:v>
                </c:pt>
                <c:pt idx="190">
                  <c:v>1303.9900241461421</c:v>
                </c:pt>
                <c:pt idx="191">
                  <c:v>1303.9900241461421</c:v>
                </c:pt>
                <c:pt idx="192">
                  <c:v>1303.9900241461421</c:v>
                </c:pt>
                <c:pt idx="193">
                  <c:v>1303.9900241461421</c:v>
                </c:pt>
                <c:pt idx="194">
                  <c:v>1303.9900241461421</c:v>
                </c:pt>
                <c:pt idx="195">
                  <c:v>1303.9900241461421</c:v>
                </c:pt>
                <c:pt idx="196">
                  <c:v>1303.9900241461421</c:v>
                </c:pt>
                <c:pt idx="197">
                  <c:v>1303.9900241461421</c:v>
                </c:pt>
                <c:pt idx="198">
                  <c:v>1303.9900241461421</c:v>
                </c:pt>
                <c:pt idx="199">
                  <c:v>1303.9900241461421</c:v>
                </c:pt>
                <c:pt idx="200">
                  <c:v>1303.9900241461421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4" zoomScale="80" zoomScaleNormal="80" workbookViewId="0">
      <selection activeCell="M27" sqref="M27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16.13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0.47</v>
      </c>
      <c r="D9" s="33">
        <f t="shared" ref="D9:D18" si="0">C9*$C$5</f>
        <v>7.5810999999999993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81</v>
      </c>
      <c r="C10" s="32">
        <v>0.15</v>
      </c>
      <c r="D10" s="33">
        <f t="shared" si="0"/>
        <v>2.4194999999999998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81</v>
      </c>
      <c r="C11" s="32">
        <v>0.13</v>
      </c>
      <c r="D11" s="33">
        <f t="shared" si="0"/>
        <v>2.0968999999999998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47</v>
      </c>
      <c r="C12" s="32">
        <v>0.25</v>
      </c>
      <c r="D12" s="33">
        <f t="shared" si="0"/>
        <v>4.0324999999999998</v>
      </c>
      <c r="E12" s="34">
        <v>110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16.13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17</v>
      </c>
      <c r="B36" s="60">
        <f>207.67/1.3</f>
        <v>159.74615384615385</v>
      </c>
      <c r="C36" s="60"/>
      <c r="D36" s="60"/>
      <c r="E36" s="51"/>
      <c r="F36" s="51"/>
      <c r="G36" s="51"/>
      <c r="H36" s="51"/>
      <c r="I36" s="49">
        <f>IFERROR(B36/A36,"")</f>
        <v>9.3968325791855207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18</v>
      </c>
      <c r="B37" s="60">
        <f>237.76/1.3</f>
        <v>182.89230769230767</v>
      </c>
      <c r="C37" s="60">
        <v>1</v>
      </c>
      <c r="D37" s="60">
        <f>90.07/1.3</f>
        <v>69.284615384615378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23.146153846153823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24</v>
      </c>
      <c r="B38" s="60">
        <f>308.83/1.3</f>
        <v>237.56153846153845</v>
      </c>
      <c r="C38" s="60">
        <v>2</v>
      </c>
      <c r="D38" s="60">
        <f>55.46/1.3</f>
        <v>42.661538461538463</v>
      </c>
      <c r="E38" s="51">
        <v>0.2</v>
      </c>
      <c r="F38" s="51">
        <v>0.4</v>
      </c>
      <c r="G38" s="51">
        <v>0.4</v>
      </c>
      <c r="H38" s="51"/>
      <c r="I38" s="53">
        <f t="shared" si="1"/>
        <v>20.658974358974358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30</v>
      </c>
      <c r="B39" s="60">
        <f>431.43/1.3</f>
        <v>331.86923076923074</v>
      </c>
      <c r="C39" s="60">
        <v>3</v>
      </c>
      <c r="D39" s="60">
        <f>85.37/1.3</f>
        <v>65.669230769230765</v>
      </c>
      <c r="E39" s="51"/>
      <c r="F39" s="51"/>
      <c r="G39" s="51"/>
      <c r="H39" s="51"/>
      <c r="I39" s="49">
        <f t="shared" si="1"/>
        <v>22.828205128205127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36</v>
      </c>
      <c r="B40" s="60">
        <f>524.56/1.3</f>
        <v>403.50769230769225</v>
      </c>
      <c r="C40" s="60">
        <v>4</v>
      </c>
      <c r="D40" s="60">
        <f>90.09/1.3</f>
        <v>69.3</v>
      </c>
      <c r="E40" s="51"/>
      <c r="F40" s="51"/>
      <c r="G40" s="51"/>
      <c r="H40" s="51"/>
      <c r="I40" s="49">
        <f t="shared" si="1"/>
        <v>22.884615384615376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42</v>
      </c>
      <c r="B41" s="60">
        <f>609.34/1.3</f>
        <v>468.72307692307692</v>
      </c>
      <c r="C41" s="60">
        <v>5</v>
      </c>
      <c r="D41" s="60">
        <f>95.41/1.3</f>
        <v>73.392307692307682</v>
      </c>
      <c r="E41" s="51"/>
      <c r="F41" s="51"/>
      <c r="G41" s="51"/>
      <c r="H41" s="51"/>
      <c r="I41" s="53">
        <f t="shared" si="1"/>
        <v>22.419230769230779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48</v>
      </c>
      <c r="B42" s="60">
        <f>682.61/1.3</f>
        <v>525.0846153846154</v>
      </c>
      <c r="C42" s="60">
        <v>6</v>
      </c>
      <c r="D42" s="60">
        <f>105.73/1.3</f>
        <v>81.330769230769235</v>
      </c>
      <c r="E42" s="51"/>
      <c r="F42" s="51"/>
      <c r="G42" s="51"/>
      <c r="H42" s="51"/>
      <c r="I42" s="53">
        <f t="shared" si="1"/>
        <v>21.625641025641027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54</v>
      </c>
      <c r="B43" s="60">
        <f>736.84/1.3</f>
        <v>566.79999999999995</v>
      </c>
      <c r="C43" s="60">
        <v>7</v>
      </c>
      <c r="D43" s="60">
        <f>736.84/1.3</f>
        <v>566.79999999999995</v>
      </c>
      <c r="E43" s="51"/>
      <c r="F43" s="51"/>
      <c r="G43" s="51"/>
      <c r="H43" s="51"/>
      <c r="I43" s="49">
        <f t="shared" si="1"/>
        <v>20.507692307692299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Mélèze hybride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51</v>
      </c>
      <c r="C62" s="60">
        <v>1</v>
      </c>
      <c r="D62" s="60">
        <f>8</f>
        <v>8</v>
      </c>
      <c r="E62" s="51"/>
      <c r="F62" s="51">
        <v>0.5</v>
      </c>
      <c r="G62" s="51">
        <v>0.5</v>
      </c>
      <c r="H62" s="51"/>
      <c r="I62" s="53">
        <f>IFERROR(B62/A62,"")</f>
        <v>5.0999999999999996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210</v>
      </c>
      <c r="C63" s="60">
        <v>2</v>
      </c>
      <c r="D63" s="60">
        <f>49+49</f>
        <v>98</v>
      </c>
      <c r="E63" s="51"/>
      <c r="F63" s="51">
        <v>0.5</v>
      </c>
      <c r="G63" s="51">
        <v>0.5</v>
      </c>
      <c r="H63" s="51"/>
      <c r="I63" s="49">
        <f>IF(A63&lt;&gt;0,(B63-(B62-D62))/(A63-A62),"")</f>
        <v>16.7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297</v>
      </c>
      <c r="C64" s="60">
        <v>3</v>
      </c>
      <c r="D64" s="60">
        <f>49+49</f>
        <v>98</v>
      </c>
      <c r="E64" s="51">
        <v>0.2</v>
      </c>
      <c r="F64" s="51">
        <v>0.4</v>
      </c>
      <c r="G64" s="51">
        <v>0.4</v>
      </c>
      <c r="H64" s="51"/>
      <c r="I64" s="49">
        <f>IF(A64&lt;&gt;0,(B64-(B63-D63))/(A64-A63),"")</f>
        <v>18.5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356</v>
      </c>
      <c r="C65" s="60">
        <v>4</v>
      </c>
      <c r="D65" s="60">
        <f>49+43</f>
        <v>92</v>
      </c>
      <c r="E65" s="51"/>
      <c r="F65" s="51"/>
      <c r="G65" s="51"/>
      <c r="H65" s="51"/>
      <c r="I65" s="49">
        <f>IF(A65&lt;&gt;0,(B65-(B64-D64))/(A65-A64),"")</f>
        <v>15.7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50</v>
      </c>
      <c r="B66" s="60">
        <v>395</v>
      </c>
      <c r="C66" s="60">
        <v>5</v>
      </c>
      <c r="D66" s="60">
        <f>39+36</f>
        <v>75</v>
      </c>
      <c r="E66" s="51"/>
      <c r="F66" s="51"/>
      <c r="G66" s="51"/>
      <c r="H66" s="51"/>
      <c r="I66" s="49">
        <f t="shared" ref="I66:I81" si="2">IF(A66&lt;&gt;0,(B66-(B65-D65))/(A66-A65),"")</f>
        <v>13.1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60</v>
      </c>
      <c r="B67" s="60">
        <v>433</v>
      </c>
      <c r="C67" s="60">
        <v>6</v>
      </c>
      <c r="D67" s="60">
        <f>34+33</f>
        <v>67</v>
      </c>
      <c r="E67" s="51"/>
      <c r="F67" s="51"/>
      <c r="G67" s="51"/>
      <c r="H67" s="51"/>
      <c r="I67" s="49">
        <f t="shared" si="2"/>
        <v>11.3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70</v>
      </c>
      <c r="B68" s="60">
        <v>464</v>
      </c>
      <c r="C68" s="60">
        <v>7</v>
      </c>
      <c r="D68" s="60">
        <f>32+31</f>
        <v>63</v>
      </c>
      <c r="E68" s="51"/>
      <c r="F68" s="51"/>
      <c r="G68" s="51"/>
      <c r="H68" s="51"/>
      <c r="I68" s="49">
        <f t="shared" si="2"/>
        <v>9.8000000000000007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80</v>
      </c>
      <c r="B69" s="50">
        <f>425+31+31</f>
        <v>487</v>
      </c>
      <c r="C69" s="50">
        <v>8</v>
      </c>
      <c r="D69" s="50">
        <f>B69</f>
        <v>487</v>
      </c>
      <c r="E69" s="51"/>
      <c r="F69" s="51"/>
      <c r="G69" s="51"/>
      <c r="H69" s="51"/>
      <c r="I69" s="49">
        <f t="shared" si="2"/>
        <v>8.6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hybride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36</v>
      </c>
      <c r="C88" s="60"/>
      <c r="D88" s="60"/>
      <c r="E88" s="51"/>
      <c r="F88" s="51"/>
      <c r="G88" s="51"/>
      <c r="H88" s="87"/>
      <c r="I88" s="53">
        <f>IFERROR(B88/A88,"")</f>
        <v>3.6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177</v>
      </c>
      <c r="C89" s="60">
        <v>1</v>
      </c>
      <c r="D89" s="60">
        <f>39+42</f>
        <v>81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14.1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260</v>
      </c>
      <c r="C90" s="60">
        <v>2</v>
      </c>
      <c r="D90" s="60">
        <f>42+42</f>
        <v>84</v>
      </c>
      <c r="E90" s="87">
        <v>0.2</v>
      </c>
      <c r="F90" s="87">
        <v>0.4</v>
      </c>
      <c r="G90" s="87">
        <v>0.4</v>
      </c>
      <c r="H90" s="87"/>
      <c r="I90" s="53">
        <f t="shared" si="3"/>
        <v>16.399999999999999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314</v>
      </c>
      <c r="C91" s="60">
        <v>3</v>
      </c>
      <c r="D91" s="60">
        <f>42+38</f>
        <v>80</v>
      </c>
      <c r="E91" s="87"/>
      <c r="F91" s="87"/>
      <c r="G91" s="87"/>
      <c r="H91" s="87"/>
      <c r="I91" s="53">
        <f t="shared" si="3"/>
        <v>13.8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50</v>
      </c>
      <c r="B92" s="60">
        <v>349</v>
      </c>
      <c r="C92" s="60">
        <v>4</v>
      </c>
      <c r="D92" s="60">
        <f>34+31</f>
        <v>65</v>
      </c>
      <c r="E92" s="87"/>
      <c r="F92" s="87"/>
      <c r="G92" s="87"/>
      <c r="H92" s="87"/>
      <c r="I92" s="53">
        <f t="shared" si="3"/>
        <v>11.5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382</v>
      </c>
      <c r="C93" s="60">
        <v>5</v>
      </c>
      <c r="D93" s="60">
        <f>29+27</f>
        <v>56</v>
      </c>
      <c r="E93" s="87"/>
      <c r="F93" s="87"/>
      <c r="G93" s="87"/>
      <c r="H93" s="87"/>
      <c r="I93" s="53">
        <f t="shared" si="3"/>
        <v>9.8000000000000007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70</v>
      </c>
      <c r="B94" s="60">
        <v>411</v>
      </c>
      <c r="C94" s="60">
        <v>6</v>
      </c>
      <c r="D94" s="60">
        <f>26+26</f>
        <v>52</v>
      </c>
      <c r="E94" s="87"/>
      <c r="F94" s="87"/>
      <c r="G94" s="87"/>
      <c r="H94" s="87"/>
      <c r="I94" s="53">
        <f t="shared" si="3"/>
        <v>8.5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f>381+26+26</f>
        <v>433</v>
      </c>
      <c r="C95" s="60">
        <v>7</v>
      </c>
      <c r="D95" s="60">
        <f>B95</f>
        <v>433</v>
      </c>
      <c r="E95" s="87"/>
      <c r="F95" s="87"/>
      <c r="G95" s="87"/>
      <c r="H95" s="87"/>
      <c r="I95" s="53">
        <f t="shared" si="3"/>
        <v>7.4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Sapin méditerranéen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40</v>
      </c>
      <c r="B114" s="60">
        <f>(203+92)/1.3</f>
        <v>226.92307692307691</v>
      </c>
      <c r="C114" s="50">
        <v>1</v>
      </c>
      <c r="D114" s="60">
        <f>92/1.3</f>
        <v>70.769230769230774</v>
      </c>
      <c r="E114" s="51"/>
      <c r="F114" s="51"/>
      <c r="G114" s="51"/>
      <c r="H114" s="51"/>
      <c r="I114" s="53">
        <f>IFERROR(B114/A114,"")</f>
        <v>5.6730769230769225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50</v>
      </c>
      <c r="B115" s="60">
        <f>(275+78)/1.3</f>
        <v>271.53846153846155</v>
      </c>
      <c r="C115" s="50">
        <v>2</v>
      </c>
      <c r="D115" s="60">
        <f>78/1.3</f>
        <v>60</v>
      </c>
      <c r="E115" s="51"/>
      <c r="F115" s="51"/>
      <c r="G115" s="51"/>
      <c r="H115" s="51"/>
      <c r="I115" s="53">
        <f t="shared" ref="I115:I133" si="4">IF(A115&lt;&gt;0,(B115-(B114-D114))/(A115-A114),"")</f>
        <v>11.538461538461542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60</v>
      </c>
      <c r="B116" s="60">
        <f>(371+65)/1.3</f>
        <v>335.38461538461536</v>
      </c>
      <c r="C116" s="50">
        <v>3</v>
      </c>
      <c r="D116" s="60">
        <f>65/1.3</f>
        <v>50</v>
      </c>
      <c r="E116" s="51"/>
      <c r="F116" s="51"/>
      <c r="G116" s="51"/>
      <c r="H116" s="51"/>
      <c r="I116" s="53">
        <f t="shared" si="4"/>
        <v>12.384615384615381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70</v>
      </c>
      <c r="B117" s="60">
        <f>(500+53)/1.3</f>
        <v>425.38461538461536</v>
      </c>
      <c r="C117" s="50">
        <v>4</v>
      </c>
      <c r="D117" s="60">
        <f>53/1.3</f>
        <v>40.769230769230766</v>
      </c>
      <c r="E117" s="51"/>
      <c r="F117" s="51"/>
      <c r="G117" s="51"/>
      <c r="H117" s="51"/>
      <c r="I117" s="53">
        <f t="shared" si="4"/>
        <v>14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80</v>
      </c>
      <c r="B118" s="60">
        <f>(675+45)/1.3</f>
        <v>553.84615384615381</v>
      </c>
      <c r="C118" s="50">
        <v>5</v>
      </c>
      <c r="D118" s="60">
        <f>45/1.3</f>
        <v>34.615384615384613</v>
      </c>
      <c r="E118" s="51"/>
      <c r="F118" s="51"/>
      <c r="G118" s="51"/>
      <c r="H118" s="51"/>
      <c r="I118" s="53">
        <f t="shared" si="4"/>
        <v>16.923076923076923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90</v>
      </c>
      <c r="B119" s="60">
        <f>(911+34)/1.3</f>
        <v>726.92307692307691</v>
      </c>
      <c r="C119" s="50">
        <v>6</v>
      </c>
      <c r="D119" s="60">
        <f>34/1.3</f>
        <v>26.153846153846153</v>
      </c>
      <c r="E119" s="51"/>
      <c r="F119" s="51"/>
      <c r="G119" s="51"/>
      <c r="H119" s="51"/>
      <c r="I119" s="53">
        <f t="shared" si="4"/>
        <v>20.769230769230774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100</v>
      </c>
      <c r="B120" s="60">
        <f>(1230+23)/1.3</f>
        <v>963.84615384615381</v>
      </c>
      <c r="C120" s="60">
        <v>7</v>
      </c>
      <c r="D120" s="60">
        <f>23/1.3</f>
        <v>17.692307692307693</v>
      </c>
      <c r="E120" s="87"/>
      <c r="F120" s="87"/>
      <c r="G120" s="87"/>
      <c r="H120" s="87"/>
      <c r="I120" s="53">
        <f t="shared" si="4"/>
        <v>26.30769230769231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110</v>
      </c>
      <c r="B121" s="60">
        <f>(1661+11)/1.3</f>
        <v>1286.1538461538462</v>
      </c>
      <c r="C121" s="60">
        <v>8</v>
      </c>
      <c r="D121" s="60">
        <f>11/1.3</f>
        <v>8.4615384615384617</v>
      </c>
      <c r="E121" s="87"/>
      <c r="F121" s="87"/>
      <c r="G121" s="87"/>
      <c r="H121" s="87"/>
      <c r="I121" s="53">
        <f t="shared" si="4"/>
        <v>34.000000000000014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hybride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hybride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Sapin méditerranéen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255.5374979188561</v>
      </c>
      <c r="T3" s="59">
        <f>IF('Données projet'!E9&gt;30,$R$33-$H$33,LOOKUP('Données projet'!$E$9,$A$3:$A$203,R3:R203)-LOOKUP('Données projet'!$E$9,$A$3:$A$203,$H$3:$H$203))</f>
        <v>343.10418468620901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248.1486444660062</v>
      </c>
      <c r="AO3" s="59">
        <f>IF('Données projet'!E10&gt;30,$AM$33-$H$33,LOOKUP('Données projet'!$E$10,$A$3:$A$203,AM3:AM203)-LOOKUP('Données projet'!$E$10,$A$3:$A$203,$H$3:$H$203))</f>
        <v>293.34458072322127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210.04871822652808</v>
      </c>
      <c r="BJ3" s="59">
        <f>IF('Données projet'!E11&gt;30,$BH$33-$H$33,LOOKUP('Données projet'!$E$11,$A$3:$A$203,BH3:BH203)-LOOKUP('Données projet'!$E$11,$A$3:$A$203,$H$3:$H$203))</f>
        <v>250.17540614049324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304.15237106473313</v>
      </c>
      <c r="CE3" s="59">
        <f>IF('Données projet'!E12&gt;30,$CC$33-$H$33,LOOKUP('Données projet'!$E$12,$A$3:$A$203,CC3:CC203)-LOOKUP('Données projet'!$E$12,$A$3:$A$203,$H$3:$H$203))</f>
        <v>120.85458928724336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9.3968325791855207</v>
      </c>
      <c r="N4" s="13">
        <f>IF('Données projet'!$A$36&gt;35,N3+M4-V3,IF(A4&lt;'Données projet'!$A$36,$K$205^A4,IF(A4='Données projet'!$A$36,'Données projet'!$B$36,N3+M4-V3)))</f>
        <v>1.3477630745024085</v>
      </c>
      <c r="O4" s="13">
        <f>N4*VLOOKUP('Données projet'!$B$9,Paramètres!$A$1:$I$89,3,0)*VLOOKUP('Données projet'!$B$9,Paramètres!$A$1:$I$89,5,0)</f>
        <v>0.75339955864684627</v>
      </c>
      <c r="P4" s="13">
        <f>EXP(-1.0587+0.8836*LN(O4)+0.284)</f>
        <v>0.3588324201756754</v>
      </c>
      <c r="Q4" s="20">
        <f t="shared" ref="Q4:Q34" si="2">(O4+P4)*0.475*44/12</f>
        <v>1.9371373631158919</v>
      </c>
      <c r="R4" s="59">
        <f t="shared" si="0"/>
        <v>295.27047069644919</v>
      </c>
      <c r="S4" s="59">
        <f ca="1">AVERAGE(OFFSET($R$3,0,0,'Données projet'!$E$9+1,1))-AVERAGE(OFFSET($H$3,0,0,'Données projet'!$E$9+1,1))</f>
        <v>255.5374979188561</v>
      </c>
      <c r="T4" s="59">
        <f>$T$3</f>
        <v>343.10418468620901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5.0999999999999996</v>
      </c>
      <c r="AI4" s="13">
        <f>IF('Données projet'!$A$62&gt;35,AI3+AH4-AQ3,IF(A4&lt;'Données projet'!$A$62,$AF$205^A4,IF(A4='Données projet'!$A$62,'Données projet'!$B$62,AI3+AH4-AQ3)))</f>
        <v>1.4816888666071193</v>
      </c>
      <c r="AJ4" s="13">
        <f>AI4*VLOOKUP('Données projet'!$B$10,Paramètres!$A$1:$I$89,3,0)*VLOOKUP('Données projet'!$B$10,Paramètres!$A$1:$I$89,5,0)</f>
        <v>0.80900212116748715</v>
      </c>
      <c r="AK4" s="13">
        <f>EXP(-1.0587+0.8836*LN(AJ4)+0.284)</f>
        <v>0.38213461978866009</v>
      </c>
      <c r="AL4" s="20">
        <f t="shared" ref="AL4:AL67" si="4">(AJ4+AK4)*0.475*44/12</f>
        <v>2.0745631571652896</v>
      </c>
      <c r="AM4" s="59">
        <f t="shared" ref="AM4:AM67" si="5">AL4+(AD4+AE4)*44/12</f>
        <v>295.40789649049862</v>
      </c>
      <c r="AN4" s="59">
        <f ca="1">AVERAGE(OFFSET($AM$3,0,0,'Données projet'!$E$10+1,1))-AVERAGE(OFFSET($H$3,0,0,'Données projet'!$E$10+1,1))</f>
        <v>248.1486444660062</v>
      </c>
      <c r="AO4" s="59">
        <f>$AO$3</f>
        <v>293.34458072322127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</v>
      </c>
      <c r="BD4" s="12">
        <f>IF('Données projet'!$A$88&gt;35,BD3+BC4-BL3,IF(A4&lt;'Données projet'!$A$88,$BA$205^A4,IF(A4='Données projet'!$A$88,'Données projet'!$B$88,BD3+BC4-BL3)))</f>
        <v>1.4309690811052556</v>
      </c>
      <c r="BE4" s="13">
        <f>BD4*VLOOKUP('Données projet'!$B$11,Paramètres!$A$1:$I$89,3,0)*VLOOKUP('Données projet'!$B$11,Paramètres!$A$1:$I$89,5,0)</f>
        <v>0.78130911828346949</v>
      </c>
      <c r="BF4" s="13">
        <f>EXP(-1.0587+0.8836*LN(BE4)+0.284)</f>
        <v>0.37055303350010543</v>
      </c>
      <c r="BG4" s="20">
        <f t="shared" ref="BG4:BG67" si="7">(BE4+BF4)*0.475*44/12</f>
        <v>2.0061599143563931</v>
      </c>
      <c r="BH4" s="59">
        <f t="shared" ref="BH4:BH67" si="8">BG4+(AY4+AZ4)*44/12</f>
        <v>295.33949324768969</v>
      </c>
      <c r="BI4" s="59">
        <f ca="1">AVERAGE(OFFSET($BH$3,0,0,'Données projet'!$E$11+1,1))-AVERAGE(OFFSET($H$3,0,0,'Données projet'!$E$11+1,1))</f>
        <v>210.04871822652808</v>
      </c>
      <c r="BJ4" s="59">
        <f>$BJ$3</f>
        <v>250.17540614049324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5.6730769230769225</v>
      </c>
      <c r="BY4" s="12">
        <f>IF('Données projet'!$A$114&gt;35,BY3+BX4-CG3,IF(A4&lt;'Données projet'!$A$114,$BV$205^A4,IF(A4='Données projet'!$A$114,'Données projet'!$B$114,BY3+BX4-CG3)))</f>
        <v>5.6730769230769225</v>
      </c>
      <c r="BZ4" s="13">
        <f>BY4*VLOOKUP('Données projet'!$B$12,Paramètres!$A$1:$I$89,3,0)*VLOOKUP('Données projet'!$B$12,Paramètres!$A$1:$I$89,5,0)</f>
        <v>2.7287499999999998</v>
      </c>
      <c r="CA4" s="13">
        <f>EXP(-1.0587+0.8836*LN(BZ4)+0.284)</f>
        <v>1.1188442473278026</v>
      </c>
      <c r="CB4" s="20">
        <f t="shared" ref="CB4:CB67" si="10">(BZ4+CA4)*0.475*44/12</f>
        <v>6.7012266474292561</v>
      </c>
      <c r="CC4" s="59">
        <f t="shared" ref="CC4:CC67" si="11">CB4+(BT4+BU4)*44/12</f>
        <v>300.03455998076259</v>
      </c>
      <c r="CD4" s="59">
        <f ca="1">AVERAGE(OFFSET($CC$3,0,0,'Données projet'!$E$12+1,1))-AVERAGE(OFFSET($H$3,0,0,'Données projet'!$E$12+1,1))</f>
        <v>304.15237106473313</v>
      </c>
      <c r="CE4" s="59">
        <f>$CE$3</f>
        <v>120.85458928724336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9.3968325791855207</v>
      </c>
      <c r="N5" s="13">
        <f>IF('Données projet'!$A$36&gt;35,N4+M5-V4,IF(A5&lt;'Données projet'!$A$36,$K$205^A5,IF(A5='Données projet'!$A$36,'Données projet'!$B$36,N4+M5-V4)))</f>
        <v>1.8164653049921848</v>
      </c>
      <c r="O5" s="13">
        <f>N5*VLOOKUP('Données projet'!$B$9,Paramètres!$A$1:$I$89,3,0)*VLOOKUP('Données projet'!$B$9,Paramètres!$A$1:$I$89,5,0)</f>
        <v>1.0154041054906313</v>
      </c>
      <c r="P5" s="13">
        <f t="shared" ref="P5:P68" si="33">EXP(-1.0587+0.8836*LN(O5)+0.284)</f>
        <v>0.46710897317647637</v>
      </c>
      <c r="Q5" s="20">
        <f t="shared" si="2"/>
        <v>2.582043612011879</v>
      </c>
      <c r="R5" s="59">
        <f t="shared" si="0"/>
        <v>295.9153769453452</v>
      </c>
      <c r="S5" s="59">
        <f ca="1">AVERAGE(OFFSET($R$3,0,0,'Données projet'!$E$9+1,1))-AVERAGE(OFFSET($H$3,0,0,'Données projet'!$E$9+1,1))</f>
        <v>255.5374979188561</v>
      </c>
      <c r="T5" s="59">
        <f t="shared" ref="T5:T68" si="34">$T$3</f>
        <v>343.10418468620901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5.0999999999999996</v>
      </c>
      <c r="AI5" s="13">
        <f>IF('Données projet'!$A$62&gt;35,AI4+AH5-AQ4,IF(A5&lt;'Données projet'!$A$62,$AF$205^A5,IF(A5='Données projet'!$A$62,'Données projet'!$B$62,AI4+AH5-AQ4)))</f>
        <v>2.1954018974274896</v>
      </c>
      <c r="AJ5" s="13">
        <f>AI5*VLOOKUP('Données projet'!$B$10,Paramètres!$A$1:$I$89,3,0)*VLOOKUP('Données projet'!$B$10,Paramètres!$A$1:$I$89,5,0)</f>
        <v>1.1986894359954092</v>
      </c>
      <c r="AK5" s="13">
        <f t="shared" ref="AK5:AK68" si="35">EXP(-1.0587+0.8836*LN(AJ5)+0.284)</f>
        <v>0.54087546986465163</v>
      </c>
      <c r="AL5" s="20">
        <f t="shared" si="4"/>
        <v>3.0297422110396059</v>
      </c>
      <c r="AM5" s="59">
        <f t="shared" si="5"/>
        <v>296.36307554437292</v>
      </c>
      <c r="AN5" s="59">
        <f ca="1">AVERAGE(OFFSET($AM$3,0,0,'Données projet'!$E$10+1,1))-AVERAGE(OFFSET($H$3,0,0,'Données projet'!$E$10+1,1))</f>
        <v>248.1486444660062</v>
      </c>
      <c r="AO5" s="59">
        <f t="shared" ref="AO5:AO68" si="36">$AO$3</f>
        <v>293.34458072322127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</v>
      </c>
      <c r="BD5" s="12">
        <f>IF('Données projet'!$A$88&gt;35,BD4+BC5-BL4,IF(A5&lt;'Données projet'!$A$88,$BA$205^A5,IF(A5='Données projet'!$A$88,'Données projet'!$B$88,BD4+BC5-BL4)))</f>
        <v>2.0476725110792193</v>
      </c>
      <c r="BE5" s="13">
        <f>BD5*VLOOKUP('Données projet'!$B$11,Paramètres!$A$1:$I$89,3,0)*VLOOKUP('Données projet'!$B$11,Paramètres!$A$1:$I$89,5,0)</f>
        <v>1.1180291910492537</v>
      </c>
      <c r="BF5" s="13">
        <f t="shared" ref="BF5:BF68" si="37">EXP(-1.0587+0.8836*LN(BE5)+0.284)</f>
        <v>0.50858700810998547</v>
      </c>
      <c r="BG5" s="20">
        <f t="shared" si="7"/>
        <v>2.8330232135356752</v>
      </c>
      <c r="BH5" s="59">
        <f t="shared" si="8"/>
        <v>296.166356546869</v>
      </c>
      <c r="BI5" s="59">
        <f ca="1">AVERAGE(OFFSET($BH$3,0,0,'Données projet'!$E$11+1,1))-AVERAGE(OFFSET($H$3,0,0,'Données projet'!$E$11+1,1))</f>
        <v>210.04871822652808</v>
      </c>
      <c r="BJ5" s="59">
        <f t="shared" ref="BJ5:BJ68" si="38">$BJ$3</f>
        <v>250.17540614049324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5.6730769230769225</v>
      </c>
      <c r="BY5" s="12">
        <f>IF('Données projet'!$A$114&gt;35,BY4+BX5-CG4,IF(A5&lt;'Données projet'!$A$114,$BV$205^A5,IF(A5='Données projet'!$A$114,'Données projet'!$B$114,BY4+BX5-CG4)))</f>
        <v>11.346153846153845</v>
      </c>
      <c r="BZ5" s="13">
        <f>BY5*VLOOKUP('Données projet'!$B$12,Paramètres!$A$1:$I$89,3,0)*VLOOKUP('Données projet'!$B$12,Paramètres!$A$1:$I$89,5,0)</f>
        <v>5.4574999999999996</v>
      </c>
      <c r="CA5" s="13">
        <f t="shared" ref="CA5:CA68" si="39">EXP(-1.0587+0.8836*LN(BZ5)+0.284)</f>
        <v>2.0642378517335884</v>
      </c>
      <c r="CB5" s="20">
        <f t="shared" si="10"/>
        <v>13.100360091769332</v>
      </c>
      <c r="CC5" s="59">
        <f t="shared" si="11"/>
        <v>306.43369342510266</v>
      </c>
      <c r="CD5" s="59">
        <f ca="1">AVERAGE(OFFSET($CC$3,0,0,'Données projet'!$E$12+1,1))-AVERAGE(OFFSET($H$3,0,0,'Données projet'!$E$12+1,1))</f>
        <v>304.15237106473313</v>
      </c>
      <c r="CE5" s="59">
        <f t="shared" ref="CE5:CE68" si="40">$CE$3</f>
        <v>120.85458928724336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9.3968325791855207</v>
      </c>
      <c r="N6" s="13">
        <f>IF('Données projet'!$A$36&gt;35,N5+M6-V5,IF(A6&lt;'Données projet'!$A$36,$K$205^A6,IF(A6='Données projet'!$A$36,'Données projet'!$B$36,N5+M6-V5)))</f>
        <v>2.4481648641832221</v>
      </c>
      <c r="O6" s="13">
        <f>N6*VLOOKUP('Données projet'!$B$9,Paramètres!$A$1:$I$89,3,0)*VLOOKUP('Données projet'!$B$9,Paramètres!$A$1:$I$89,5,0)</f>
        <v>1.3685241590784212</v>
      </c>
      <c r="P6" s="13">
        <f t="shared" si="33"/>
        <v>0.60805763513553568</v>
      </c>
      <c r="Q6" s="20">
        <f t="shared" si="2"/>
        <v>3.4425466249226413</v>
      </c>
      <c r="R6" s="59">
        <f t="shared" si="0"/>
        <v>296.77587995825593</v>
      </c>
      <c r="S6" s="59">
        <f ca="1">AVERAGE(OFFSET($R$3,0,0,'Données projet'!$E$9+1,1))-AVERAGE(OFFSET($H$3,0,0,'Données projet'!$E$9+1,1))</f>
        <v>255.5374979188561</v>
      </c>
      <c r="T6" s="59">
        <f t="shared" si="34"/>
        <v>343.10418468620901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5.0999999999999996</v>
      </c>
      <c r="AI6" s="13">
        <f>IF('Données projet'!$A$62&gt;35,AI5+AH6-AQ5,IF(A6&lt;'Données projet'!$A$62,$AF$205^A6,IF(A6='Données projet'!$A$62,'Données projet'!$B$62,AI5+AH6-AQ5)))</f>
        <v>3.252902549146456</v>
      </c>
      <c r="AJ6" s="13">
        <f>AI6*VLOOKUP('Données projet'!$B$10,Paramètres!$A$1:$I$89,3,0)*VLOOKUP('Données projet'!$B$10,Paramètres!$A$1:$I$89,5,0)</f>
        <v>1.7760847918339648</v>
      </c>
      <c r="AK6" s="13">
        <f t="shared" si="35"/>
        <v>0.76555815346722778</v>
      </c>
      <c r="AL6" s="20">
        <f t="shared" si="4"/>
        <v>4.426694796399576</v>
      </c>
      <c r="AM6" s="59">
        <f t="shared" si="5"/>
        <v>297.76002812973292</v>
      </c>
      <c r="AN6" s="59">
        <f ca="1">AVERAGE(OFFSET($AM$3,0,0,'Données projet'!$E$10+1,1))-AVERAGE(OFFSET($H$3,0,0,'Données projet'!$E$10+1,1))</f>
        <v>248.1486444660062</v>
      </c>
      <c r="AO6" s="59">
        <f t="shared" si="36"/>
        <v>293.34458072322127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</v>
      </c>
      <c r="BD6" s="12">
        <f>IF('Données projet'!$A$88&gt;35,BD5+BC6-BL5,IF(A6&lt;'Données projet'!$A$88,$BA$205^A6,IF(A6='Données projet'!$A$88,'Données projet'!$B$88,BD5+BC6-BL5)))</f>
        <v>2.9301560515835217</v>
      </c>
      <c r="BE6" s="13">
        <f>BD6*VLOOKUP('Données projet'!$B$11,Paramètres!$A$1:$I$89,3,0)*VLOOKUP('Données projet'!$B$11,Paramètres!$A$1:$I$89,5,0)</f>
        <v>1.5998652041646029</v>
      </c>
      <c r="BF6" s="13">
        <f t="shared" si="37"/>
        <v>0.6980397444734262</v>
      </c>
      <c r="BG6" s="20">
        <f t="shared" si="7"/>
        <v>4.0021844522112344</v>
      </c>
      <c r="BH6" s="59">
        <f t="shared" si="8"/>
        <v>297.33551778554454</v>
      </c>
      <c r="BI6" s="59">
        <f ca="1">AVERAGE(OFFSET($BH$3,0,0,'Données projet'!$E$11+1,1))-AVERAGE(OFFSET($H$3,0,0,'Données projet'!$E$11+1,1))</f>
        <v>210.04871822652808</v>
      </c>
      <c r="BJ6" s="59">
        <f t="shared" si="38"/>
        <v>250.17540614049324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5.6730769230769225</v>
      </c>
      <c r="BY6" s="12">
        <f>IF('Données projet'!$A$114&gt;35,BY5+BX6-CG5,IF(A6&lt;'Données projet'!$A$114,$BV$205^A6,IF(A6='Données projet'!$A$114,'Données projet'!$B$114,BY5+BX6-CG5)))</f>
        <v>17.019230769230766</v>
      </c>
      <c r="BZ6" s="13">
        <f>BY6*VLOOKUP('Données projet'!$B$12,Paramètres!$A$1:$I$89,3,0)*VLOOKUP('Données projet'!$B$12,Paramètres!$A$1:$I$89,5,0)</f>
        <v>8.1862499999999994</v>
      </c>
      <c r="CA6" s="13">
        <f t="shared" si="39"/>
        <v>2.9536156051531814</v>
      </c>
      <c r="CB6" s="20">
        <f t="shared" si="10"/>
        <v>19.401932595641792</v>
      </c>
      <c r="CC6" s="59">
        <f t="shared" si="11"/>
        <v>312.73526592897508</v>
      </c>
      <c r="CD6" s="59">
        <f ca="1">AVERAGE(OFFSET($CC$3,0,0,'Données projet'!$E$12+1,1))-AVERAGE(OFFSET($H$3,0,0,'Données projet'!$E$12+1,1))</f>
        <v>304.15237106473313</v>
      </c>
      <c r="CE6" s="59">
        <f t="shared" si="40"/>
        <v>120.85458928724336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9.3968325791855207</v>
      </c>
      <c r="N7" s="13">
        <f>IF('Données projet'!$A$36&gt;35,N6+M7-V6,IF(A7&lt;'Données projet'!$A$36,$K$205^A7,IF(A7='Données projet'!$A$36,'Données projet'!$B$36,N6+M7-V6)))</f>
        <v>3.2995462042403512</v>
      </c>
      <c r="O7" s="13">
        <f>N7*VLOOKUP('Données projet'!$B$9,Paramètres!$A$1:$I$89,3,0)*VLOOKUP('Données projet'!$B$9,Paramètres!$A$1:$I$89,5,0)</f>
        <v>1.8444463281703563</v>
      </c>
      <c r="P7" s="13">
        <f t="shared" si="33"/>
        <v>0.79153711206256949</v>
      </c>
      <c r="Q7" s="20">
        <f t="shared" si="2"/>
        <v>4.591004491739012</v>
      </c>
      <c r="R7" s="59">
        <f t="shared" si="0"/>
        <v>297.92433782507231</v>
      </c>
      <c r="S7" s="59">
        <f ca="1">AVERAGE(OFFSET($R$3,0,0,'Données projet'!$E$9+1,1))-AVERAGE(OFFSET($H$3,0,0,'Données projet'!$E$9+1,1))</f>
        <v>255.5374979188561</v>
      </c>
      <c r="T7" s="59">
        <f t="shared" si="34"/>
        <v>343.10418468620901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5.0999999999999996</v>
      </c>
      <c r="AI7" s="13">
        <f>IF('Données projet'!$A$62&gt;35,AI6+AH7-AQ6,IF(A7&lt;'Données projet'!$A$62,$AF$205^A7,IF(A7='Données projet'!$A$62,'Données projet'!$B$62,AI6+AH7-AQ6)))</f>
        <v>4.8197894912282218</v>
      </c>
      <c r="AJ7" s="13">
        <f>AI7*VLOOKUP('Données projet'!$B$10,Paramètres!$A$1:$I$89,3,0)*VLOOKUP('Données projet'!$B$10,Paramètres!$A$1:$I$89,5,0)</f>
        <v>2.6316050622106091</v>
      </c>
      <c r="AK7" s="13">
        <f t="shared" si="35"/>
        <v>1.0835752756301034</v>
      </c>
      <c r="AL7" s="20">
        <f t="shared" si="4"/>
        <v>6.4706057550725733</v>
      </c>
      <c r="AM7" s="59">
        <f t="shared" si="5"/>
        <v>299.80393908840591</v>
      </c>
      <c r="AN7" s="59">
        <f ca="1">AVERAGE(OFFSET($AM$3,0,0,'Données projet'!$E$10+1,1))-AVERAGE(OFFSET($H$3,0,0,'Données projet'!$E$10+1,1))</f>
        <v>248.1486444660062</v>
      </c>
      <c r="AO7" s="59">
        <f t="shared" si="36"/>
        <v>293.34458072322127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</v>
      </c>
      <c r="BD7" s="12">
        <f>IF('Données projet'!$A$88&gt;35,BD6+BC7-BL6,IF(A7&lt;'Données projet'!$A$88,$BA$205^A7,IF(A7='Données projet'!$A$88,'Données projet'!$B$88,BD6+BC7-BL6)))</f>
        <v>4.192962712629476</v>
      </c>
      <c r="BE7" s="13">
        <f>BD7*VLOOKUP('Données projet'!$B$11,Paramètres!$A$1:$I$89,3,0)*VLOOKUP('Données projet'!$B$11,Paramètres!$A$1:$I$89,5,0)</f>
        <v>2.2893576410956937</v>
      </c>
      <c r="BF7" s="13">
        <f t="shared" si="37"/>
        <v>0.95806514341623272</v>
      </c>
      <c r="BG7" s="20">
        <f t="shared" si="7"/>
        <v>5.6559280163582706</v>
      </c>
      <c r="BH7" s="59">
        <f t="shared" si="8"/>
        <v>298.98926134969156</v>
      </c>
      <c r="BI7" s="59">
        <f ca="1">AVERAGE(OFFSET($BH$3,0,0,'Données projet'!$E$11+1,1))-AVERAGE(OFFSET($H$3,0,0,'Données projet'!$E$11+1,1))</f>
        <v>210.04871822652808</v>
      </c>
      <c r="BJ7" s="59">
        <f t="shared" si="38"/>
        <v>250.17540614049324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5.6730769230769225</v>
      </c>
      <c r="BY7" s="12">
        <f>IF('Données projet'!$A$114&gt;35,BY6+BX7-CG6,IF(A7&lt;'Données projet'!$A$114,$BV$205^A7,IF(A7='Données projet'!$A$114,'Données projet'!$B$114,BY6+BX7-CG6)))</f>
        <v>22.69230769230769</v>
      </c>
      <c r="BZ7" s="13">
        <f>BY7*VLOOKUP('Données projet'!$B$12,Paramètres!$A$1:$I$89,3,0)*VLOOKUP('Données projet'!$B$12,Paramètres!$A$1:$I$89,5,0)</f>
        <v>10.914999999999999</v>
      </c>
      <c r="CA7" s="13">
        <f t="shared" si="39"/>
        <v>3.8084638846798091</v>
      </c>
      <c r="CB7" s="20">
        <f t="shared" si="10"/>
        <v>25.643366265817331</v>
      </c>
      <c r="CC7" s="59">
        <f t="shared" si="11"/>
        <v>318.97669959915066</v>
      </c>
      <c r="CD7" s="59">
        <f ca="1">AVERAGE(OFFSET($CC$3,0,0,'Données projet'!$E$12+1,1))-AVERAGE(OFFSET($H$3,0,0,'Données projet'!$E$12+1,1))</f>
        <v>304.15237106473313</v>
      </c>
      <c r="CE7" s="59">
        <f t="shared" si="40"/>
        <v>120.85458928724336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9.3968325791855207</v>
      </c>
      <c r="N8" s="13">
        <f>IF('Données projet'!$A$36&gt;35,N7+M8-V7,IF(A8&lt;'Données projet'!$A$36,$K$205^A8,IF(A8='Données projet'!$A$36,'Données projet'!$B$36,N7+M8-V7)))</f>
        <v>4.4470065366897273</v>
      </c>
      <c r="O8" s="13">
        <f>N8*VLOOKUP('Données projet'!$B$9,Paramètres!$A$1:$I$89,3,0)*VLOOKUP('Données projet'!$B$9,Paramètres!$A$1:$I$89,5,0)</f>
        <v>2.4858766540095578</v>
      </c>
      <c r="P8" s="13">
        <f t="shared" si="33"/>
        <v>1.0303809434654976</v>
      </c>
      <c r="Q8" s="20">
        <f t="shared" si="2"/>
        <v>6.124148648935722</v>
      </c>
      <c r="R8" s="59">
        <f t="shared" si="0"/>
        <v>299.45748198226903</v>
      </c>
      <c r="S8" s="59">
        <f ca="1">AVERAGE(OFFSET($R$3,0,0,'Données projet'!$E$9+1,1))-AVERAGE(OFFSET($H$3,0,0,'Données projet'!$E$9+1,1))</f>
        <v>255.5374979188561</v>
      </c>
      <c r="T8" s="59">
        <f t="shared" si="34"/>
        <v>343.10418468620901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5.0999999999999996</v>
      </c>
      <c r="AI8" s="13">
        <f>IF('Données projet'!$A$62&gt;35,AI7+AH8-AQ7,IF(A8&lt;'Données projet'!$A$62,$AF$205^A8,IF(A8='Données projet'!$A$62,'Données projet'!$B$62,AI7+AH8-AQ7)))</f>
        <v>7.1414284285428478</v>
      </c>
      <c r="AJ8" s="13">
        <f>AI8*VLOOKUP('Données projet'!$B$10,Paramètres!$A$1:$I$89,3,0)*VLOOKUP('Données projet'!$B$10,Paramètres!$A$1:$I$89,5,0)</f>
        <v>3.8992199219843946</v>
      </c>
      <c r="AK8" s="13">
        <f t="shared" si="35"/>
        <v>1.5336984821325097</v>
      </c>
      <c r="AL8" s="20">
        <f t="shared" si="4"/>
        <v>9.462332887170275</v>
      </c>
      <c r="AM8" s="59">
        <f t="shared" si="5"/>
        <v>302.79566622050356</v>
      </c>
      <c r="AN8" s="59">
        <f ca="1">AVERAGE(OFFSET($AM$3,0,0,'Données projet'!$E$10+1,1))-AVERAGE(OFFSET($H$3,0,0,'Données projet'!$E$10+1,1))</f>
        <v>248.1486444660062</v>
      </c>
      <c r="AO8" s="59">
        <f t="shared" si="36"/>
        <v>293.34458072322127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</v>
      </c>
      <c r="BD8" s="12">
        <f>IF('Données projet'!$A$88&gt;35,BD7+BC8-BL7,IF(A8&lt;'Données projet'!$A$88,$BA$205^A8,IF(A8='Données projet'!$A$88,'Données projet'!$B$88,BD7+BC8-BL7)))</f>
        <v>6.0000000000000009</v>
      </c>
      <c r="BE8" s="13">
        <f>BD8*VLOOKUP('Données projet'!$B$11,Paramètres!$A$1:$I$89,3,0)*VLOOKUP('Données projet'!$B$11,Paramètres!$A$1:$I$89,5,0)</f>
        <v>3.2760000000000007</v>
      </c>
      <c r="BF8" s="13">
        <f t="shared" si="37"/>
        <v>1.3149520873221716</v>
      </c>
      <c r="BG8" s="20">
        <f t="shared" si="7"/>
        <v>7.9959082187527839</v>
      </c>
      <c r="BH8" s="59">
        <f t="shared" si="8"/>
        <v>301.3292415520861</v>
      </c>
      <c r="BI8" s="59">
        <f ca="1">AVERAGE(OFFSET($BH$3,0,0,'Données projet'!$E$11+1,1))-AVERAGE(OFFSET($H$3,0,0,'Données projet'!$E$11+1,1))</f>
        <v>210.04871822652808</v>
      </c>
      <c r="BJ8" s="59">
        <f t="shared" si="38"/>
        <v>250.17540614049324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5.6730769230769225</v>
      </c>
      <c r="BY8" s="12">
        <f>IF('Données projet'!$A$114&gt;35,BY7+BX8-CG7,IF(A8&lt;'Données projet'!$A$114,$BV$205^A8,IF(A8='Données projet'!$A$114,'Données projet'!$B$114,BY7+BX8-CG7)))</f>
        <v>28.365384615384613</v>
      </c>
      <c r="BZ8" s="13">
        <f>BY8*VLOOKUP('Données projet'!$B$12,Paramètres!$A$1:$I$89,3,0)*VLOOKUP('Données projet'!$B$12,Paramètres!$A$1:$I$89,5,0)</f>
        <v>13.643749999999999</v>
      </c>
      <c r="CA8" s="13">
        <f t="shared" si="39"/>
        <v>4.638521020782135</v>
      </c>
      <c r="CB8" s="20">
        <f t="shared" si="10"/>
        <v>31.841622027862211</v>
      </c>
      <c r="CC8" s="59">
        <f t="shared" si="11"/>
        <v>325.17495536119554</v>
      </c>
      <c r="CD8" s="59">
        <f ca="1">AVERAGE(OFFSET($CC$3,0,0,'Données projet'!$E$12+1,1))-AVERAGE(OFFSET($H$3,0,0,'Données projet'!$E$12+1,1))</f>
        <v>304.15237106473313</v>
      </c>
      <c r="CE8" s="59">
        <f t="shared" si="40"/>
        <v>120.85458928724336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9.3968325791855207</v>
      </c>
      <c r="N9" s="13">
        <f>IF('Données projet'!$A$36&gt;35,N8+M9-V8,IF(A9&lt;'Données projet'!$A$36,$K$205^A9,IF(A9='Données projet'!$A$36,'Données projet'!$B$36,N8+M9-V8)))</f>
        <v>5.9935112022212556</v>
      </c>
      <c r="O9" s="13">
        <f>N9*VLOOKUP('Données projet'!$B$9,Paramètres!$A$1:$I$89,3,0)*VLOOKUP('Données projet'!$B$9,Paramètres!$A$1:$I$89,5,0)</f>
        <v>3.3503727620416819</v>
      </c>
      <c r="P9" s="13">
        <f t="shared" si="33"/>
        <v>1.3412951489922369</v>
      </c>
      <c r="Q9" s="20">
        <f t="shared" si="2"/>
        <v>8.1713216117174081</v>
      </c>
      <c r="R9" s="59">
        <f t="shared" si="0"/>
        <v>301.50465494505073</v>
      </c>
      <c r="S9" s="59">
        <f ca="1">AVERAGE(OFFSET($R$3,0,0,'Données projet'!$E$9+1,1))-AVERAGE(OFFSET($H$3,0,0,'Données projet'!$E$9+1,1))</f>
        <v>255.5374979188561</v>
      </c>
      <c r="T9" s="59">
        <f t="shared" si="34"/>
        <v>343.10418468620901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5.0999999999999996</v>
      </c>
      <c r="AI9" s="13">
        <f>IF('Données projet'!$A$62&gt;35,AI8+AH9-AQ8,IF(A9&lt;'Données projet'!$A$62,$AF$205^A9,IF(A9='Données projet'!$A$62,'Données projet'!$B$62,AI8+AH9-AQ8)))</f>
        <v>10.581374994243513</v>
      </c>
      <c r="AJ9" s="13">
        <f>AI9*VLOOKUP('Données projet'!$B$10,Paramètres!$A$1:$I$89,3,0)*VLOOKUP('Données projet'!$B$10,Paramètres!$A$1:$I$89,5,0)</f>
        <v>5.7774307468569575</v>
      </c>
      <c r="AK9" s="13">
        <f t="shared" si="35"/>
        <v>2.1708053764218018</v>
      </c>
      <c r="AL9" s="20">
        <f t="shared" si="4"/>
        <v>13.843177914710504</v>
      </c>
      <c r="AM9" s="59">
        <f t="shared" si="5"/>
        <v>307.17651124804382</v>
      </c>
      <c r="AN9" s="59">
        <f ca="1">AVERAGE(OFFSET($AM$3,0,0,'Données projet'!$E$10+1,1))-AVERAGE(OFFSET($H$3,0,0,'Données projet'!$E$10+1,1))</f>
        <v>248.1486444660062</v>
      </c>
      <c r="AO9" s="59">
        <f t="shared" si="36"/>
        <v>293.34458072322127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</v>
      </c>
      <c r="BD9" s="12">
        <f>IF('Données projet'!$A$88&gt;35,BD8+BC9-BL8,IF(A9&lt;'Données projet'!$A$88,$BA$205^A9,IF(A9='Données projet'!$A$88,'Données projet'!$B$88,BD8+BC9-BL8)))</f>
        <v>8.5858144866315342</v>
      </c>
      <c r="BE9" s="13">
        <f>BD9*VLOOKUP('Données projet'!$B$11,Paramètres!$A$1:$I$89,3,0)*VLOOKUP('Données projet'!$B$11,Paramètres!$A$1:$I$89,5,0)</f>
        <v>4.6878547097008179</v>
      </c>
      <c r="BF9" s="13">
        <f t="shared" si="37"/>
        <v>1.8047822779434171</v>
      </c>
      <c r="BG9" s="20">
        <f t="shared" si="7"/>
        <v>11.308009420147043</v>
      </c>
      <c r="BH9" s="59">
        <f t="shared" si="8"/>
        <v>304.64134275348033</v>
      </c>
      <c r="BI9" s="59">
        <f ca="1">AVERAGE(OFFSET($BH$3,0,0,'Données projet'!$E$11+1,1))-AVERAGE(OFFSET($H$3,0,0,'Données projet'!$E$11+1,1))</f>
        <v>210.04871822652808</v>
      </c>
      <c r="BJ9" s="59">
        <f t="shared" si="38"/>
        <v>250.17540614049324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5.6730769230769225</v>
      </c>
      <c r="BY9" s="12">
        <f>IF('Données projet'!$A$114&gt;35,BY8+BX9-CG8,IF(A9&lt;'Données projet'!$A$114,$BV$205^A9,IF(A9='Données projet'!$A$114,'Données projet'!$B$114,BY8+BX9-CG8)))</f>
        <v>34.038461538461533</v>
      </c>
      <c r="BZ9" s="13">
        <f>BY9*VLOOKUP('Données projet'!$B$12,Paramètres!$A$1:$I$89,3,0)*VLOOKUP('Données projet'!$B$12,Paramètres!$A$1:$I$89,5,0)</f>
        <v>16.372499999999999</v>
      </c>
      <c r="CA9" s="13">
        <f t="shared" si="39"/>
        <v>5.4493421637461372</v>
      </c>
      <c r="CB9" s="20">
        <f t="shared" si="10"/>
        <v>38.006375101857856</v>
      </c>
      <c r="CC9" s="59">
        <f t="shared" si="11"/>
        <v>331.33970843519114</v>
      </c>
      <c r="CD9" s="59">
        <f ca="1">AVERAGE(OFFSET($CC$3,0,0,'Données projet'!$E$12+1,1))-AVERAGE(OFFSET($H$3,0,0,'Données projet'!$E$12+1,1))</f>
        <v>304.15237106473313</v>
      </c>
      <c r="CE9" s="59">
        <f t="shared" si="40"/>
        <v>120.85458928724336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9.3968325791855207</v>
      </c>
      <c r="N10" s="13">
        <f>IF('Données projet'!$A$36&gt;35,N9+M10-V9,IF(A10&lt;'Données projet'!$A$36,$K$205^A10,IF(A10='Données projet'!$A$36,'Données projet'!$B$36,N9+M10-V9)))</f>
        <v>8.0778330849703455</v>
      </c>
      <c r="O10" s="13">
        <f>N10*VLOOKUP('Données projet'!$B$9,Paramètres!$A$1:$I$89,3,0)*VLOOKUP('Données projet'!$B$9,Paramètres!$A$1:$I$89,5,0)</f>
        <v>4.5155086944984228</v>
      </c>
      <c r="P10" s="13">
        <f t="shared" si="33"/>
        <v>1.7460267371204046</v>
      </c>
      <c r="Q10" s="20">
        <f t="shared" si="2"/>
        <v>10.905507543402789</v>
      </c>
      <c r="R10" s="59">
        <f t="shared" si="0"/>
        <v>304.23884087673611</v>
      </c>
      <c r="S10" s="59">
        <f ca="1">AVERAGE(OFFSET($R$3,0,0,'Données projet'!$E$9+1,1))-AVERAGE(OFFSET($H$3,0,0,'Données projet'!$E$9+1,1))</f>
        <v>255.5374979188561</v>
      </c>
      <c r="T10" s="59">
        <f t="shared" si="34"/>
        <v>343.10418468620901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5.0999999999999996</v>
      </c>
      <c r="AI10" s="13">
        <f>IF('Données projet'!$A$62&gt;35,AI9+AH10-AQ9,IF(A10&lt;'Données projet'!$A$62,$AF$205^A10,IF(A10='Données projet'!$A$62,'Données projet'!$B$62,AI9+AH10-AQ9)))</f>
        <v>15.678305522365584</v>
      </c>
      <c r="AJ10" s="13">
        <f>AI10*VLOOKUP('Données projet'!$B$10,Paramètres!$A$1:$I$89,3,0)*VLOOKUP('Données projet'!$B$10,Paramètres!$A$1:$I$89,5,0)</f>
        <v>8.5603548152116087</v>
      </c>
      <c r="AK10" s="13">
        <f t="shared" si="35"/>
        <v>3.0725700241611493</v>
      </c>
      <c r="AL10" s="20">
        <f t="shared" si="4"/>
        <v>20.260677428574223</v>
      </c>
      <c r="AM10" s="59">
        <f t="shared" si="5"/>
        <v>313.59401076190755</v>
      </c>
      <c r="AN10" s="59">
        <f ca="1">AVERAGE(OFFSET($AM$3,0,0,'Données projet'!$E$10+1,1))-AVERAGE(OFFSET($H$3,0,0,'Données projet'!$E$10+1,1))</f>
        <v>248.1486444660062</v>
      </c>
      <c r="AO10" s="59">
        <f t="shared" si="36"/>
        <v>293.34458072322127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</v>
      </c>
      <c r="BD10" s="12">
        <f>IF('Données projet'!$A$88&gt;35,BD9+BC10-BL9,IF(A10&lt;'Données projet'!$A$88,$BA$205^A10,IF(A10='Données projet'!$A$88,'Données projet'!$B$88,BD9+BC10-BL9)))</f>
        <v>12.286035066475318</v>
      </c>
      <c r="BE10" s="13">
        <f>BD10*VLOOKUP('Données projet'!$B$11,Paramètres!$A$1:$I$89,3,0)*VLOOKUP('Données projet'!$B$11,Paramètres!$A$1:$I$89,5,0)</f>
        <v>6.708175146295523</v>
      </c>
      <c r="BF10" s="13">
        <f t="shared" si="37"/>
        <v>2.4770781400954469</v>
      </c>
      <c r="BG10" s="20">
        <f t="shared" si="7"/>
        <v>15.997649473797606</v>
      </c>
      <c r="BH10" s="59">
        <f t="shared" si="8"/>
        <v>309.33098280713091</v>
      </c>
      <c r="BI10" s="59">
        <f ca="1">AVERAGE(OFFSET($BH$3,0,0,'Données projet'!$E$11+1,1))-AVERAGE(OFFSET($H$3,0,0,'Données projet'!$E$11+1,1))</f>
        <v>210.04871822652808</v>
      </c>
      <c r="BJ10" s="59">
        <f t="shared" si="38"/>
        <v>250.17540614049324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5.6730769230769225</v>
      </c>
      <c r="BY10" s="12">
        <f>IF('Données projet'!$A$114&gt;35,BY9+BX10-CG9,IF(A10&lt;'Données projet'!$A$114,$BV$205^A10,IF(A10='Données projet'!$A$114,'Données projet'!$B$114,BY9+BX10-CG9)))</f>
        <v>39.711538461538453</v>
      </c>
      <c r="BZ10" s="13">
        <f>BY10*VLOOKUP('Données projet'!$B$12,Paramètres!$A$1:$I$89,3,0)*VLOOKUP('Données projet'!$B$12,Paramètres!$A$1:$I$89,5,0)</f>
        <v>19.101249999999997</v>
      </c>
      <c r="CA10" s="13">
        <f t="shared" si="39"/>
        <v>6.2445085041681727</v>
      </c>
      <c r="CB10" s="20">
        <f t="shared" si="10"/>
        <v>44.143862728092891</v>
      </c>
      <c r="CC10" s="59">
        <f t="shared" si="11"/>
        <v>337.47719606142618</v>
      </c>
      <c r="CD10" s="59">
        <f ca="1">AVERAGE(OFFSET($CC$3,0,0,'Données projet'!$E$12+1,1))-AVERAGE(OFFSET($H$3,0,0,'Données projet'!$E$12+1,1))</f>
        <v>304.15237106473313</v>
      </c>
      <c r="CE10" s="59">
        <f t="shared" si="40"/>
        <v>120.85458928724336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9.3968325791855207</v>
      </c>
      <c r="N11" s="13">
        <f>IF('Données projet'!$A$36&gt;35,N10+M11-V10,IF(A11&lt;'Données projet'!$A$36,$K$205^A11,IF(A11='Données projet'!$A$36,'Données projet'!$B$36,N10+M11-V10)))</f>
        <v>10.88700515391691</v>
      </c>
      <c r="O11" s="13">
        <f>N11*VLOOKUP('Données projet'!$B$9,Paramètres!$A$1:$I$89,3,0)*VLOOKUP('Données projet'!$B$9,Paramètres!$A$1:$I$89,5,0)</f>
        <v>6.0858358810395528</v>
      </c>
      <c r="P11" s="13">
        <f t="shared" si="33"/>
        <v>2.2728848076650809</v>
      </c>
      <c r="Q11" s="20">
        <f t="shared" si="2"/>
        <v>14.558105199493902</v>
      </c>
      <c r="R11" s="59">
        <f t="shared" si="0"/>
        <v>307.89143853282724</v>
      </c>
      <c r="S11" s="59">
        <f ca="1">AVERAGE(OFFSET($R$3,0,0,'Données projet'!$E$9+1,1))-AVERAGE(OFFSET($H$3,0,0,'Données projet'!$E$9+1,1))</f>
        <v>255.5374979188561</v>
      </c>
      <c r="T11" s="59">
        <f t="shared" si="34"/>
        <v>343.10418468620901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5.0999999999999996</v>
      </c>
      <c r="AI11" s="13">
        <f>IF('Données projet'!$A$62&gt;35,AI10+AH11-AQ10,IF(A11&lt;'Données projet'!$A$62,$AF$205^A11,IF(A11='Données projet'!$A$62,'Données projet'!$B$62,AI10+AH11-AQ10)))</f>
        <v>23.230370739754001</v>
      </c>
      <c r="AJ11" s="13">
        <f>AI11*VLOOKUP('Données projet'!$B$10,Paramètres!$A$1:$I$89,3,0)*VLOOKUP('Données projet'!$B$10,Paramètres!$A$1:$I$89,5,0)</f>
        <v>12.683782423905685</v>
      </c>
      <c r="AK11" s="13">
        <f t="shared" si="35"/>
        <v>4.348932730641649</v>
      </c>
      <c r="AL11" s="20">
        <f t="shared" si="4"/>
        <v>29.665312227503268</v>
      </c>
      <c r="AM11" s="59">
        <f t="shared" si="5"/>
        <v>322.99864556083656</v>
      </c>
      <c r="AN11" s="59">
        <f ca="1">AVERAGE(OFFSET($AM$3,0,0,'Données projet'!$E$10+1,1))-AVERAGE(OFFSET($H$3,0,0,'Données projet'!$E$10+1,1))</f>
        <v>248.1486444660062</v>
      </c>
      <c r="AO11" s="59">
        <f t="shared" si="36"/>
        <v>293.34458072322127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</v>
      </c>
      <c r="BD11" s="12">
        <f>IF('Données projet'!$A$88&gt;35,BD10+BC11-BL10,IF(A11&lt;'Données projet'!$A$88,$BA$205^A11,IF(A11='Données projet'!$A$88,'Données projet'!$B$88,BD10+BC11-BL10)))</f>
        <v>17.580936309501134</v>
      </c>
      <c r="BE11" s="13">
        <f>BD11*VLOOKUP('Données projet'!$B$11,Paramètres!$A$1:$I$89,3,0)*VLOOKUP('Données projet'!$B$11,Paramètres!$A$1:$I$89,5,0)</f>
        <v>9.599191224987619</v>
      </c>
      <c r="BF11" s="13">
        <f t="shared" si="37"/>
        <v>3.3998095987127641</v>
      </c>
      <c r="BG11" s="20">
        <f t="shared" si="7"/>
        <v>22.6399264346115</v>
      </c>
      <c r="BH11" s="59">
        <f t="shared" si="8"/>
        <v>315.9732597679448</v>
      </c>
      <c r="BI11" s="59">
        <f ca="1">AVERAGE(OFFSET($BH$3,0,0,'Données projet'!$E$11+1,1))-AVERAGE(OFFSET($H$3,0,0,'Données projet'!$E$11+1,1))</f>
        <v>210.04871822652808</v>
      </c>
      <c r="BJ11" s="59">
        <f t="shared" si="38"/>
        <v>250.17540614049324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5.6730769230769225</v>
      </c>
      <c r="BY11" s="12">
        <f>IF('Données projet'!$A$114&gt;35,BY10+BX11-CG10,IF(A11&lt;'Données projet'!$A$114,$BV$205^A11,IF(A11='Données projet'!$A$114,'Données projet'!$B$114,BY10+BX11-CG10)))</f>
        <v>45.384615384615373</v>
      </c>
      <c r="BZ11" s="13">
        <f>BY11*VLOOKUP('Données projet'!$B$12,Paramètres!$A$1:$I$89,3,0)*VLOOKUP('Données projet'!$B$12,Paramètres!$A$1:$I$89,5,0)</f>
        <v>21.829999999999995</v>
      </c>
      <c r="CA11" s="13">
        <f t="shared" si="39"/>
        <v>7.0265144826839263</v>
      </c>
      <c r="CB11" s="20">
        <f t="shared" si="10"/>
        <v>50.258429390674486</v>
      </c>
      <c r="CC11" s="59">
        <f t="shared" si="11"/>
        <v>343.59176272400782</v>
      </c>
      <c r="CD11" s="59">
        <f ca="1">AVERAGE(OFFSET($CC$3,0,0,'Données projet'!$E$12+1,1))-AVERAGE(OFFSET($H$3,0,0,'Données projet'!$E$12+1,1))</f>
        <v>304.15237106473313</v>
      </c>
      <c r="CE11" s="59">
        <f t="shared" si="40"/>
        <v>120.85458928724336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9.3968325791855207</v>
      </c>
      <c r="N12" s="13">
        <f>IF('Données projet'!$A$36&gt;35,N11+M12-V11,IF(A12&lt;'Données projet'!$A$36,$K$205^A12,IF(A12='Données projet'!$A$36,'Données projet'!$B$36,N11+M12-V11)))</f>
        <v>14.673103538366622</v>
      </c>
      <c r="O12" s="13">
        <f>N12*VLOOKUP('Données projet'!$B$9,Paramètres!$A$1:$I$89,3,0)*VLOOKUP('Données projet'!$B$9,Paramètres!$A$1:$I$89,5,0)</f>
        <v>8.2022648779469414</v>
      </c>
      <c r="P12" s="13">
        <f t="shared" si="33"/>
        <v>2.9587206421790828</v>
      </c>
      <c r="Q12" s="20">
        <f t="shared" si="2"/>
        <v>19.438716447552824</v>
      </c>
      <c r="R12" s="59">
        <f t="shared" si="0"/>
        <v>312.77204978088616</v>
      </c>
      <c r="S12" s="59">
        <f ca="1">AVERAGE(OFFSET($R$3,0,0,'Données projet'!$E$9+1,1))-AVERAGE(OFFSET($H$3,0,0,'Données projet'!$E$9+1,1))</f>
        <v>255.5374979188561</v>
      </c>
      <c r="T12" s="59">
        <f t="shared" si="34"/>
        <v>343.10418468620901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5.0999999999999996</v>
      </c>
      <c r="AI12" s="13">
        <f>IF('Données projet'!$A$62&gt;35,AI11+AH12-AQ11,IF(A12&lt;'Données projet'!$A$62,$AF$205^A12,IF(A12='Données projet'!$A$62,'Données projet'!$B$62,AI11+AH12-AQ11)))</f>
        <v>34.420181692249294</v>
      </c>
      <c r="AJ12" s="13">
        <f>AI12*VLOOKUP('Données projet'!$B$10,Paramètres!$A$1:$I$89,3,0)*VLOOKUP('Données projet'!$B$10,Paramètres!$A$1:$I$89,5,0)</f>
        <v>18.793419203968114</v>
      </c>
      <c r="AK12" s="13">
        <f t="shared" si="35"/>
        <v>6.1555036164911439</v>
      </c>
      <c r="AL12" s="20">
        <f t="shared" si="4"/>
        <v>43.452707245633206</v>
      </c>
      <c r="AM12" s="59">
        <f t="shared" si="5"/>
        <v>336.78604057896655</v>
      </c>
      <c r="AN12" s="59">
        <f ca="1">AVERAGE(OFFSET($AM$3,0,0,'Données projet'!$E$10+1,1))-AVERAGE(OFFSET($H$3,0,0,'Données projet'!$E$10+1,1))</f>
        <v>248.1486444660062</v>
      </c>
      <c r="AO12" s="59">
        <f t="shared" si="36"/>
        <v>293.34458072322127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</v>
      </c>
      <c r="BD12" s="12">
        <f>IF('Données projet'!$A$88&gt;35,BD11+BC12-BL11,IF(A12&lt;'Données projet'!$A$88,$BA$205^A12,IF(A12='Données projet'!$A$88,'Données projet'!$B$88,BD11+BC12-BL11)))</f>
        <v>25.157776275776861</v>
      </c>
      <c r="BE12" s="13">
        <f>BD12*VLOOKUP('Données projet'!$B$11,Paramètres!$A$1:$I$89,3,0)*VLOOKUP('Données projet'!$B$11,Paramètres!$A$1:$I$89,5,0)</f>
        <v>13.736145846574166</v>
      </c>
      <c r="BF12" s="13">
        <f t="shared" si="37"/>
        <v>4.6662659204824557</v>
      </c>
      <c r="BG12" s="20">
        <f t="shared" si="7"/>
        <v>32.050867160956948</v>
      </c>
      <c r="BH12" s="59">
        <f t="shared" si="8"/>
        <v>325.38420049429027</v>
      </c>
      <c r="BI12" s="59">
        <f ca="1">AVERAGE(OFFSET($BH$3,0,0,'Données projet'!$E$11+1,1))-AVERAGE(OFFSET($H$3,0,0,'Données projet'!$E$11+1,1))</f>
        <v>210.04871822652808</v>
      </c>
      <c r="BJ12" s="59">
        <f t="shared" si="38"/>
        <v>250.17540614049324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5.6730769230769225</v>
      </c>
      <c r="BY12" s="12">
        <f>IF('Données projet'!$A$114&gt;35,BY11+BX12-CG11,IF(A12&lt;'Données projet'!$A$114,$BV$205^A12,IF(A12='Données projet'!$A$114,'Données projet'!$B$114,BY11+BX12-CG11)))</f>
        <v>51.057692307692292</v>
      </c>
      <c r="BZ12" s="13">
        <f>BY12*VLOOKUP('Données projet'!$B$12,Paramètres!$A$1:$I$89,3,0)*VLOOKUP('Données projet'!$B$12,Paramètres!$A$1:$I$89,5,0)</f>
        <v>24.558749999999993</v>
      </c>
      <c r="CA12" s="13">
        <f t="shared" si="39"/>
        <v>7.7971935448924494</v>
      </c>
      <c r="CB12" s="20">
        <f t="shared" si="10"/>
        <v>56.353268340687663</v>
      </c>
      <c r="CC12" s="59">
        <f t="shared" si="11"/>
        <v>349.68660167402095</v>
      </c>
      <c r="CD12" s="59">
        <f ca="1">AVERAGE(OFFSET($CC$3,0,0,'Données projet'!$E$12+1,1))-AVERAGE(OFFSET($H$3,0,0,'Données projet'!$E$12+1,1))</f>
        <v>304.15237106473313</v>
      </c>
      <c r="CE12" s="59">
        <f t="shared" si="40"/>
        <v>120.85458928724336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9.3968325791855207</v>
      </c>
      <c r="N13" s="13">
        <f>IF('Données projet'!$A$36&gt;35,N12+M13-V12,IF(A13&lt;'Données projet'!$A$36,$K$205^A13,IF(A13='Données projet'!$A$36,'Données projet'!$B$36,N12+M13-V12)))</f>
        <v>19.775867137361168</v>
      </c>
      <c r="O13" s="13">
        <f>N13*VLOOKUP('Données projet'!$B$9,Paramètres!$A$1:$I$89,3,0)*VLOOKUP('Données projet'!$B$9,Paramètres!$A$1:$I$89,5,0)</f>
        <v>11.054709729784893</v>
      </c>
      <c r="P13" s="13">
        <f t="shared" si="33"/>
        <v>3.851505280397189</v>
      </c>
      <c r="Q13" s="20">
        <f t="shared" si="2"/>
        <v>25.96165780940046</v>
      </c>
      <c r="R13" s="59">
        <f t="shared" si="0"/>
        <v>319.29499114273375</v>
      </c>
      <c r="S13" s="59">
        <f ca="1">AVERAGE(OFFSET($R$3,0,0,'Données projet'!$E$9+1,1))-AVERAGE(OFFSET($H$3,0,0,'Données projet'!$E$9+1,1))</f>
        <v>255.5374979188561</v>
      </c>
      <c r="T13" s="59">
        <f t="shared" si="34"/>
        <v>343.10418468620901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51</v>
      </c>
      <c r="AG13" s="12">
        <f>VLOOKUP(A13,'Données projet'!$A$61:$I$81,9,0)</f>
        <v>5.0999999999999996</v>
      </c>
      <c r="AH13" s="12">
        <f t="array" ref="AH13">INDEX(AG:AG,MIN(IF(ISNUMBER(AG13:AG209),ROW(AG13:AG209),"")))</f>
        <v>5.0999999999999996</v>
      </c>
      <c r="AI13" s="13">
        <f>IF('Données projet'!$A$62&gt;35,AI12+AH13-AQ12,IF(A13&lt;'Données projet'!$A$62,$AF$205^A13,IF(A13='Données projet'!$A$62,'Données projet'!$B$62,AI12+AH13-AQ12)))</f>
        <v>51</v>
      </c>
      <c r="AJ13" s="13">
        <f>AI13*VLOOKUP('Données projet'!$B$10,Paramètres!$A$1:$I$89,3,0)*VLOOKUP('Données projet'!$B$10,Paramètres!$A$1:$I$89,5,0)</f>
        <v>27.846</v>
      </c>
      <c r="AK13" s="13">
        <f t="shared" si="35"/>
        <v>8.7125341134088217</v>
      </c>
      <c r="AL13" s="20">
        <f t="shared" si="4"/>
        <v>63.672780247520365</v>
      </c>
      <c r="AM13" s="59">
        <f t="shared" si="5"/>
        <v>357.00611358085371</v>
      </c>
      <c r="AN13" s="59">
        <f ca="1">AVERAGE(OFFSET($AM$3,0,0,'Données projet'!$E$10+1,1))-AVERAGE(OFFSET($H$3,0,0,'Données projet'!$E$10+1,1))</f>
        <v>248.1486444660062</v>
      </c>
      <c r="AO13" s="59">
        <f t="shared" si="36"/>
        <v>293.34458072322127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8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0.3</v>
      </c>
      <c r="AT13" s="16">
        <f>IF(ISNA(VLOOKUP(A13,'Données projet'!$A$61:$I$81,7,0)),0%,VLOOKUP(A13,'Données projet'!$A$61:$I$81,7,0))</f>
        <v>0.5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1.7314855945965917</v>
      </c>
      <c r="AW13" s="21">
        <f>EXP(-LN(2)/2)*AW12+(1-EXP(-LN(2)/2))/(LN(2)/2)*AQ13*AT13*VLOOKUP('Données projet'!$B$10,Paramètres!$A$1:$I$89,3,0)*0.475*44/12</f>
        <v>2.4727953377978014</v>
      </c>
      <c r="AX13" s="21">
        <f t="shared" si="6"/>
        <v>4.2042809323943935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36</v>
      </c>
      <c r="BB13" s="12">
        <f>VLOOKUP(A13,'Données projet'!$A$87:$I$107,9,0)</f>
        <v>3.6</v>
      </c>
      <c r="BC13" s="12">
        <f t="array" ref="BC13">INDEX(BB:BB,MIN(IF(ISNUMBER(BB13:BB209),ROW(BB13:BB209),"")))</f>
        <v>3.6</v>
      </c>
      <c r="BD13" s="12">
        <f>IF('Données projet'!$A$88&gt;35,BD12+BC13-BL12,IF(A13&lt;'Données projet'!$A$88,$BA$205^A13,IF(A13='Données projet'!$A$88,'Données projet'!$B$88,BD12+BC13-BL12)))</f>
        <v>36</v>
      </c>
      <c r="BE13" s="13">
        <f>BD13*VLOOKUP('Données projet'!$B$11,Paramètres!$A$1:$I$89,3,0)*VLOOKUP('Données projet'!$B$11,Paramètres!$A$1:$I$89,5,0)</f>
        <v>19.655999999999999</v>
      </c>
      <c r="BF13" s="13">
        <f t="shared" si="37"/>
        <v>6.4044873715575275</v>
      </c>
      <c r="BG13" s="20">
        <f t="shared" si="7"/>
        <v>45.388682172129364</v>
      </c>
      <c r="BH13" s="59">
        <f t="shared" si="8"/>
        <v>338.72201550546265</v>
      </c>
      <c r="BI13" s="59">
        <f ca="1">AVERAGE(OFFSET($BH$3,0,0,'Données projet'!$E$11+1,1))-AVERAGE(OFFSET($H$3,0,0,'Données projet'!$E$11+1,1))</f>
        <v>210.04871822652808</v>
      </c>
      <c r="BJ13" s="59">
        <f t="shared" si="38"/>
        <v>250.17540614049324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5.6730769230769225</v>
      </c>
      <c r="BY13" s="12">
        <f>IF('Données projet'!$A$114&gt;35,BY12+BX13-CG12,IF(A13&lt;'Données projet'!$A$114,$BV$205^A13,IF(A13='Données projet'!$A$114,'Données projet'!$B$114,BY12+BX13-CG12)))</f>
        <v>56.730769230769212</v>
      </c>
      <c r="BZ13" s="13">
        <f>BY13*VLOOKUP('Données projet'!$B$12,Paramètres!$A$1:$I$89,3,0)*VLOOKUP('Données projet'!$B$12,Paramètres!$A$1:$I$89,5,0)</f>
        <v>27.287499999999994</v>
      </c>
      <c r="CA13" s="13">
        <f t="shared" si="39"/>
        <v>8.55794780196522</v>
      </c>
      <c r="CB13" s="20">
        <f t="shared" si="10"/>
        <v>62.430821588422752</v>
      </c>
      <c r="CC13" s="59">
        <f t="shared" si="11"/>
        <v>355.76415492175607</v>
      </c>
      <c r="CD13" s="59">
        <f ca="1">AVERAGE(OFFSET($CC$3,0,0,'Données projet'!$E$12+1,1))-AVERAGE(OFFSET($H$3,0,0,'Données projet'!$E$12+1,1))</f>
        <v>304.15237106473313</v>
      </c>
      <c r="CE13" s="59">
        <f t="shared" si="40"/>
        <v>120.85458928724336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9.3968325791855207</v>
      </c>
      <c r="N14" s="13">
        <f>IF('Données projet'!$A$36&gt;35,N13+M14-V13,IF(A14&lt;'Données projet'!$A$36,$K$205^A14,IF(A14='Données projet'!$A$36,'Données projet'!$B$36,N13+M14-V13)))</f>
        <v>26.653183494001031</v>
      </c>
      <c r="O14" s="13">
        <f>N14*VLOOKUP('Données projet'!$B$9,Paramètres!$A$1:$I$89,3,0)*VLOOKUP('Données projet'!$B$9,Paramètres!$A$1:$I$89,5,0)</f>
        <v>14.899129573146578</v>
      </c>
      <c r="P14" s="13">
        <f t="shared" si="33"/>
        <v>5.013684872256877</v>
      </c>
      <c r="Q14" s="20">
        <f t="shared" si="2"/>
        <v>34.681485159077681</v>
      </c>
      <c r="R14" s="59">
        <f t="shared" si="0"/>
        <v>328.014818492411</v>
      </c>
      <c r="S14" s="59">
        <f ca="1">AVERAGE(OFFSET($R$3,0,0,'Données projet'!$E$9+1,1))-AVERAGE(OFFSET($H$3,0,0,'Données projet'!$E$9+1,1))</f>
        <v>255.5374979188561</v>
      </c>
      <c r="T14" s="59">
        <f t="shared" si="34"/>
        <v>343.10418468620901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16.7</v>
      </c>
      <c r="AI14" s="13">
        <f>IF('Données projet'!$A$62&gt;35,AI13+AH14-AQ13,IF(A14&lt;'Données projet'!$A$62,$AF$205^A14,IF(A14='Données projet'!$A$62,'Données projet'!$B$62,AI13+AH14-AQ13)))</f>
        <v>59.7</v>
      </c>
      <c r="AJ14" s="13">
        <f>AI14*VLOOKUP('Données projet'!$B$10,Paramètres!$A$1:$I$89,3,0)*VLOOKUP('Données projet'!$B$10,Paramètres!$A$1:$I$89,5,0)</f>
        <v>32.596200000000003</v>
      </c>
      <c r="AK14" s="13">
        <f t="shared" si="35"/>
        <v>10.013511546777837</v>
      </c>
      <c r="AL14" s="20">
        <f t="shared" si="4"/>
        <v>74.211914277304729</v>
      </c>
      <c r="AM14" s="59">
        <f t="shared" si="5"/>
        <v>367.54524761063806</v>
      </c>
      <c r="AN14" s="59">
        <f ca="1">AVERAGE(OFFSET($AM$3,0,0,'Données projet'!$E$10+1,1))-AVERAGE(OFFSET($H$3,0,0,'Données projet'!$E$10+1,1))</f>
        <v>248.1486444660062</v>
      </c>
      <c r="AO14" s="59">
        <f t="shared" si="36"/>
        <v>293.34458072322127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1.6841380299574777</v>
      </c>
      <c r="AW14" s="21">
        <f>EXP(-LN(2)/2)*AW13+(1-EXP(-LN(2)/2))/(LN(2)/2)*AQ14*AT14*VLOOKUP('Données projet'!$B$10,Paramètres!$A$1:$I$89,3,0)*0.475*44/12</f>
        <v>1.7485303518433049</v>
      </c>
      <c r="AX14" s="21">
        <f t="shared" si="6"/>
        <v>3.4326683818007826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14.1</v>
      </c>
      <c r="BD14" s="12">
        <f>IF('Données projet'!$A$88&gt;35,BD13+BC14-BL13,IF(A14&lt;'Données projet'!$A$88,$BA$205^A14,IF(A14='Données projet'!$A$88,'Données projet'!$B$88,BD13+BC14-BL13)))</f>
        <v>50.1</v>
      </c>
      <c r="BE14" s="13">
        <f>BD14*VLOOKUP('Données projet'!$B$11,Paramètres!$A$1:$I$89,3,0)*VLOOKUP('Données projet'!$B$11,Paramètres!$A$1:$I$89,5,0)</f>
        <v>27.354600000000001</v>
      </c>
      <c r="BF14" s="13">
        <f t="shared" si="37"/>
        <v>8.5765396264451574</v>
      </c>
      <c r="BG14" s="20">
        <f t="shared" si="7"/>
        <v>62.580068182725313</v>
      </c>
      <c r="BH14" s="59">
        <f t="shared" si="8"/>
        <v>355.91340151605863</v>
      </c>
      <c r="BI14" s="59">
        <f ca="1">AVERAGE(OFFSET($BH$3,0,0,'Données projet'!$E$11+1,1))-AVERAGE(OFFSET($H$3,0,0,'Données projet'!$E$11+1,1))</f>
        <v>210.04871822652808</v>
      </c>
      <c r="BJ14" s="59">
        <f t="shared" si="38"/>
        <v>250.17540614049324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5.6730769230769225</v>
      </c>
      <c r="BY14" s="12">
        <f>IF('Données projet'!$A$114&gt;35,BY13+BX14-CG13,IF(A14&lt;'Données projet'!$A$114,$BV$205^A14,IF(A14='Données projet'!$A$114,'Données projet'!$B$114,BY13+BX14-CG13)))</f>
        <v>62.403846153846132</v>
      </c>
      <c r="BZ14" s="13">
        <f>BY14*VLOOKUP('Données projet'!$B$12,Paramètres!$A$1:$I$89,3,0)*VLOOKUP('Données projet'!$B$12,Paramètres!$A$1:$I$89,5,0)</f>
        <v>30.016249999999989</v>
      </c>
      <c r="CA14" s="13">
        <f t="shared" si="39"/>
        <v>9.3098827155541919</v>
      </c>
      <c r="CB14" s="20">
        <f t="shared" si="10"/>
        <v>68.493014479590201</v>
      </c>
      <c r="CC14" s="59">
        <f t="shared" si="11"/>
        <v>361.82634781292353</v>
      </c>
      <c r="CD14" s="59">
        <f ca="1">AVERAGE(OFFSET($CC$3,0,0,'Données projet'!$E$12+1,1))-AVERAGE(OFFSET($H$3,0,0,'Données projet'!$E$12+1,1))</f>
        <v>304.15237106473313</v>
      </c>
      <c r="CE14" s="59">
        <f t="shared" si="40"/>
        <v>120.85458928724336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9.3968325791855207</v>
      </c>
      <c r="N15" s="13">
        <f>IF('Données projet'!$A$36&gt;35,N14+M15-V14,IF(A15&lt;'Données projet'!$A$36,$K$205^A15,IF(A15='Données projet'!$A$36,'Données projet'!$B$36,N14+M15-V14)))</f>
        <v>35.922176531151678</v>
      </c>
      <c r="O15" s="13">
        <f>N15*VLOOKUP('Données projet'!$B$9,Paramètres!$A$1:$I$89,3,0)*VLOOKUP('Données projet'!$B$9,Paramètres!$A$1:$I$89,5,0)</f>
        <v>20.080496680913789</v>
      </c>
      <c r="P15" s="13">
        <f t="shared" si="33"/>
        <v>6.5265484968269822</v>
      </c>
      <c r="Q15" s="20">
        <f t="shared" si="2"/>
        <v>46.340603684565174</v>
      </c>
      <c r="R15" s="59">
        <f t="shared" si="0"/>
        <v>339.67393701789848</v>
      </c>
      <c r="S15" s="59">
        <f ca="1">AVERAGE(OFFSET($R$3,0,0,'Données projet'!$E$9+1,1))-AVERAGE(OFFSET($H$3,0,0,'Données projet'!$E$9+1,1))</f>
        <v>255.5374979188561</v>
      </c>
      <c r="T15" s="59">
        <f t="shared" si="34"/>
        <v>343.10418468620901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16.7</v>
      </c>
      <c r="AI15" s="13">
        <f>IF('Données projet'!$A$62&gt;35,AI14+AH15-AQ14,IF(A15&lt;'Données projet'!$A$62,$AF$205^A15,IF(A15='Données projet'!$A$62,'Données projet'!$B$62,AI14+AH15-AQ14)))</f>
        <v>76.400000000000006</v>
      </c>
      <c r="AJ15" s="13">
        <f>AI15*VLOOKUP('Données projet'!$B$10,Paramètres!$A$1:$I$89,3,0)*VLOOKUP('Données projet'!$B$10,Paramètres!$A$1:$I$89,5,0)</f>
        <v>41.714400000000005</v>
      </c>
      <c r="AK15" s="13">
        <f t="shared" si="35"/>
        <v>12.451933011137459</v>
      </c>
      <c r="AL15" s="20">
        <f t="shared" si="4"/>
        <v>94.339696661064423</v>
      </c>
      <c r="AM15" s="59">
        <f t="shared" si="5"/>
        <v>387.67302999439772</v>
      </c>
      <c r="AN15" s="59">
        <f ca="1">AVERAGE(OFFSET($AM$3,0,0,'Données projet'!$E$10+1,1))-AVERAGE(OFFSET($H$3,0,0,'Données projet'!$E$10+1,1))</f>
        <v>248.1486444660062</v>
      </c>
      <c r="AO15" s="59">
        <f t="shared" si="36"/>
        <v>293.34458072322127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1.6380851869633206</v>
      </c>
      <c r="AW15" s="21">
        <f>EXP(-LN(2)/2)*AW14+(1-EXP(-LN(2)/2))/(LN(2)/2)*AQ15*AT15*VLOOKUP('Données projet'!$B$10,Paramètres!$A$1:$I$89,3,0)*0.475*44/12</f>
        <v>1.2363976688989009</v>
      </c>
      <c r="AX15" s="21">
        <f t="shared" si="6"/>
        <v>2.8744828558622215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14.1</v>
      </c>
      <c r="BD15" s="12">
        <f>IF('Données projet'!$A$88&gt;35,BD14+BC15-BL14,IF(A15&lt;'Données projet'!$A$88,$BA$205^A15,IF(A15='Données projet'!$A$88,'Données projet'!$B$88,BD14+BC15-BL14)))</f>
        <v>64.2</v>
      </c>
      <c r="BE15" s="13">
        <f>BD15*VLOOKUP('Données projet'!$B$11,Paramètres!$A$1:$I$89,3,0)*VLOOKUP('Données projet'!$B$11,Paramètres!$A$1:$I$89,5,0)</f>
        <v>35.053199999999997</v>
      </c>
      <c r="BF15" s="13">
        <f t="shared" si="37"/>
        <v>10.677594770675379</v>
      </c>
      <c r="BG15" s="20">
        <f t="shared" si="7"/>
        <v>79.64780089225961</v>
      </c>
      <c r="BH15" s="59">
        <f t="shared" si="8"/>
        <v>372.98113422559294</v>
      </c>
      <c r="BI15" s="59">
        <f ca="1">AVERAGE(OFFSET($BH$3,0,0,'Données projet'!$E$11+1,1))-AVERAGE(OFFSET($H$3,0,0,'Données projet'!$E$11+1,1))</f>
        <v>210.04871822652808</v>
      </c>
      <c r="BJ15" s="59">
        <f t="shared" si="38"/>
        <v>250.17540614049324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5.6730769230769225</v>
      </c>
      <c r="BY15" s="12">
        <f>IF('Données projet'!$A$114&gt;35,BY14+BX15-CG14,IF(A15&lt;'Données projet'!$A$114,$BV$205^A15,IF(A15='Données projet'!$A$114,'Données projet'!$B$114,BY14+BX15-CG14)))</f>
        <v>68.076923076923052</v>
      </c>
      <c r="BZ15" s="13">
        <f>BY15*VLOOKUP('Données projet'!$B$12,Paramètres!$A$1:$I$89,3,0)*VLOOKUP('Données projet'!$B$12,Paramètres!$A$1:$I$89,5,0)</f>
        <v>32.74499999999999</v>
      </c>
      <c r="CA15" s="13">
        <f t="shared" si="39"/>
        <v>10.053891225984819</v>
      </c>
      <c r="CB15" s="20">
        <f t="shared" si="10"/>
        <v>74.541402218590207</v>
      </c>
      <c r="CC15" s="59">
        <f t="shared" si="11"/>
        <v>367.87473555192355</v>
      </c>
      <c r="CD15" s="59">
        <f ca="1">AVERAGE(OFFSET($CC$3,0,0,'Données projet'!$E$12+1,1))-AVERAGE(OFFSET($H$3,0,0,'Données projet'!$E$12+1,1))</f>
        <v>304.15237106473313</v>
      </c>
      <c r="CE15" s="59">
        <f t="shared" si="40"/>
        <v>120.85458928724336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9.3968325791855207</v>
      </c>
      <c r="N16" s="13">
        <f>IF('Données projet'!$A$36&gt;35,N15+M16-V15,IF(A16&lt;'Données projet'!$A$36,$K$205^A16,IF(A16='Données projet'!$A$36,'Données projet'!$B$36,N15+M16-V15)))</f>
        <v>48.414583084443251</v>
      </c>
      <c r="O16" s="13">
        <f>N16*VLOOKUP('Données projet'!$B$9,Paramètres!$A$1:$I$89,3,0)*VLOOKUP('Données projet'!$B$9,Paramètres!$A$1:$I$89,5,0)</f>
        <v>27.063751944203776</v>
      </c>
      <c r="P16" s="13">
        <f t="shared" si="33"/>
        <v>8.4959139568459339</v>
      </c>
      <c r="Q16" s="20">
        <f t="shared" si="2"/>
        <v>61.933084777661577</v>
      </c>
      <c r="R16" s="59">
        <f t="shared" si="0"/>
        <v>355.26641811099489</v>
      </c>
      <c r="S16" s="59">
        <f ca="1">AVERAGE(OFFSET($R$3,0,0,'Données projet'!$E$9+1,1))-AVERAGE(OFFSET($H$3,0,0,'Données projet'!$E$9+1,1))</f>
        <v>255.5374979188561</v>
      </c>
      <c r="T16" s="59">
        <f t="shared" si="34"/>
        <v>343.10418468620901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16.7</v>
      </c>
      <c r="AI16" s="13">
        <f>IF('Données projet'!$A$62&gt;35,AI15+AH16-AQ15,IF(A16&lt;'Données projet'!$A$62,$AF$205^A16,IF(A16='Données projet'!$A$62,'Données projet'!$B$62,AI15+AH16-AQ15)))</f>
        <v>93.100000000000009</v>
      </c>
      <c r="AJ16" s="13">
        <f>AI16*VLOOKUP('Données projet'!$B$10,Paramètres!$A$1:$I$89,3,0)*VLOOKUP('Données projet'!$B$10,Paramètres!$A$1:$I$89,5,0)</f>
        <v>50.832600000000006</v>
      </c>
      <c r="AK16" s="13">
        <f t="shared" si="35"/>
        <v>14.828575135945847</v>
      </c>
      <c r="AL16" s="20">
        <f t="shared" si="4"/>
        <v>114.35988002843902</v>
      </c>
      <c r="AM16" s="59">
        <f t="shared" si="5"/>
        <v>407.69321336177234</v>
      </c>
      <c r="AN16" s="59">
        <f ca="1">AVERAGE(OFFSET($AM$3,0,0,'Données projet'!$E$10+1,1))-AVERAGE(OFFSET($H$3,0,0,'Données projet'!$E$10+1,1))</f>
        <v>248.1486444660062</v>
      </c>
      <c r="AO16" s="59">
        <f t="shared" si="36"/>
        <v>293.34458072322127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1.5932916613826524</v>
      </c>
      <c r="AW16" s="21">
        <f>EXP(-LN(2)/2)*AW15+(1-EXP(-LN(2)/2))/(LN(2)/2)*AQ16*AT16*VLOOKUP('Données projet'!$B$10,Paramètres!$A$1:$I$89,3,0)*0.475*44/12</f>
        <v>0.87426517592165265</v>
      </c>
      <c r="AX16" s="21">
        <f t="shared" si="6"/>
        <v>2.4675568373043051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14.1</v>
      </c>
      <c r="BD16" s="12">
        <f>IF('Données projet'!$A$88&gt;35,BD15+BC16-BL15,IF(A16&lt;'Données projet'!$A$88,$BA$205^A16,IF(A16='Données projet'!$A$88,'Données projet'!$B$88,BD15+BC16-BL15)))</f>
        <v>78.3</v>
      </c>
      <c r="BE16" s="13">
        <f>BD16*VLOOKUP('Données projet'!$B$11,Paramètres!$A$1:$I$89,3,0)*VLOOKUP('Données projet'!$B$11,Paramètres!$A$1:$I$89,5,0)</f>
        <v>42.751799999999996</v>
      </c>
      <c r="BF16" s="13">
        <f t="shared" si="37"/>
        <v>12.725163670396148</v>
      </c>
      <c r="BG16" s="20">
        <f t="shared" si="7"/>
        <v>96.622378392606606</v>
      </c>
      <c r="BH16" s="59">
        <f t="shared" si="8"/>
        <v>389.95571172593992</v>
      </c>
      <c r="BI16" s="59">
        <f ca="1">AVERAGE(OFFSET($BH$3,0,0,'Données projet'!$E$11+1,1))-AVERAGE(OFFSET($H$3,0,0,'Données projet'!$E$11+1,1))</f>
        <v>210.04871822652808</v>
      </c>
      <c r="BJ16" s="59">
        <f t="shared" si="38"/>
        <v>250.17540614049324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5.6730769230769225</v>
      </c>
      <c r="BY16" s="12">
        <f>IF('Données projet'!$A$114&gt;35,BY15+BX16-CG15,IF(A16&lt;'Données projet'!$A$114,$BV$205^A16,IF(A16='Données projet'!$A$114,'Données projet'!$B$114,BY15+BX16-CG15)))</f>
        <v>73.749999999999972</v>
      </c>
      <c r="BZ16" s="13">
        <f>BY16*VLOOKUP('Données projet'!$B$12,Paramètres!$A$1:$I$89,3,0)*VLOOKUP('Données projet'!$B$12,Paramètres!$A$1:$I$89,5,0)</f>
        <v>35.473749999999988</v>
      </c>
      <c r="CA16" s="13">
        <f t="shared" si="39"/>
        <v>10.790708963657492</v>
      </c>
      <c r="CB16" s="20">
        <f t="shared" si="10"/>
        <v>80.577266028370119</v>
      </c>
      <c r="CC16" s="59">
        <f t="shared" si="11"/>
        <v>373.91059936170342</v>
      </c>
      <c r="CD16" s="59">
        <f ca="1">AVERAGE(OFFSET($CC$3,0,0,'Données projet'!$E$12+1,1))-AVERAGE(OFFSET($H$3,0,0,'Données projet'!$E$12+1,1))</f>
        <v>304.15237106473313</v>
      </c>
      <c r="CE16" s="59">
        <f t="shared" si="40"/>
        <v>120.85458928724336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9.3968325791855207</v>
      </c>
      <c r="N17" s="13">
        <f>IF('Données projet'!$A$36&gt;35,N16+M17-V16,IF(A17&lt;'Données projet'!$A$36,$K$205^A17,IF(A17='Données projet'!$A$36,'Données projet'!$B$36,N16+M17-V16)))</f>
        <v>65.251387348641543</v>
      </c>
      <c r="O17" s="13">
        <f>N17*VLOOKUP('Données projet'!$B$9,Paramètres!$A$1:$I$89,3,0)*VLOOKUP('Données projet'!$B$9,Paramètres!$A$1:$I$89,5,0)</f>
        <v>36.475525527890625</v>
      </c>
      <c r="P17" s="13">
        <f t="shared" si="33"/>
        <v>11.059529243860162</v>
      </c>
      <c r="Q17" s="20">
        <f t="shared" si="2"/>
        <v>82.790220394132618</v>
      </c>
      <c r="R17" s="59">
        <f t="shared" si="0"/>
        <v>376.12355372746595</v>
      </c>
      <c r="S17" s="59">
        <f ca="1">AVERAGE(OFFSET($R$3,0,0,'Données projet'!$E$9+1,1))-AVERAGE(OFFSET($H$3,0,0,'Données projet'!$E$9+1,1))</f>
        <v>255.5374979188561</v>
      </c>
      <c r="T17" s="59">
        <f t="shared" si="34"/>
        <v>343.10418468620901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16.7</v>
      </c>
      <c r="AI17" s="13">
        <f>IF('Données projet'!$A$62&gt;35,AI16+AH17-AQ16,IF(A17&lt;'Données projet'!$A$62,$AF$205^A17,IF(A17='Données projet'!$A$62,'Données projet'!$B$62,AI16+AH17-AQ16)))</f>
        <v>109.80000000000001</v>
      </c>
      <c r="AJ17" s="13">
        <f>AI17*VLOOKUP('Données projet'!$B$10,Paramètres!$A$1:$I$89,3,0)*VLOOKUP('Données projet'!$B$10,Paramètres!$A$1:$I$89,5,0)</f>
        <v>59.950800000000001</v>
      </c>
      <c r="AK17" s="13">
        <f t="shared" si="35"/>
        <v>17.155829115013216</v>
      </c>
      <c r="AL17" s="20">
        <f t="shared" si="4"/>
        <v>134.29404570864804</v>
      </c>
      <c r="AM17" s="59">
        <f t="shared" si="5"/>
        <v>427.62737904198138</v>
      </c>
      <c r="AN17" s="59">
        <f ca="1">AVERAGE(OFFSET($AM$3,0,0,'Données projet'!$E$10+1,1))-AVERAGE(OFFSET($H$3,0,0,'Données projet'!$E$10+1,1))</f>
        <v>248.1486444660062</v>
      </c>
      <c r="AO17" s="59">
        <f t="shared" si="36"/>
        <v>293.34458072322127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1.5497230171145768</v>
      </c>
      <c r="AW17" s="21">
        <f>EXP(-LN(2)/2)*AW16+(1-EXP(-LN(2)/2))/(LN(2)/2)*AQ17*AT17*VLOOKUP('Données projet'!$B$10,Paramètres!$A$1:$I$89,3,0)*0.475*44/12</f>
        <v>0.61819883444945056</v>
      </c>
      <c r="AX17" s="21">
        <f t="shared" si="6"/>
        <v>2.1679218515640275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14.1</v>
      </c>
      <c r="BD17" s="12">
        <f>IF('Données projet'!$A$88&gt;35,BD16+BC17-BL16,IF(A17&lt;'Données projet'!$A$88,$BA$205^A17,IF(A17='Données projet'!$A$88,'Données projet'!$B$88,BD16+BC17-BL16)))</f>
        <v>92.399999999999991</v>
      </c>
      <c r="BE17" s="13">
        <f>BD17*VLOOKUP('Données projet'!$B$11,Paramètres!$A$1:$I$89,3,0)*VLOOKUP('Données projet'!$B$11,Paramètres!$A$1:$I$89,5,0)</f>
        <v>50.450399999999995</v>
      </c>
      <c r="BF17" s="13">
        <f t="shared" si="37"/>
        <v>14.730016649594965</v>
      </c>
      <c r="BG17" s="20">
        <f t="shared" si="7"/>
        <v>113.52255899804454</v>
      </c>
      <c r="BH17" s="59">
        <f t="shared" si="8"/>
        <v>406.85589233137785</v>
      </c>
      <c r="BI17" s="59">
        <f ca="1">AVERAGE(OFFSET($BH$3,0,0,'Données projet'!$E$11+1,1))-AVERAGE(OFFSET($H$3,0,0,'Données projet'!$E$11+1,1))</f>
        <v>210.04871822652808</v>
      </c>
      <c r="BJ17" s="59">
        <f t="shared" si="38"/>
        <v>250.17540614049324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5.6730769230769225</v>
      </c>
      <c r="BY17" s="12">
        <f>IF('Données projet'!$A$114&gt;35,BY16+BX17-CG16,IF(A17&lt;'Données projet'!$A$114,$BV$205^A17,IF(A17='Données projet'!$A$114,'Données projet'!$B$114,BY16+BX17-CG16)))</f>
        <v>79.423076923076891</v>
      </c>
      <c r="BZ17" s="13">
        <f>BY17*VLOOKUP('Données projet'!$B$12,Paramètres!$A$1:$I$89,3,0)*VLOOKUP('Données projet'!$B$12,Paramètres!$A$1:$I$89,5,0)</f>
        <v>38.202499999999986</v>
      </c>
      <c r="CA17" s="13">
        <f t="shared" si="39"/>
        <v>11.520951956058662</v>
      </c>
      <c r="CB17" s="20">
        <f t="shared" si="10"/>
        <v>86.601678823468816</v>
      </c>
      <c r="CC17" s="59">
        <f t="shared" si="11"/>
        <v>379.93501215680215</v>
      </c>
      <c r="CD17" s="59">
        <f ca="1">AVERAGE(OFFSET($CC$3,0,0,'Données projet'!$E$12+1,1))-AVERAGE(OFFSET($H$3,0,0,'Données projet'!$E$12+1,1))</f>
        <v>304.15237106473313</v>
      </c>
      <c r="CE17" s="59">
        <f t="shared" si="40"/>
        <v>120.85458928724336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9.3968325791855207</v>
      </c>
      <c r="N18" s="13">
        <f>IF('Données projet'!$A$36&gt;35,N17+M18-V17,IF(A18&lt;'Données projet'!$A$36,$K$205^A18,IF(A18='Données projet'!$A$36,'Données projet'!$B$36,N17+M18-V17)))</f>
        <v>87.943410428552681</v>
      </c>
      <c r="O18" s="13">
        <f>N18*VLOOKUP('Données projet'!$B$9,Paramètres!$A$1:$I$89,3,0)*VLOOKUP('Données projet'!$B$9,Paramètres!$A$1:$I$89,5,0)</f>
        <v>49.160366429560945</v>
      </c>
      <c r="P18" s="13">
        <f t="shared" si="33"/>
        <v>14.396707372164377</v>
      </c>
      <c r="Q18" s="20">
        <f t="shared" si="2"/>
        <v>110.69523687133828</v>
      </c>
      <c r="R18" s="59">
        <f t="shared" si="0"/>
        <v>404.02857020467161</v>
      </c>
      <c r="S18" s="59">
        <f ca="1">AVERAGE(OFFSET($R$3,0,0,'Données projet'!$E$9+1,1))-AVERAGE(OFFSET($H$3,0,0,'Données projet'!$E$9+1,1))</f>
        <v>255.5374979188561</v>
      </c>
      <c r="T18" s="59">
        <f t="shared" si="34"/>
        <v>343.10418468620901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16.7</v>
      </c>
      <c r="AI18" s="13">
        <f>IF('Données projet'!$A$62&gt;35,AI17+AH18-AQ17,IF(A18&lt;'Données projet'!$A$62,$AF$205^A18,IF(A18='Données projet'!$A$62,'Données projet'!$B$62,AI17+AH18-AQ17)))</f>
        <v>126.50000000000001</v>
      </c>
      <c r="AJ18" s="13">
        <f>AI18*VLOOKUP('Données projet'!$B$10,Paramètres!$A$1:$I$89,3,0)*VLOOKUP('Données projet'!$B$10,Paramètres!$A$1:$I$89,5,0)</f>
        <v>69.069000000000003</v>
      </c>
      <c r="AK18" s="13">
        <f t="shared" si="35"/>
        <v>19.442077604017239</v>
      </c>
      <c r="AL18" s="20">
        <f t="shared" si="4"/>
        <v>154.15679349366337</v>
      </c>
      <c r="AM18" s="59">
        <f t="shared" si="5"/>
        <v>447.49012682699669</v>
      </c>
      <c r="AN18" s="59">
        <f ca="1">AVERAGE(OFFSET($AM$3,0,0,'Données projet'!$E$10+1,1))-AVERAGE(OFFSET($H$3,0,0,'Données projet'!$E$10+1,1))</f>
        <v>248.1486444660062</v>
      </c>
      <c r="AO18" s="59">
        <f t="shared" si="36"/>
        <v>293.34458072322127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1.5073457597151871</v>
      </c>
      <c r="AW18" s="21">
        <f>EXP(-LN(2)/2)*AW17+(1-EXP(-LN(2)/2))/(LN(2)/2)*AQ18*AT18*VLOOKUP('Données projet'!$B$10,Paramètres!$A$1:$I$89,3,0)*0.475*44/12</f>
        <v>0.43713258796082638</v>
      </c>
      <c r="AX18" s="21">
        <f t="shared" si="6"/>
        <v>1.9444783476760135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14.1</v>
      </c>
      <c r="BD18" s="12">
        <f>IF('Données projet'!$A$88&gt;35,BD17+BC18-BL17,IF(A18&lt;'Données projet'!$A$88,$BA$205^A18,IF(A18='Données projet'!$A$88,'Données projet'!$B$88,BD17+BC18-BL17)))</f>
        <v>106.49999999999999</v>
      </c>
      <c r="BE18" s="13">
        <f>BD18*VLOOKUP('Données projet'!$B$11,Paramètres!$A$1:$I$89,3,0)*VLOOKUP('Données projet'!$B$11,Paramètres!$A$1:$I$89,5,0)</f>
        <v>58.148999999999987</v>
      </c>
      <c r="BF18" s="13">
        <f t="shared" si="37"/>
        <v>16.699428066773574</v>
      </c>
      <c r="BG18" s="20">
        <f t="shared" si="7"/>
        <v>130.36101221629727</v>
      </c>
      <c r="BH18" s="59">
        <f t="shared" si="8"/>
        <v>423.69434554963061</v>
      </c>
      <c r="BI18" s="59">
        <f ca="1">AVERAGE(OFFSET($BH$3,0,0,'Données projet'!$E$11+1,1))-AVERAGE(OFFSET($H$3,0,0,'Données projet'!$E$11+1,1))</f>
        <v>210.04871822652808</v>
      </c>
      <c r="BJ18" s="59">
        <f t="shared" si="38"/>
        <v>250.17540614049324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5.6730769230769225</v>
      </c>
      <c r="BY18" s="12">
        <f>IF('Données projet'!$A$114&gt;35,BY17+BX18-CG17,IF(A18&lt;'Données projet'!$A$114,$BV$205^A18,IF(A18='Données projet'!$A$114,'Données projet'!$B$114,BY17+BX18-CG17)))</f>
        <v>85.096153846153811</v>
      </c>
      <c r="BZ18" s="13">
        <f>BY18*VLOOKUP('Données projet'!$B$12,Paramètres!$A$1:$I$89,3,0)*VLOOKUP('Données projet'!$B$12,Paramètres!$A$1:$I$89,5,0)</f>
        <v>40.931249999999984</v>
      </c>
      <c r="CA18" s="13">
        <f t="shared" si="39"/>
        <v>12.245143240030602</v>
      </c>
      <c r="CB18" s="20">
        <f t="shared" si="10"/>
        <v>92.615551559719918</v>
      </c>
      <c r="CC18" s="59">
        <f t="shared" si="11"/>
        <v>385.94888489305322</v>
      </c>
      <c r="CD18" s="59">
        <f ca="1">AVERAGE(OFFSET($CC$3,0,0,'Données projet'!$E$12+1,1))-AVERAGE(OFFSET($H$3,0,0,'Données projet'!$E$12+1,1))</f>
        <v>304.15237106473313</v>
      </c>
      <c r="CE18" s="59">
        <f t="shared" si="40"/>
        <v>120.85458928724336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9.3968325791855207</v>
      </c>
      <c r="N19" s="13">
        <f>IF('Données projet'!$A$36&gt;35,N18+M19-V18,IF(A19&lt;'Données projet'!$A$36,$K$205^A19,IF(A19='Données projet'!$A$36,'Données projet'!$B$36,N18+M19-V18)))</f>
        <v>118.52688122141336</v>
      </c>
      <c r="O19" s="13">
        <f>N19*VLOOKUP('Données projet'!$B$9,Paramètres!$A$1:$I$89,3,0)*VLOOKUP('Données projet'!$B$9,Paramètres!$A$1:$I$89,5,0)</f>
        <v>66.256526602770066</v>
      </c>
      <c r="P19" s="13">
        <f t="shared" si="33"/>
        <v>18.740868493548042</v>
      </c>
      <c r="Q19" s="20">
        <f t="shared" si="2"/>
        <v>148.03712979275406</v>
      </c>
      <c r="R19" s="59">
        <f t="shared" si="0"/>
        <v>441.37046312608737</v>
      </c>
      <c r="S19" s="59">
        <f ca="1">AVERAGE(OFFSET($R$3,0,0,'Données projet'!$E$9+1,1))-AVERAGE(OFFSET($H$3,0,0,'Données projet'!$E$9+1,1))</f>
        <v>255.5374979188561</v>
      </c>
      <c r="T19" s="59">
        <f t="shared" si="34"/>
        <v>343.10418468620901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16.7</v>
      </c>
      <c r="AI19" s="13">
        <f>IF('Données projet'!$A$62&gt;35,AI18+AH19-AQ18,IF(A19&lt;'Données projet'!$A$62,$AF$205^A19,IF(A19='Données projet'!$A$62,'Données projet'!$B$62,AI18+AH19-AQ18)))</f>
        <v>143.20000000000002</v>
      </c>
      <c r="AJ19" s="13">
        <f>AI19*VLOOKUP('Données projet'!$B$10,Paramètres!$A$1:$I$89,3,0)*VLOOKUP('Données projet'!$B$10,Paramètres!$A$1:$I$89,5,0)</f>
        <v>78.187200000000004</v>
      </c>
      <c r="AK19" s="13">
        <f t="shared" si="35"/>
        <v>21.693355566332489</v>
      </c>
      <c r="AL19" s="20">
        <f t="shared" si="4"/>
        <v>173.95863427802908</v>
      </c>
      <c r="AM19" s="59">
        <f t="shared" si="5"/>
        <v>467.2919676113624</v>
      </c>
      <c r="AN19" s="59">
        <f ca="1">AVERAGE(OFFSET($AM$3,0,0,'Données projet'!$E$10+1,1))-AVERAGE(OFFSET($H$3,0,0,'Données projet'!$E$10+1,1))</f>
        <v>248.1486444660062</v>
      </c>
      <c r="AO19" s="59">
        <f t="shared" si="36"/>
        <v>293.34458072322127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1.4661273106479069</v>
      </c>
      <c r="AW19" s="21">
        <f>EXP(-LN(2)/2)*AW18+(1-EXP(-LN(2)/2))/(LN(2)/2)*AQ19*AT19*VLOOKUP('Données projet'!$B$10,Paramètres!$A$1:$I$89,3,0)*0.475*44/12</f>
        <v>0.30909941722472534</v>
      </c>
      <c r="AX19" s="21">
        <f t="shared" si="6"/>
        <v>1.7752267278726324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14.1</v>
      </c>
      <c r="BD19" s="12">
        <f>IF('Données projet'!$A$88&gt;35,BD18+BC19-BL18,IF(A19&lt;'Données projet'!$A$88,$BA$205^A19,IF(A19='Données projet'!$A$88,'Données projet'!$B$88,BD18+BC19-BL18)))</f>
        <v>120.59999999999998</v>
      </c>
      <c r="BE19" s="13">
        <f>BD19*VLOOKUP('Données projet'!$B$11,Paramètres!$A$1:$I$89,3,0)*VLOOKUP('Données projet'!$B$11,Paramètres!$A$1:$I$89,5,0)</f>
        <v>65.847599999999986</v>
      </c>
      <c r="BF19" s="13">
        <f t="shared" si="37"/>
        <v>18.63862905611526</v>
      </c>
      <c r="BG19" s="20">
        <f t="shared" si="7"/>
        <v>147.14684893940071</v>
      </c>
      <c r="BH19" s="59">
        <f t="shared" si="8"/>
        <v>440.48018227273406</v>
      </c>
      <c r="BI19" s="59">
        <f ca="1">AVERAGE(OFFSET($BH$3,0,0,'Données projet'!$E$11+1,1))-AVERAGE(OFFSET($H$3,0,0,'Données projet'!$E$11+1,1))</f>
        <v>210.04871822652808</v>
      </c>
      <c r="BJ19" s="59">
        <f t="shared" si="38"/>
        <v>250.17540614049324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5.6730769230769225</v>
      </c>
      <c r="BY19" s="12">
        <f>IF('Données projet'!$A$114&gt;35,BY18+BX19-CG18,IF(A19&lt;'Données projet'!$A$114,$BV$205^A19,IF(A19='Données projet'!$A$114,'Données projet'!$B$114,BY18+BX19-CG18)))</f>
        <v>90.769230769230731</v>
      </c>
      <c r="BZ19" s="13">
        <f>BY19*VLOOKUP('Données projet'!$B$12,Paramètres!$A$1:$I$89,3,0)*VLOOKUP('Données projet'!$B$12,Paramètres!$A$1:$I$89,5,0)</f>
        <v>43.659999999999982</v>
      </c>
      <c r="CA19" s="13">
        <f t="shared" si="39"/>
        <v>12.963732168755445</v>
      </c>
      <c r="CB19" s="20">
        <f t="shared" si="10"/>
        <v>98.619666860582356</v>
      </c>
      <c r="CC19" s="59">
        <f t="shared" si="11"/>
        <v>391.95300019391567</v>
      </c>
      <c r="CD19" s="59">
        <f ca="1">AVERAGE(OFFSET($CC$3,0,0,'Données projet'!$E$12+1,1))-AVERAGE(OFFSET($H$3,0,0,'Données projet'!$E$12+1,1))</f>
        <v>304.15237106473313</v>
      </c>
      <c r="CE19" s="59">
        <f t="shared" si="40"/>
        <v>120.85458928724336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159.74615384615385</v>
      </c>
      <c r="L20" s="12">
        <f>VLOOKUP(A20,'Données projet'!$A$35:$I$55,9,0)</f>
        <v>9.3968325791855207</v>
      </c>
      <c r="M20" s="12">
        <f t="array" ref="M20">INDEX(L:L,MIN(IF(ISNUMBER(L20:L216),ROW(L20:L216),"")))</f>
        <v>9.3968325791855207</v>
      </c>
      <c r="N20" s="13">
        <f>IF('Données projet'!$A$36&gt;35,N19+M20-V19,IF(A20&lt;'Données projet'!$A$36,$K$205^A20,IF(A20='Données projet'!$A$36,'Données projet'!$B$36,N19+M20-V19)))</f>
        <v>159.74615384615385</v>
      </c>
      <c r="O20" s="13">
        <f>N20*VLOOKUP('Données projet'!$B$9,Paramètres!$A$1:$I$89,3,0)*VLOOKUP('Données projet'!$B$9,Paramètres!$A$1:$I$89,5,0)</f>
        <v>89.298100000000005</v>
      </c>
      <c r="P20" s="13">
        <f t="shared" si="33"/>
        <v>24.395866555677571</v>
      </c>
      <c r="Q20" s="20">
        <f t="shared" si="2"/>
        <v>198.01699175113845</v>
      </c>
      <c r="R20" s="59">
        <f t="shared" si="0"/>
        <v>491.35032508447176</v>
      </c>
      <c r="S20" s="59">
        <f ca="1">AVERAGE(OFFSET($R$3,0,0,'Données projet'!$E$9+1,1))-AVERAGE(OFFSET($H$3,0,0,'Données projet'!$E$9+1,1))</f>
        <v>255.5374979188561</v>
      </c>
      <c r="T20" s="59">
        <f t="shared" si="34"/>
        <v>343.10418468620901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16.7</v>
      </c>
      <c r="AI20" s="13">
        <f>IF('Données projet'!$A$62&gt;35,AI19+AH20-AQ19,IF(A20&lt;'Données projet'!$A$62,$AF$205^A20,IF(A20='Données projet'!$A$62,'Données projet'!$B$62,AI19+AH20-AQ19)))</f>
        <v>159.9</v>
      </c>
      <c r="AJ20" s="13">
        <f>AI20*VLOOKUP('Données projet'!$B$10,Paramètres!$A$1:$I$89,3,0)*VLOOKUP('Données projet'!$B$10,Paramètres!$A$1:$I$89,5,0)</f>
        <v>87.305400000000006</v>
      </c>
      <c r="AK20" s="13">
        <f t="shared" si="35"/>
        <v>23.914207130877781</v>
      </c>
      <c r="AL20" s="20">
        <f t="shared" si="4"/>
        <v>193.70748241961215</v>
      </c>
      <c r="AM20" s="59">
        <f t="shared" si="5"/>
        <v>487.04081575294549</v>
      </c>
      <c r="AN20" s="59">
        <f ca="1">AVERAGE(OFFSET($AM$3,0,0,'Données projet'!$E$10+1,1))-AVERAGE(OFFSET($H$3,0,0,'Données projet'!$E$10+1,1))</f>
        <v>248.1486444660062</v>
      </c>
      <c r="AO20" s="59">
        <f t="shared" si="36"/>
        <v>293.34458072322127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1.4260359822379556</v>
      </c>
      <c r="AW20" s="21">
        <f>EXP(-LN(2)/2)*AW19+(1-EXP(-LN(2)/2))/(LN(2)/2)*AQ20*AT20*VLOOKUP('Données projet'!$B$10,Paramètres!$A$1:$I$89,3,0)*0.475*44/12</f>
        <v>0.21856629398041325</v>
      </c>
      <c r="AX20" s="21">
        <f t="shared" si="6"/>
        <v>1.6446022762183687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14.1</v>
      </c>
      <c r="BD20" s="12">
        <f>IF('Données projet'!$A$88&gt;35,BD19+BC20-BL19,IF(A20&lt;'Données projet'!$A$88,$BA$205^A20,IF(A20='Données projet'!$A$88,'Données projet'!$B$88,BD19+BC20-BL19)))</f>
        <v>134.69999999999999</v>
      </c>
      <c r="BE20" s="13">
        <f>BD20*VLOOKUP('Données projet'!$B$11,Paramètres!$A$1:$I$89,3,0)*VLOOKUP('Données projet'!$B$11,Paramètres!$A$1:$I$89,5,0)</f>
        <v>73.546199999999985</v>
      </c>
      <c r="BF20" s="13">
        <f t="shared" si="37"/>
        <v>20.551555184696866</v>
      </c>
      <c r="BG20" s="20">
        <f t="shared" si="7"/>
        <v>163.88692361334699</v>
      </c>
      <c r="BH20" s="59">
        <f t="shared" si="8"/>
        <v>457.22025694668031</v>
      </c>
      <c r="BI20" s="59">
        <f ca="1">AVERAGE(OFFSET($BH$3,0,0,'Données projet'!$E$11+1,1))-AVERAGE(OFFSET($H$3,0,0,'Données projet'!$E$11+1,1))</f>
        <v>210.04871822652808</v>
      </c>
      <c r="BJ20" s="59">
        <f t="shared" si="38"/>
        <v>250.17540614049324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5.6730769230769225</v>
      </c>
      <c r="BY20" s="12">
        <f>IF('Données projet'!$A$114&gt;35,BY19+BX20-CG19,IF(A20&lt;'Données projet'!$A$114,$BV$205^A20,IF(A20='Données projet'!$A$114,'Données projet'!$B$114,BY19+BX20-CG19)))</f>
        <v>96.442307692307651</v>
      </c>
      <c r="BZ20" s="13">
        <f>BY20*VLOOKUP('Données projet'!$B$12,Paramètres!$A$1:$I$89,3,0)*VLOOKUP('Données projet'!$B$12,Paramètres!$A$1:$I$89,5,0)</f>
        <v>46.38874999999998</v>
      </c>
      <c r="CA20" s="13">
        <f t="shared" si="39"/>
        <v>13.677108751577085</v>
      </c>
      <c r="CB20" s="20">
        <f t="shared" si="10"/>
        <v>104.61470399233006</v>
      </c>
      <c r="CC20" s="59">
        <f t="shared" si="11"/>
        <v>397.94803732566339</v>
      </c>
      <c r="CD20" s="59">
        <f ca="1">AVERAGE(OFFSET($CC$3,0,0,'Données projet'!$E$12+1,1))-AVERAGE(OFFSET($H$3,0,0,'Données projet'!$E$12+1,1))</f>
        <v>304.15237106473313</v>
      </c>
      <c r="CE20" s="59">
        <f t="shared" si="40"/>
        <v>120.85458928724336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23.146153846153823</v>
      </c>
      <c r="M21" s="12">
        <f t="array" ref="M21">INDEX(L:L,MIN(IF(ISNUMBER(L21:L217),ROW(L21:L217),"")))</f>
        <v>23.146153846153823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255.5374979188561</v>
      </c>
      <c r="T21" s="59">
        <f t="shared" si="34"/>
        <v>343.10418468620901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0.27500000000000002</v>
      </c>
      <c r="Y21" s="16">
        <f>IF(ISNA(VLOOKUP(A21,'Données projet'!$A$35:$I$55,7,0)),0%,VLOOKUP(A21,'Données projet'!$A$35:$I$55,7,0))</f>
        <v>0.5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14.073311822728558</v>
      </c>
      <c r="AB21" s="21">
        <f>EXP(-LN(2)/2)*AB20+(1-EXP(-LN(2)/2))/(LN(2)/2)*V21*Y21*VLOOKUP('Données projet'!$B$9,Paramètres!$A$1:$I$89,3,0)*0.475*44/12</f>
        <v>21.925735053214883</v>
      </c>
      <c r="AC21" s="22">
        <f t="shared" si="3"/>
        <v>35.999046875943442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16.7</v>
      </c>
      <c r="AI21" s="13">
        <f>IF('Données projet'!$A$62&gt;35,AI20+AH21-AQ20,IF(A21&lt;'Données projet'!$A$62,$AF$205^A21,IF(A21='Données projet'!$A$62,'Données projet'!$B$62,AI20+AH21-AQ20)))</f>
        <v>176.6</v>
      </c>
      <c r="AJ21" s="13">
        <f>AI21*VLOOKUP('Données projet'!$B$10,Paramètres!$A$1:$I$89,3,0)*VLOOKUP('Données projet'!$B$10,Paramètres!$A$1:$I$89,5,0)</f>
        <v>96.423599999999993</v>
      </c>
      <c r="AK21" s="13">
        <f t="shared" si="35"/>
        <v>26.108172039585249</v>
      </c>
      <c r="AL21" s="20">
        <f t="shared" si="4"/>
        <v>213.40950296894428</v>
      </c>
      <c r="AM21" s="59">
        <f t="shared" si="5"/>
        <v>506.74283630227762</v>
      </c>
      <c r="AN21" s="59">
        <f ca="1">AVERAGE(OFFSET($AM$3,0,0,'Données projet'!$E$10+1,1))-AVERAGE(OFFSET($H$3,0,0,'Données projet'!$E$10+1,1))</f>
        <v>248.1486444660062</v>
      </c>
      <c r="AO21" s="59">
        <f t="shared" si="36"/>
        <v>293.34458072322127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1.3870409533116856</v>
      </c>
      <c r="AW21" s="21">
        <f>EXP(-LN(2)/2)*AW20+(1-EXP(-LN(2)/2))/(LN(2)/2)*AQ21*AT21*VLOOKUP('Données projet'!$B$10,Paramètres!$A$1:$I$89,3,0)*0.475*44/12</f>
        <v>0.1545497086123627</v>
      </c>
      <c r="AX21" s="21">
        <f t="shared" si="6"/>
        <v>1.5415906619240483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14.1</v>
      </c>
      <c r="BD21" s="12">
        <f>IF('Données projet'!$A$88&gt;35,BD20+BC21-BL20,IF(A21&lt;'Données projet'!$A$88,$BA$205^A21,IF(A21='Données projet'!$A$88,'Données projet'!$B$88,BD20+BC21-BL20)))</f>
        <v>148.79999999999998</v>
      </c>
      <c r="BE21" s="13">
        <f>BD21*VLOOKUP('Données projet'!$B$11,Paramètres!$A$1:$I$89,3,0)*VLOOKUP('Données projet'!$B$11,Paramètres!$A$1:$I$89,5,0)</f>
        <v>81.244799999999984</v>
      </c>
      <c r="BF21" s="13">
        <f t="shared" si="37"/>
        <v>22.441270156928962</v>
      </c>
      <c r="BG21" s="20">
        <f t="shared" si="7"/>
        <v>180.58657218998459</v>
      </c>
      <c r="BH21" s="59">
        <f t="shared" si="8"/>
        <v>473.91990552331788</v>
      </c>
      <c r="BI21" s="59">
        <f ca="1">AVERAGE(OFFSET($BH$3,0,0,'Données projet'!$E$11+1,1))-AVERAGE(OFFSET($H$3,0,0,'Données projet'!$E$11+1,1))</f>
        <v>210.04871822652808</v>
      </c>
      <c r="BJ21" s="59">
        <f t="shared" si="38"/>
        <v>250.17540614049324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5.6730769230769225</v>
      </c>
      <c r="BY21" s="12">
        <f>IF('Données projet'!$A$114&gt;35,BY20+BX21-CG20,IF(A21&lt;'Données projet'!$A$114,$BV$205^A21,IF(A21='Données projet'!$A$114,'Données projet'!$B$114,BY20+BX21-CG20)))</f>
        <v>102.11538461538457</v>
      </c>
      <c r="BZ21" s="13">
        <f>BY21*VLOOKUP('Données projet'!$B$12,Paramètres!$A$1:$I$89,3,0)*VLOOKUP('Données projet'!$B$12,Paramètres!$A$1:$I$89,5,0)</f>
        <v>49.117499999999986</v>
      </c>
      <c r="CA21" s="13">
        <f t="shared" si="39"/>
        <v>14.385614522397548</v>
      </c>
      <c r="CB21" s="20">
        <f t="shared" si="10"/>
        <v>110.60125779317569</v>
      </c>
      <c r="CC21" s="59">
        <f t="shared" si="11"/>
        <v>403.93459112650902</v>
      </c>
      <c r="CD21" s="59">
        <f ca="1">AVERAGE(OFFSET($CC$3,0,0,'Données projet'!$E$12+1,1))-AVERAGE(OFFSET($H$3,0,0,'Données projet'!$E$12+1,1))</f>
        <v>304.15237106473313</v>
      </c>
      <c r="CE21" s="59">
        <f t="shared" si="40"/>
        <v>120.85458928724336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255.5374979188561</v>
      </c>
      <c r="T22" s="59">
        <f t="shared" si="34"/>
        <v>343.10418468620901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13.688476370852742</v>
      </c>
      <c r="AB22" s="21">
        <f>EXP(-LN(2)/2)*AB21+(1-EXP(-LN(2)/2))/(LN(2)/2)*V22*Y22*VLOOKUP('Données projet'!$B$9,Paramètres!$A$1:$I$89,3,0)*0.475*44/12</f>
        <v>15.503835938627832</v>
      </c>
      <c r="AC22" s="22">
        <f t="shared" si="3"/>
        <v>29.192312309480574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16.7</v>
      </c>
      <c r="AI22" s="13">
        <f>IF('Données projet'!$A$62&gt;35,AI21+AH22-AQ21,IF(A22&lt;'Données projet'!$A$62,$AF$205^A22,IF(A22='Données projet'!$A$62,'Données projet'!$B$62,AI21+AH22-AQ21)))</f>
        <v>193.29999999999998</v>
      </c>
      <c r="AJ22" s="13">
        <f>AI22*VLOOKUP('Données projet'!$B$10,Paramètres!$A$1:$I$89,3,0)*VLOOKUP('Données projet'!$B$10,Paramètres!$A$1:$I$89,5,0)</f>
        <v>105.54179999999999</v>
      </c>
      <c r="AK22" s="13">
        <f t="shared" si="35"/>
        <v>28.278082044462533</v>
      </c>
      <c r="AL22" s="20">
        <f t="shared" si="4"/>
        <v>233.06962789410557</v>
      </c>
      <c r="AM22" s="59">
        <f t="shared" si="5"/>
        <v>526.40296122743894</v>
      </c>
      <c r="AN22" s="59">
        <f ca="1">AVERAGE(OFFSET($AM$3,0,0,'Données projet'!$E$10+1,1))-AVERAGE(OFFSET($H$3,0,0,'Données projet'!$E$10+1,1))</f>
        <v>248.1486444660062</v>
      </c>
      <c r="AO22" s="59">
        <f t="shared" si="36"/>
        <v>293.34458072322127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1.3491122455020639</v>
      </c>
      <c r="AW22" s="21">
        <f>EXP(-LN(2)/2)*AW21+(1-EXP(-LN(2)/2))/(LN(2)/2)*AQ22*AT22*VLOOKUP('Données projet'!$B$10,Paramètres!$A$1:$I$89,3,0)*0.475*44/12</f>
        <v>0.10928314699020664</v>
      </c>
      <c r="AX22" s="21">
        <f t="shared" si="6"/>
        <v>1.4583953924922706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14.1</v>
      </c>
      <c r="BD22" s="12">
        <f>IF('Données projet'!$A$88&gt;35,BD21+BC22-BL21,IF(A22&lt;'Données projet'!$A$88,$BA$205^A22,IF(A22='Données projet'!$A$88,'Données projet'!$B$88,BD21+BC22-BL21)))</f>
        <v>162.89999999999998</v>
      </c>
      <c r="BE22" s="13">
        <f>BD22*VLOOKUP('Données projet'!$B$11,Paramètres!$A$1:$I$89,3,0)*VLOOKUP('Données projet'!$B$11,Paramètres!$A$1:$I$89,5,0)</f>
        <v>88.943399999999997</v>
      </c>
      <c r="BF22" s="13">
        <f t="shared" si="37"/>
        <v>24.310223636565393</v>
      </c>
      <c r="BG22" s="20">
        <f t="shared" si="7"/>
        <v>197.25006116701806</v>
      </c>
      <c r="BH22" s="59">
        <f t="shared" si="8"/>
        <v>490.58339450035135</v>
      </c>
      <c r="BI22" s="59">
        <f ca="1">AVERAGE(OFFSET($BH$3,0,0,'Données projet'!$E$11+1,1))-AVERAGE(OFFSET($H$3,0,0,'Données projet'!$E$11+1,1))</f>
        <v>210.04871822652808</v>
      </c>
      <c r="BJ22" s="59">
        <f t="shared" si="38"/>
        <v>250.17540614049324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5.6730769230769225</v>
      </c>
      <c r="BY22" s="12">
        <f>IF('Données projet'!$A$114&gt;35,BY21+BX22-CG21,IF(A22&lt;'Données projet'!$A$114,$BV$205^A22,IF(A22='Données projet'!$A$114,'Données projet'!$B$114,BY21+BX22-CG21)))</f>
        <v>107.78846153846149</v>
      </c>
      <c r="BZ22" s="13">
        <f>BY22*VLOOKUP('Données projet'!$B$12,Paramètres!$A$1:$I$89,3,0)*VLOOKUP('Données projet'!$B$12,Paramètres!$A$1:$I$89,5,0)</f>
        <v>51.846249999999976</v>
      </c>
      <c r="CA22" s="13">
        <f t="shared" si="39"/>
        <v>15.08955092363251</v>
      </c>
      <c r="CB22" s="20">
        <f t="shared" si="10"/>
        <v>116.57985327532657</v>
      </c>
      <c r="CC22" s="59">
        <f t="shared" si="11"/>
        <v>409.91318660865988</v>
      </c>
      <c r="CD22" s="59">
        <f ca="1">AVERAGE(OFFSET($CC$3,0,0,'Données projet'!$E$12+1,1))-AVERAGE(OFFSET($H$3,0,0,'Données projet'!$E$12+1,1))</f>
        <v>304.15237106473313</v>
      </c>
      <c r="CE22" s="59">
        <f t="shared" si="40"/>
        <v>120.85458928724336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255.5374979188561</v>
      </c>
      <c r="T23" s="59">
        <f t="shared" si="34"/>
        <v>343.10418468620901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13.314164264646086</v>
      </c>
      <c r="AB23" s="21">
        <f>EXP(-LN(2)/2)*AB22+(1-EXP(-LN(2)/2))/(LN(2)/2)*V23*Y23*VLOOKUP('Données projet'!$B$9,Paramètres!$A$1:$I$89,3,0)*0.475*44/12</f>
        <v>10.962867526607443</v>
      </c>
      <c r="AC23" s="22">
        <f t="shared" si="3"/>
        <v>24.277031791253528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210</v>
      </c>
      <c r="AG23" s="12">
        <f>VLOOKUP(A23,'Données projet'!$A$61:$I$81,9,0)</f>
        <v>16.7</v>
      </c>
      <c r="AH23" s="12">
        <f t="array" ref="AH23">INDEX(AG:AG,MIN(IF(ISNUMBER(AG23:AG219),ROW(AG23:AG219),"")))</f>
        <v>16.7</v>
      </c>
      <c r="AI23" s="13">
        <f>IF('Données projet'!$A$62&gt;35,AI22+AH23-AQ22,IF(A23&lt;'Données projet'!$A$62,$AF$205^A23,IF(A23='Données projet'!$A$62,'Données projet'!$B$62,AI22+AH23-AQ22)))</f>
        <v>209.99999999999997</v>
      </c>
      <c r="AJ23" s="13">
        <f>AI23*VLOOKUP('Données projet'!$B$10,Paramètres!$A$1:$I$89,3,0)*VLOOKUP('Données projet'!$B$10,Paramètres!$A$1:$I$89,5,0)</f>
        <v>114.65999999999998</v>
      </c>
      <c r="AK23" s="13">
        <f t="shared" si="35"/>
        <v>30.426251641117418</v>
      </c>
      <c r="AL23" s="20">
        <f t="shared" si="4"/>
        <v>252.69188827494611</v>
      </c>
      <c r="AM23" s="59">
        <f t="shared" si="5"/>
        <v>546.02522160827948</v>
      </c>
      <c r="AN23" s="59">
        <f ca="1">AVERAGE(OFFSET($AM$3,0,0,'Données projet'!$E$10+1,1))-AVERAGE(OFFSET($H$3,0,0,'Données projet'!$E$10+1,1))</f>
        <v>248.1486444660062</v>
      </c>
      <c r="AO23" s="59">
        <f t="shared" si="36"/>
        <v>293.34458072322127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98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22.522919234010324</v>
      </c>
      <c r="AW23" s="21">
        <f>EXP(-LN(2)/2)*AW22+(1-EXP(-LN(2)/2))/(LN(2)/2)*AQ23*AT23*VLOOKUP('Données projet'!$B$10,Paramètres!$A$1:$I$89,3,0)*0.475*44/12</f>
        <v>30.369017742329248</v>
      </c>
      <c r="AX23" s="21">
        <f t="shared" si="6"/>
        <v>52.891936976339572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177</v>
      </c>
      <c r="BB23" s="12">
        <f>VLOOKUP(A23,'Données projet'!$A$87:$I$107,9,0)</f>
        <v>14.1</v>
      </c>
      <c r="BC23" s="12">
        <f t="array" ref="BC23">INDEX(BB:BB,MIN(IF(ISNUMBER(BB23:BB219),ROW(BB23:BB219),"")))</f>
        <v>14.1</v>
      </c>
      <c r="BD23" s="12">
        <f>IF('Données projet'!$A$88&gt;35,BD22+BC23-BL22,IF(A23&lt;'Données projet'!$A$88,$BA$205^A23,IF(A23='Données projet'!$A$88,'Données projet'!$B$88,BD22+BC23-BL22)))</f>
        <v>176.99999999999997</v>
      </c>
      <c r="BE23" s="13">
        <f>BD23*VLOOKUP('Données projet'!$B$11,Paramètres!$A$1:$I$89,3,0)*VLOOKUP('Données projet'!$B$11,Paramètres!$A$1:$I$89,5,0)</f>
        <v>96.641999999999996</v>
      </c>
      <c r="BF23" s="13">
        <f t="shared" si="37"/>
        <v>26.160416982548217</v>
      </c>
      <c r="BG23" s="20">
        <f t="shared" si="7"/>
        <v>213.88087624460479</v>
      </c>
      <c r="BH23" s="59">
        <f t="shared" si="8"/>
        <v>507.21420957793811</v>
      </c>
      <c r="BI23" s="59">
        <f ca="1">AVERAGE(OFFSET($BH$3,0,0,'Données projet'!$E$11+1,1))-AVERAGE(OFFSET($H$3,0,0,'Données projet'!$E$11+1,1))</f>
        <v>210.04871822652808</v>
      </c>
      <c r="BJ23" s="59">
        <f t="shared" si="38"/>
        <v>250.17540614049324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81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17.531291645290491</v>
      </c>
      <c r="BR23" s="21">
        <f>EXP(-LN(2)/2)*BR22+(1-EXP(-LN(2)/2))/(LN(2)/2)*BL23*BO23*VLOOKUP('Données projet'!$B$11,Paramètres!$A$1:$I$89,3,0)*0.475*44/12</f>
        <v>25.037052795202737</v>
      </c>
      <c r="BS23" s="22">
        <f t="shared" si="9"/>
        <v>42.568344440493227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5.6730769230769225</v>
      </c>
      <c r="BY23" s="12">
        <f>IF('Données projet'!$A$114&gt;35,BY22+BX23-CG22,IF(A23&lt;'Données projet'!$A$114,$BV$205^A23,IF(A23='Données projet'!$A$114,'Données projet'!$B$114,BY22+BX23-CG22)))</f>
        <v>113.46153846153841</v>
      </c>
      <c r="BZ23" s="13">
        <f>BY23*VLOOKUP('Données projet'!$B$12,Paramètres!$A$1:$I$89,3,0)*VLOOKUP('Données projet'!$B$12,Paramètres!$A$1:$I$89,5,0)</f>
        <v>54.574999999999974</v>
      </c>
      <c r="CA23" s="13">
        <f t="shared" si="39"/>
        <v>15.789185874770936</v>
      </c>
      <c r="CB23" s="20">
        <f t="shared" si="10"/>
        <v>122.55095706522599</v>
      </c>
      <c r="CC23" s="59">
        <f t="shared" si="11"/>
        <v>415.8842903985593</v>
      </c>
      <c r="CD23" s="59">
        <f ca="1">AVERAGE(OFFSET($CC$3,0,0,'Données projet'!$E$12+1,1))-AVERAGE(OFFSET($H$3,0,0,'Données projet'!$E$12+1,1))</f>
        <v>304.15237106473313</v>
      </c>
      <c r="CE23" s="59">
        <f t="shared" si="40"/>
        <v>120.85458928724336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255.5374979188561</v>
      </c>
      <c r="T24" s="59">
        <f t="shared" si="34"/>
        <v>343.10418468620901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12.95008774266787</v>
      </c>
      <c r="AB24" s="21">
        <f>EXP(-LN(2)/2)*AB23+(1-EXP(-LN(2)/2))/(LN(2)/2)*V24*Y24*VLOOKUP('Données projet'!$B$9,Paramètres!$A$1:$I$89,3,0)*0.475*44/12</f>
        <v>7.7519179693139169</v>
      </c>
      <c r="AC24" s="22">
        <f t="shared" si="3"/>
        <v>20.702005711981787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18.5</v>
      </c>
      <c r="AI24" s="13">
        <f>IF('Données projet'!$A$62&gt;35,AI23+AH24-AQ23,IF(A24&lt;'Données projet'!$A$62,$AF$205^A24,IF(A24='Données projet'!$A$62,'Données projet'!$B$62,AI23+AH24-AQ23)))</f>
        <v>130.49999999999997</v>
      </c>
      <c r="AJ24" s="13">
        <f>AI24*VLOOKUP('Données projet'!$B$10,Paramètres!$A$1:$I$89,3,0)*VLOOKUP('Données projet'!$B$10,Paramètres!$A$1:$I$89,5,0)</f>
        <v>71.252999999999986</v>
      </c>
      <c r="AK24" s="13">
        <f t="shared" si="35"/>
        <v>19.98429960724846</v>
      </c>
      <c r="AL24" s="20">
        <f t="shared" si="4"/>
        <v>158.90496348262437</v>
      </c>
      <c r="AM24" s="59">
        <f t="shared" si="5"/>
        <v>452.23829681595771</v>
      </c>
      <c r="AN24" s="59">
        <f ca="1">AVERAGE(OFFSET($AM$3,0,0,'Données projet'!$E$10+1,1))-AVERAGE(OFFSET($H$3,0,0,'Données projet'!$E$10+1,1))</f>
        <v>248.1486444660062</v>
      </c>
      <c r="AO24" s="59">
        <f t="shared" si="36"/>
        <v>293.34458072322127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21.907028823127465</v>
      </c>
      <c r="AW24" s="21">
        <f>EXP(-LN(2)/2)*AW23+(1-EXP(-LN(2)/2))/(LN(2)/2)*AQ24*AT24*VLOOKUP('Données projet'!$B$10,Paramètres!$A$1:$I$89,3,0)*0.475*44/12</f>
        <v>21.474138383575589</v>
      </c>
      <c r="AX24" s="21">
        <f t="shared" si="6"/>
        <v>43.381167206703054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16.399999999999999</v>
      </c>
      <c r="BD24" s="12">
        <f>IF('Données projet'!$A$88&gt;35,BD23+BC24-BL23,IF(A24&lt;'Données projet'!$A$88,$BA$205^A24,IF(A24='Données projet'!$A$88,'Données projet'!$B$88,BD23+BC24-BL23)))</f>
        <v>112.39999999999998</v>
      </c>
      <c r="BE24" s="13">
        <f>BD24*VLOOKUP('Données projet'!$B$11,Paramètres!$A$1:$I$89,3,0)*VLOOKUP('Données projet'!$B$11,Paramètres!$A$1:$I$89,5,0)</f>
        <v>61.370399999999989</v>
      </c>
      <c r="BF24" s="13">
        <f t="shared" si="37"/>
        <v>17.514292424921972</v>
      </c>
      <c r="BG24" s="20">
        <f t="shared" si="7"/>
        <v>137.39083930673908</v>
      </c>
      <c r="BH24" s="59">
        <f t="shared" si="8"/>
        <v>430.72417264007242</v>
      </c>
      <c r="BI24" s="59">
        <f ca="1">AVERAGE(OFFSET($BH$3,0,0,'Données projet'!$E$11+1,1))-AVERAGE(OFFSET($H$3,0,0,'Données projet'!$E$11+1,1))</f>
        <v>210.04871822652808</v>
      </c>
      <c r="BJ24" s="59">
        <f t="shared" si="38"/>
        <v>250.17540614049324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17.051897553319463</v>
      </c>
      <c r="BR24" s="21">
        <f>EXP(-LN(2)/2)*BR23+(1-EXP(-LN(2)/2))/(LN(2)/2)*BL24*BO24*VLOOKUP('Données projet'!$B$11,Paramètres!$A$1:$I$89,3,0)*0.475*44/12</f>
        <v>17.703869812413462</v>
      </c>
      <c r="BS24" s="22">
        <f t="shared" si="9"/>
        <v>34.755767365732922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5.6730769230769225</v>
      </c>
      <c r="BY24" s="12">
        <f>IF('Données projet'!$A$114&gt;35,BY23+BX24-CG23,IF(A24&lt;'Données projet'!$A$114,$BV$205^A24,IF(A24='Données projet'!$A$114,'Données projet'!$B$114,BY23+BX24-CG23)))</f>
        <v>119.13461538461533</v>
      </c>
      <c r="BZ24" s="13">
        <f>BY24*VLOOKUP('Données projet'!$B$12,Paramètres!$A$1:$I$89,3,0)*VLOOKUP('Données projet'!$B$12,Paramètres!$A$1:$I$89,5,0)</f>
        <v>57.30374999999998</v>
      </c>
      <c r="CA24" s="13">
        <f t="shared" si="39"/>
        <v>16.484758989889244</v>
      </c>
      <c r="CB24" s="20">
        <f t="shared" si="10"/>
        <v>128.51498649072371</v>
      </c>
      <c r="CC24" s="59">
        <f t="shared" si="11"/>
        <v>421.84831982405706</v>
      </c>
      <c r="CD24" s="59">
        <f ca="1">AVERAGE(OFFSET($CC$3,0,0,'Données projet'!$E$12+1,1))-AVERAGE(OFFSET($H$3,0,0,'Données projet'!$E$12+1,1))</f>
        <v>304.15237106473313</v>
      </c>
      <c r="CE24" s="59">
        <f t="shared" si="40"/>
        <v>120.85458928724336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255.5374979188561</v>
      </c>
      <c r="T25" s="59">
        <f t="shared" si="34"/>
        <v>343.10418468620901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12.5959669123291</v>
      </c>
      <c r="AB25" s="21">
        <f>EXP(-LN(2)/2)*AB24+(1-EXP(-LN(2)/2))/(LN(2)/2)*V25*Y25*VLOOKUP('Données projet'!$B$9,Paramètres!$A$1:$I$89,3,0)*0.475*44/12</f>
        <v>5.4814337633037225</v>
      </c>
      <c r="AC25" s="22">
        <f t="shared" si="3"/>
        <v>18.077400675632823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18.5</v>
      </c>
      <c r="AI25" s="13">
        <f>IF('Données projet'!$A$62&gt;35,AI24+AH25-AQ24,IF(A25&lt;'Données projet'!$A$62,$AF$205^A25,IF(A25='Données projet'!$A$62,'Données projet'!$B$62,AI24+AH25-AQ24)))</f>
        <v>148.99999999999997</v>
      </c>
      <c r="AJ25" s="13">
        <f>AI25*VLOOKUP('Données projet'!$B$10,Paramètres!$A$1:$I$89,3,0)*VLOOKUP('Données projet'!$B$10,Paramètres!$A$1:$I$89,5,0)</f>
        <v>81.353999999999985</v>
      </c>
      <c r="AK25" s="13">
        <f t="shared" si="35"/>
        <v>22.467920097706006</v>
      </c>
      <c r="AL25" s="20">
        <f t="shared" si="4"/>
        <v>180.82317750350458</v>
      </c>
      <c r="AM25" s="59">
        <f t="shared" si="5"/>
        <v>474.15651083683792</v>
      </c>
      <c r="AN25" s="59">
        <f ca="1">AVERAGE(OFFSET($AM$3,0,0,'Données projet'!$E$10+1,1))-AVERAGE(OFFSET($H$3,0,0,'Données projet'!$E$10+1,1))</f>
        <v>248.1486444660062</v>
      </c>
      <c r="AO25" s="59">
        <f t="shared" si="36"/>
        <v>293.34458072322127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21.307979967918467</v>
      </c>
      <c r="AW25" s="21">
        <f>EXP(-LN(2)/2)*AW24+(1-EXP(-LN(2)/2))/(LN(2)/2)*AQ25*AT25*VLOOKUP('Données projet'!$B$10,Paramètres!$A$1:$I$89,3,0)*0.475*44/12</f>
        <v>15.184508871164626</v>
      </c>
      <c r="AX25" s="21">
        <f t="shared" si="6"/>
        <v>36.492488839083094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16.399999999999999</v>
      </c>
      <c r="BD25" s="12">
        <f>IF('Données projet'!$A$88&gt;35,BD24+BC25-BL24,IF(A25&lt;'Données projet'!$A$88,$BA$205^A25,IF(A25='Données projet'!$A$88,'Données projet'!$B$88,BD24+BC25-BL24)))</f>
        <v>128.79999999999998</v>
      </c>
      <c r="BE25" s="13">
        <f>BD25*VLOOKUP('Données projet'!$B$11,Paramètres!$A$1:$I$89,3,0)*VLOOKUP('Données projet'!$B$11,Paramètres!$A$1:$I$89,5,0)</f>
        <v>70.324799999999982</v>
      </c>
      <c r="BF25" s="13">
        <f t="shared" si="37"/>
        <v>19.754095114409182</v>
      </c>
      <c r="BG25" s="20">
        <f t="shared" si="7"/>
        <v>156.88740899092929</v>
      </c>
      <c r="BH25" s="59">
        <f t="shared" si="8"/>
        <v>450.22074232426257</v>
      </c>
      <c r="BI25" s="59">
        <f ca="1">AVERAGE(OFFSET($BH$3,0,0,'Données projet'!$E$11+1,1))-AVERAGE(OFFSET($H$3,0,0,'Données projet'!$E$11+1,1))</f>
        <v>210.04871822652808</v>
      </c>
      <c r="BJ25" s="59">
        <f t="shared" si="38"/>
        <v>250.17540614049324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16.585612518003622</v>
      </c>
      <c r="BR25" s="21">
        <f>EXP(-LN(2)/2)*BR24+(1-EXP(-LN(2)/2))/(LN(2)/2)*BL25*BO25*VLOOKUP('Données projet'!$B$11,Paramètres!$A$1:$I$89,3,0)*0.475*44/12</f>
        <v>12.51852639760137</v>
      </c>
      <c r="BS25" s="22">
        <f t="shared" si="9"/>
        <v>29.104138915604992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5.6730769230769225</v>
      </c>
      <c r="BY25" s="12">
        <f>IF('Données projet'!$A$114&gt;35,BY24+BX25-CG24,IF(A25&lt;'Données projet'!$A$114,$BV$205^A25,IF(A25='Données projet'!$A$114,'Données projet'!$B$114,BY24+BX25-CG24)))</f>
        <v>124.80769230769225</v>
      </c>
      <c r="BZ25" s="13">
        <f>BY25*VLOOKUP('Données projet'!$B$12,Paramètres!$A$1:$I$89,3,0)*VLOOKUP('Données projet'!$B$12,Paramètres!$A$1:$I$89,5,0)</f>
        <v>60.03249999999997</v>
      </c>
      <c r="CA25" s="13">
        <f t="shared" si="39"/>
        <v>17.176485773195154</v>
      </c>
      <c r="CB25" s="20">
        <f t="shared" si="10"/>
        <v>134.47231688831482</v>
      </c>
      <c r="CC25" s="59">
        <f t="shared" si="11"/>
        <v>427.80565022164814</v>
      </c>
      <c r="CD25" s="59">
        <f ca="1">AVERAGE(OFFSET($CC$3,0,0,'Données projet'!$E$12+1,1))-AVERAGE(OFFSET($H$3,0,0,'Données projet'!$E$12+1,1))</f>
        <v>304.15237106473313</v>
      </c>
      <c r="CE25" s="59">
        <f t="shared" si="40"/>
        <v>120.85458928724336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255.5374979188561</v>
      </c>
      <c r="T26" s="59">
        <f t="shared" si="34"/>
        <v>343.10418468620901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12.251529534718349</v>
      </c>
      <c r="AB26" s="21">
        <f>EXP(-LN(2)/2)*AB25+(1-EXP(-LN(2)/2))/(LN(2)/2)*V26*Y26*VLOOKUP('Données projet'!$B$9,Paramètres!$A$1:$I$89,3,0)*0.475*44/12</f>
        <v>3.8759589846569593</v>
      </c>
      <c r="AC26" s="22">
        <f t="shared" si="3"/>
        <v>16.127488519375309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18.5</v>
      </c>
      <c r="AI26" s="13">
        <f>IF('Données projet'!$A$62&gt;35,AI25+AH26-AQ25,IF(A26&lt;'Données projet'!$A$62,$AF$205^A26,IF(A26='Données projet'!$A$62,'Données projet'!$B$62,AI25+AH26-AQ25)))</f>
        <v>167.49999999999997</v>
      </c>
      <c r="AJ26" s="13">
        <f>AI26*VLOOKUP('Données projet'!$B$10,Paramètres!$A$1:$I$89,3,0)*VLOOKUP('Données projet'!$B$10,Paramètres!$A$1:$I$89,5,0)</f>
        <v>91.454999999999984</v>
      </c>
      <c r="AK26" s="13">
        <f t="shared" si="35"/>
        <v>24.915807755003627</v>
      </c>
      <c r="AL26" s="20">
        <f t="shared" si="4"/>
        <v>202.67915683996458</v>
      </c>
      <c r="AM26" s="59">
        <f t="shared" si="5"/>
        <v>496.01249017329792</v>
      </c>
      <c r="AN26" s="59">
        <f ca="1">AVERAGE(OFFSET($AM$3,0,0,'Données projet'!$E$10+1,1))-AVERAGE(OFFSET($H$3,0,0,'Données projet'!$E$10+1,1))</f>
        <v>248.1486444660062</v>
      </c>
      <c r="AO26" s="59">
        <f t="shared" si="36"/>
        <v>293.34458072322127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20.725312135157768</v>
      </c>
      <c r="AW26" s="21">
        <f>EXP(-LN(2)/2)*AW25+(1-EXP(-LN(2)/2))/(LN(2)/2)*AQ26*AT26*VLOOKUP('Données projet'!$B$10,Paramètres!$A$1:$I$89,3,0)*0.475*44/12</f>
        <v>10.737069191787796</v>
      </c>
      <c r="AX26" s="21">
        <f t="shared" si="6"/>
        <v>31.462381326945565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16.399999999999999</v>
      </c>
      <c r="BD26" s="12">
        <f>IF('Données projet'!$A$88&gt;35,BD25+BC26-BL25,IF(A26&lt;'Données projet'!$A$88,$BA$205^A26,IF(A26='Données projet'!$A$88,'Données projet'!$B$88,BD25+BC26-BL25)))</f>
        <v>145.19999999999999</v>
      </c>
      <c r="BE26" s="13">
        <f>BD26*VLOOKUP('Données projet'!$B$11,Paramètres!$A$1:$I$89,3,0)*VLOOKUP('Données projet'!$B$11,Paramètres!$A$1:$I$89,5,0)</f>
        <v>79.279199999999989</v>
      </c>
      <c r="BF26" s="13">
        <f t="shared" si="37"/>
        <v>21.960852053344638</v>
      </c>
      <c r="BG26" s="20">
        <f t="shared" si="7"/>
        <v>176.32642399290856</v>
      </c>
      <c r="BH26" s="59">
        <f t="shared" si="8"/>
        <v>469.6597573262419</v>
      </c>
      <c r="BI26" s="59">
        <f ca="1">AVERAGE(OFFSET($BH$3,0,0,'Données projet'!$E$11+1,1))-AVERAGE(OFFSET($H$3,0,0,'Données projet'!$E$11+1,1))</f>
        <v>210.04871822652808</v>
      </c>
      <c r="BJ26" s="59">
        <f t="shared" si="38"/>
        <v>250.17540614049324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16.132078071499357</v>
      </c>
      <c r="BR26" s="21">
        <f>EXP(-LN(2)/2)*BR25+(1-EXP(-LN(2)/2))/(LN(2)/2)*BL26*BO26*VLOOKUP('Données projet'!$B$11,Paramètres!$A$1:$I$89,3,0)*0.475*44/12</f>
        <v>8.851934906206731</v>
      </c>
      <c r="BS26" s="22">
        <f t="shared" si="9"/>
        <v>24.984012977706087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5.6730769230769225</v>
      </c>
      <c r="BY26" s="12">
        <f>IF('Données projet'!$A$114&gt;35,BY25+BX26-CG25,IF(A26&lt;'Données projet'!$A$114,$BV$205^A26,IF(A26='Données projet'!$A$114,'Données projet'!$B$114,BY25+BX26-CG25)))</f>
        <v>130.48076923076917</v>
      </c>
      <c r="BZ26" s="13">
        <f>BY26*VLOOKUP('Données projet'!$B$12,Paramètres!$A$1:$I$89,3,0)*VLOOKUP('Données projet'!$B$12,Paramètres!$A$1:$I$89,5,0)</f>
        <v>62.761249999999976</v>
      </c>
      <c r="CA26" s="13">
        <f t="shared" si="39"/>
        <v>17.864561030182113</v>
      </c>
      <c r="CB26" s="20">
        <f t="shared" si="10"/>
        <v>140.42328754423383</v>
      </c>
      <c r="CC26" s="59">
        <f t="shared" si="11"/>
        <v>433.75662087756712</v>
      </c>
      <c r="CD26" s="59">
        <f ca="1">AVERAGE(OFFSET($CC$3,0,0,'Données projet'!$E$12+1,1))-AVERAGE(OFFSET($H$3,0,0,'Données projet'!$E$12+1,1))</f>
        <v>304.15237106473313</v>
      </c>
      <c r="CE26" s="59">
        <f t="shared" si="40"/>
        <v>120.85458928724336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255.5374979188561</v>
      </c>
      <c r="T27" s="59">
        <f t="shared" si="34"/>
        <v>343.10418468620901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0.11000000000000001</v>
      </c>
      <c r="X27" s="16">
        <f>IF(ISNA(VLOOKUP(A27,'Données projet'!$A$35:$I$55,6,0)),0%,VLOOKUP(A27,'Données projet'!$A$35:$I$55,6,0)*VLOOKUP('Données projet'!$B$9,Paramètres!$A$1:$I$89,7,0))</f>
        <v>0.22000000000000003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3.4799208202474183</v>
      </c>
      <c r="AA27" s="21">
        <f>EXP(-LN(2)/25)*AA26+(1-EXP(-LN(2)/25))/(LN(2)/25)*Calculateur!V27*Calculateur!X27*VLOOKUP('Données projet'!$B$9,Paramètres!$A$1:$I$89,3,0)*0.475*44/12</f>
        <v>18.848948907360175</v>
      </c>
      <c r="AB27" s="21">
        <f>EXP(-LN(2)/2)*AB26+(1-EXP(-LN(2)/2))/(LN(2)/2)*V27*Y27*VLOOKUP('Données projet'!$B$9,Paramètres!$A$1:$I$89,3,0)*0.475*44/12</f>
        <v>13.541216635632523</v>
      </c>
      <c r="AC27" s="22">
        <f t="shared" si="3"/>
        <v>35.870086363240119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18.5</v>
      </c>
      <c r="AI27" s="13">
        <f>IF('Données projet'!$A$62&gt;35,AI26+AH27-AQ26,IF(A27&lt;'Données projet'!$A$62,$AF$205^A27,IF(A27='Données projet'!$A$62,'Données projet'!$B$62,AI26+AH27-AQ26)))</f>
        <v>185.99999999999997</v>
      </c>
      <c r="AJ27" s="13">
        <f>AI27*VLOOKUP('Données projet'!$B$10,Paramètres!$A$1:$I$89,3,0)*VLOOKUP('Données projet'!$B$10,Paramètres!$A$1:$I$89,5,0)</f>
        <v>101.556</v>
      </c>
      <c r="AK27" s="13">
        <f t="shared" si="35"/>
        <v>27.332359320696909</v>
      </c>
      <c r="AL27" s="20">
        <f t="shared" si="4"/>
        <v>224.48055915021379</v>
      </c>
      <c r="AM27" s="59">
        <f t="shared" si="5"/>
        <v>517.81389248354708</v>
      </c>
      <c r="AN27" s="59">
        <f ca="1">AVERAGE(OFFSET($AM$3,0,0,'Données projet'!$E$10+1,1))-AVERAGE(OFFSET($H$3,0,0,'Données projet'!$E$10+1,1))</f>
        <v>248.1486444660062</v>
      </c>
      <c r="AO27" s="59">
        <f t="shared" si="36"/>
        <v>293.34458072322127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20.158577384925081</v>
      </c>
      <c r="AW27" s="21">
        <f>EXP(-LN(2)/2)*AW26+(1-EXP(-LN(2)/2))/(LN(2)/2)*AQ27*AT27*VLOOKUP('Données projet'!$B$10,Paramètres!$A$1:$I$89,3,0)*0.475*44/12</f>
        <v>7.5922544355823147</v>
      </c>
      <c r="AX27" s="21">
        <f t="shared" si="6"/>
        <v>27.750831820507397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16.399999999999999</v>
      </c>
      <c r="BD27" s="12">
        <f>IF('Données projet'!$A$88&gt;35,BD26+BC27-BL26,IF(A27&lt;'Données projet'!$A$88,$BA$205^A27,IF(A27='Données projet'!$A$88,'Données projet'!$B$88,BD26+BC27-BL26)))</f>
        <v>161.6</v>
      </c>
      <c r="BE27" s="13">
        <f>BD27*VLOOKUP('Données projet'!$B$11,Paramètres!$A$1:$I$89,3,0)*VLOOKUP('Données projet'!$B$11,Paramètres!$A$1:$I$89,5,0)</f>
        <v>88.23360000000001</v>
      </c>
      <c r="BF27" s="13">
        <f t="shared" si="37"/>
        <v>24.138721634312098</v>
      </c>
      <c r="BG27" s="20">
        <f t="shared" si="7"/>
        <v>195.7151268464269</v>
      </c>
      <c r="BH27" s="59">
        <f t="shared" si="8"/>
        <v>489.04846017976024</v>
      </c>
      <c r="BI27" s="59">
        <f ca="1">AVERAGE(OFFSET($BH$3,0,0,'Données projet'!$E$11+1,1))-AVERAGE(OFFSET($H$3,0,0,'Données projet'!$E$11+1,1))</f>
        <v>210.04871822652808</v>
      </c>
      <c r="BJ27" s="59">
        <f t="shared" si="38"/>
        <v>250.17540614049324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15.690945548285091</v>
      </c>
      <c r="BR27" s="21">
        <f>EXP(-LN(2)/2)*BR26+(1-EXP(-LN(2)/2))/(LN(2)/2)*BL27*BO27*VLOOKUP('Données projet'!$B$11,Paramètres!$A$1:$I$89,3,0)*0.475*44/12</f>
        <v>6.259263198800685</v>
      </c>
      <c r="BS27" s="22">
        <f t="shared" si="9"/>
        <v>21.950208747085775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5.6730769230769225</v>
      </c>
      <c r="BY27" s="12">
        <f>IF('Données projet'!$A$114&gt;35,BY26+BX27-CG26,IF(A27&lt;'Données projet'!$A$114,$BV$205^A27,IF(A27='Données projet'!$A$114,'Données projet'!$B$114,BY26+BX27-CG26)))</f>
        <v>136.1538461538461</v>
      </c>
      <c r="BZ27" s="13">
        <f>BY27*VLOOKUP('Données projet'!$B$12,Paramètres!$A$1:$I$89,3,0)*VLOOKUP('Données projet'!$B$12,Paramètres!$A$1:$I$89,5,0)</f>
        <v>65.489999999999981</v>
      </c>
      <c r="CA27" s="13">
        <f t="shared" si="39"/>
        <v>18.54916166879983</v>
      </c>
      <c r="CB27" s="20">
        <f t="shared" si="10"/>
        <v>146.36820657315965</v>
      </c>
      <c r="CC27" s="59">
        <f t="shared" si="11"/>
        <v>439.70153990649294</v>
      </c>
      <c r="CD27" s="59">
        <f ca="1">AVERAGE(OFFSET($CC$3,0,0,'Données projet'!$E$12+1,1))-AVERAGE(OFFSET($H$3,0,0,'Données projet'!$E$12+1,1))</f>
        <v>304.15237106473313</v>
      </c>
      <c r="CE27" s="59">
        <f t="shared" si="40"/>
        <v>120.85458928724336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255.5374979188561</v>
      </c>
      <c r="T28" s="59">
        <f t="shared" si="34"/>
        <v>343.10418468620901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3.4116816955044831</v>
      </c>
      <c r="AA28" s="21">
        <f>EXP(-LN(2)/25)*AA27+(1-EXP(-LN(2)/25))/(LN(2)/25)*Calculateur!V28*Calculateur!X28*VLOOKUP('Données projet'!$B$9,Paramètres!$A$1:$I$89,3,0)*0.475*44/12</f>
        <v>18.333523408265268</v>
      </c>
      <c r="AB28" s="21">
        <f>EXP(-LN(2)/2)*AB27+(1-EXP(-LN(2)/2))/(LN(2)/2)*V28*Y28*VLOOKUP('Données projet'!$B$9,Paramètres!$A$1:$I$89,3,0)*0.475*44/12</f>
        <v>9.5750861085718437</v>
      </c>
      <c r="AC28" s="22">
        <f t="shared" si="3"/>
        <v>31.320291212341594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18.5</v>
      </c>
      <c r="AI28" s="13">
        <f>IF('Données projet'!$A$62&gt;35,AI27+AH28-AQ27,IF(A28&lt;'Données projet'!$A$62,$AF$205^A28,IF(A28='Données projet'!$A$62,'Données projet'!$B$62,AI27+AH28-AQ27)))</f>
        <v>204.49999999999997</v>
      </c>
      <c r="AJ28" s="13">
        <f>AI28*VLOOKUP('Données projet'!$B$10,Paramètres!$A$1:$I$89,3,0)*VLOOKUP('Données projet'!$B$10,Paramètres!$A$1:$I$89,5,0)</f>
        <v>111.65699999999998</v>
      </c>
      <c r="AK28" s="13">
        <f t="shared" si="35"/>
        <v>29.721046333209543</v>
      </c>
      <c r="AL28" s="20">
        <f t="shared" si="4"/>
        <v>246.23343069700653</v>
      </c>
      <c r="AM28" s="59">
        <f t="shared" si="5"/>
        <v>539.56676403033987</v>
      </c>
      <c r="AN28" s="59">
        <f ca="1">AVERAGE(OFFSET($AM$3,0,0,'Données projet'!$E$10+1,1))-AVERAGE(OFFSET($H$3,0,0,'Données projet'!$E$10+1,1))</f>
        <v>248.1486444660062</v>
      </c>
      <c r="AO28" s="59">
        <f t="shared" si="36"/>
        <v>293.34458072322127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19.607340026240795</v>
      </c>
      <c r="AW28" s="21">
        <f>EXP(-LN(2)/2)*AW27+(1-EXP(-LN(2)/2))/(LN(2)/2)*AQ28*AT28*VLOOKUP('Données projet'!$B$10,Paramètres!$A$1:$I$89,3,0)*0.475*44/12</f>
        <v>5.368534595893899</v>
      </c>
      <c r="AX28" s="21">
        <f t="shared" si="6"/>
        <v>24.975874622134693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16.399999999999999</v>
      </c>
      <c r="BD28" s="12">
        <f>IF('Données projet'!$A$88&gt;35,BD27+BC28-BL27,IF(A28&lt;'Données projet'!$A$88,$BA$205^A28,IF(A28='Données projet'!$A$88,'Données projet'!$B$88,BD27+BC28-BL27)))</f>
        <v>178</v>
      </c>
      <c r="BE28" s="13">
        <f>BD28*VLOOKUP('Données projet'!$B$11,Paramètres!$A$1:$I$89,3,0)*VLOOKUP('Données projet'!$B$11,Paramètres!$A$1:$I$89,5,0)</f>
        <v>97.187999999999988</v>
      </c>
      <c r="BF28" s="13">
        <f t="shared" si="37"/>
        <v>26.290969297460332</v>
      </c>
      <c r="BG28" s="20">
        <f t="shared" si="7"/>
        <v>215.0592048597434</v>
      </c>
      <c r="BH28" s="59">
        <f t="shared" si="8"/>
        <v>508.39253819307669</v>
      </c>
      <c r="BI28" s="59">
        <f ca="1">AVERAGE(OFFSET($BH$3,0,0,'Données projet'!$E$11+1,1))-AVERAGE(OFFSET($H$3,0,0,'Données projet'!$E$11+1,1))</f>
        <v>210.04871822652808</v>
      </c>
      <c r="BJ28" s="59">
        <f t="shared" si="38"/>
        <v>250.17540614049324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15.261875817116271</v>
      </c>
      <c r="BR28" s="21">
        <f>EXP(-LN(2)/2)*BR27+(1-EXP(-LN(2)/2))/(LN(2)/2)*BL28*BO28*VLOOKUP('Données projet'!$B$11,Paramètres!$A$1:$I$89,3,0)*0.475*44/12</f>
        <v>4.4259674531033655</v>
      </c>
      <c r="BS28" s="22">
        <f t="shared" si="9"/>
        <v>19.687843270219638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5.6730769230769225</v>
      </c>
      <c r="BY28" s="12">
        <f>IF('Données projet'!$A$114&gt;35,BY27+BX28-CG27,IF(A28&lt;'Données projet'!$A$114,$BV$205^A28,IF(A28='Données projet'!$A$114,'Données projet'!$B$114,BY27+BX28-CG27)))</f>
        <v>141.82692307692304</v>
      </c>
      <c r="BZ28" s="13">
        <f>BY28*VLOOKUP('Données projet'!$B$12,Paramètres!$A$1:$I$89,3,0)*VLOOKUP('Données projet'!$B$12,Paramètres!$A$1:$I$89,5,0)</f>
        <v>68.218749999999986</v>
      </c>
      <c r="CA28" s="13">
        <f t="shared" si="39"/>
        <v>19.230449020607896</v>
      </c>
      <c r="CB28" s="20">
        <f t="shared" si="10"/>
        <v>152.30735496089207</v>
      </c>
      <c r="CC28" s="59">
        <f t="shared" si="11"/>
        <v>445.64068829422536</v>
      </c>
      <c r="CD28" s="59">
        <f ca="1">AVERAGE(OFFSET($CC$3,0,0,'Données projet'!$E$12+1,1))-AVERAGE(OFFSET($H$3,0,0,'Données projet'!$E$12+1,1))</f>
        <v>304.15237106473313</v>
      </c>
      <c r="CE28" s="59">
        <f t="shared" si="40"/>
        <v>120.85458928724336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255.5374979188561</v>
      </c>
      <c r="T29" s="59">
        <f t="shared" si="34"/>
        <v>343.10418468620901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3.3447806983760007</v>
      </c>
      <c r="AA29" s="21">
        <f>EXP(-LN(2)/25)*AA28+(1-EXP(-LN(2)/25))/(LN(2)/25)*Calculateur!V29*Calculateur!X29*VLOOKUP('Données projet'!$B$9,Paramètres!$A$1:$I$89,3,0)*0.475*44/12</f>
        <v>17.832192246548161</v>
      </c>
      <c r="AB29" s="21">
        <f>EXP(-LN(2)/2)*AB28+(1-EXP(-LN(2)/2))/(LN(2)/2)*V29*Y29*VLOOKUP('Données projet'!$B$9,Paramètres!$A$1:$I$89,3,0)*0.475*44/12</f>
        <v>6.7706083178162624</v>
      </c>
      <c r="AC29" s="22">
        <f t="shared" si="3"/>
        <v>27.947581262740421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18.5</v>
      </c>
      <c r="AI29" s="13">
        <f>IF('Données projet'!$A$62&gt;35,AI28+AH29-AQ28,IF(A29&lt;'Données projet'!$A$62,$AF$205^A29,IF(A29='Données projet'!$A$62,'Données projet'!$B$62,AI28+AH29-AQ28)))</f>
        <v>222.99999999999997</v>
      </c>
      <c r="AJ29" s="13">
        <f>AI29*VLOOKUP('Données projet'!$B$10,Paramètres!$A$1:$I$89,3,0)*VLOOKUP('Données projet'!$B$10,Paramètres!$A$1:$I$89,5,0)</f>
        <v>121.75799999999998</v>
      </c>
      <c r="AK29" s="13">
        <f t="shared" si="35"/>
        <v>32.084676216474307</v>
      </c>
      <c r="AL29" s="20">
        <f t="shared" si="4"/>
        <v>267.942661077026</v>
      </c>
      <c r="AM29" s="59">
        <f t="shared" si="5"/>
        <v>561.27599441035932</v>
      </c>
      <c r="AN29" s="59">
        <f ca="1">AVERAGE(OFFSET($AM$3,0,0,'Données projet'!$E$10+1,1))-AVERAGE(OFFSET($H$3,0,0,'Données projet'!$E$10+1,1))</f>
        <v>248.1486444660062</v>
      </c>
      <c r="AO29" s="59">
        <f t="shared" si="36"/>
        <v>293.34458072322127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19.071176282118042</v>
      </c>
      <c r="AW29" s="21">
        <f>EXP(-LN(2)/2)*AW28+(1-EXP(-LN(2)/2))/(LN(2)/2)*AQ29*AT29*VLOOKUP('Données projet'!$B$10,Paramètres!$A$1:$I$89,3,0)*0.475*44/12</f>
        <v>3.7961272177911578</v>
      </c>
      <c r="AX29" s="21">
        <f t="shared" si="6"/>
        <v>22.867303499909198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194.4</v>
      </c>
      <c r="BE29" s="13">
        <f>BD29*VLOOKUP('Données projet'!$B$11,Paramètres!$A$1:$I$89,3,0)*VLOOKUP('Données projet'!$B$11,Paramètres!$A$1:$I$89,5,0)</f>
        <v>106.14239999999999</v>
      </c>
      <c r="BF29" s="13">
        <f t="shared" si="37"/>
        <v>28.420224211524975</v>
      </c>
      <c r="BG29" s="20">
        <f t="shared" si="7"/>
        <v>234.36323716840596</v>
      </c>
      <c r="BH29" s="59">
        <f t="shared" si="8"/>
        <v>527.6965705017393</v>
      </c>
      <c r="BI29" s="59">
        <f ca="1">AVERAGE(OFFSET($BH$3,0,0,'Données projet'!$E$11+1,1))-AVERAGE(OFFSET($H$3,0,0,'Données projet'!$E$11+1,1))</f>
        <v>210.04871822652808</v>
      </c>
      <c r="BJ29" s="59">
        <f t="shared" si="38"/>
        <v>250.17540614049324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14.844539020310059</v>
      </c>
      <c r="BR29" s="21">
        <f>EXP(-LN(2)/2)*BR28+(1-EXP(-LN(2)/2))/(LN(2)/2)*BL29*BO29*VLOOKUP('Données projet'!$B$11,Paramètres!$A$1:$I$89,3,0)*0.475*44/12</f>
        <v>3.1296315994003425</v>
      </c>
      <c r="BS29" s="22">
        <f t="shared" si="9"/>
        <v>17.974170619710399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5.6730769230769225</v>
      </c>
      <c r="BY29" s="12">
        <f>IF('Données projet'!$A$114&gt;35,BY28+BX29-CG28,IF(A29&lt;'Données projet'!$A$114,$BV$205^A29,IF(A29='Données projet'!$A$114,'Données projet'!$B$114,BY28+BX29-CG28)))</f>
        <v>147.49999999999997</v>
      </c>
      <c r="BZ29" s="13">
        <f>BY29*VLOOKUP('Données projet'!$B$12,Paramètres!$A$1:$I$89,3,0)*VLOOKUP('Données projet'!$B$12,Paramètres!$A$1:$I$89,5,0)</f>
        <v>70.947499999999991</v>
      </c>
      <c r="CA29" s="13">
        <f t="shared" si="39"/>
        <v>19.908570780090567</v>
      </c>
      <c r="CB29" s="20">
        <f t="shared" si="10"/>
        <v>158.24098994199105</v>
      </c>
      <c r="CC29" s="59">
        <f t="shared" si="11"/>
        <v>451.57432327532433</v>
      </c>
      <c r="CD29" s="59">
        <f ca="1">AVERAGE(OFFSET($CC$3,0,0,'Données projet'!$E$12+1,1))-AVERAGE(OFFSET($H$3,0,0,'Données projet'!$E$12+1,1))</f>
        <v>304.15237106473313</v>
      </c>
      <c r="CE29" s="59">
        <f t="shared" si="40"/>
        <v>120.85458928724336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255.5374979188561</v>
      </c>
      <c r="T30" s="59">
        <f t="shared" si="34"/>
        <v>343.10418468620901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3.2791915889956287</v>
      </c>
      <c r="AA30" s="21">
        <f>EXP(-LN(2)/25)*AA29+(1-EXP(-LN(2)/25))/(LN(2)/25)*Calculateur!V30*Calculateur!X30*VLOOKUP('Données projet'!$B$9,Paramètres!$A$1:$I$89,3,0)*0.475*44/12</f>
        <v>17.344570011812067</v>
      </c>
      <c r="AB30" s="21">
        <f>EXP(-LN(2)/2)*AB29+(1-EXP(-LN(2)/2))/(LN(2)/2)*V30*Y30*VLOOKUP('Données projet'!$B$9,Paramètres!$A$1:$I$89,3,0)*0.475*44/12</f>
        <v>4.7875430542859228</v>
      </c>
      <c r="AC30" s="22">
        <f t="shared" si="3"/>
        <v>25.41130465509362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18.5</v>
      </c>
      <c r="AI30" s="13">
        <f>IF('Données projet'!$A$62&gt;35,AI29+AH30-AQ29,IF(A30&lt;'Données projet'!$A$62,$AF$205^A30,IF(A30='Données projet'!$A$62,'Données projet'!$B$62,AI29+AH30-AQ29)))</f>
        <v>241.49999999999997</v>
      </c>
      <c r="AJ30" s="13">
        <f>AI30*VLOOKUP('Données projet'!$B$10,Paramètres!$A$1:$I$89,3,0)*VLOOKUP('Données projet'!$B$10,Paramètres!$A$1:$I$89,5,0)</f>
        <v>131.85899999999998</v>
      </c>
      <c r="AK30" s="13">
        <f t="shared" si="35"/>
        <v>34.425564033098446</v>
      </c>
      <c r="AL30" s="20">
        <f t="shared" si="4"/>
        <v>289.61228235764639</v>
      </c>
      <c r="AM30" s="59">
        <f t="shared" si="5"/>
        <v>582.94561569097971</v>
      </c>
      <c r="AN30" s="59">
        <f ca="1">AVERAGE(OFFSET($AM$3,0,0,'Données projet'!$E$10+1,1))-AVERAGE(OFFSET($H$3,0,0,'Données projet'!$E$10+1,1))</f>
        <v>248.1486444660062</v>
      </c>
      <c r="AO30" s="59">
        <f t="shared" si="36"/>
        <v>293.34458072322127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18.549673963773952</v>
      </c>
      <c r="AW30" s="21">
        <f>EXP(-LN(2)/2)*AW29+(1-EXP(-LN(2)/2))/(LN(2)/2)*AQ30*AT30*VLOOKUP('Données projet'!$B$10,Paramètres!$A$1:$I$89,3,0)*0.475*44/12</f>
        <v>2.68426729794695</v>
      </c>
      <c r="AX30" s="21">
        <f t="shared" si="6"/>
        <v>21.233941261720901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210.8</v>
      </c>
      <c r="BE30" s="13">
        <f>BD30*VLOOKUP('Données projet'!$B$11,Paramètres!$A$1:$I$89,3,0)*VLOOKUP('Données projet'!$B$11,Paramètres!$A$1:$I$89,5,0)</f>
        <v>115.0968</v>
      </c>
      <c r="BF30" s="13">
        <f t="shared" si="37"/>
        <v>30.528646626547697</v>
      </c>
      <c r="BG30" s="20">
        <f t="shared" si="7"/>
        <v>253.6309862079039</v>
      </c>
      <c r="BH30" s="59">
        <f t="shared" si="8"/>
        <v>546.96431954123727</v>
      </c>
      <c r="BI30" s="59">
        <f ca="1">AVERAGE(OFFSET($BH$3,0,0,'Données projet'!$E$11+1,1))-AVERAGE(OFFSET($H$3,0,0,'Données projet'!$E$11+1,1))</f>
        <v>210.04871822652808</v>
      </c>
      <c r="BJ30" s="59">
        <f t="shared" si="38"/>
        <v>250.17540614049324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14.438614320159301</v>
      </c>
      <c r="BR30" s="21">
        <f>EXP(-LN(2)/2)*BR29+(1-EXP(-LN(2)/2))/(LN(2)/2)*BL30*BO30*VLOOKUP('Données projet'!$B$11,Paramètres!$A$1:$I$89,3,0)*0.475*44/12</f>
        <v>2.2129837265516827</v>
      </c>
      <c r="BS30" s="22">
        <f t="shared" si="9"/>
        <v>16.651598046710983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5.6730769230769225</v>
      </c>
      <c r="BY30" s="12">
        <f>IF('Données projet'!$A$114&gt;35,BY29+BX30-CG29,IF(A30&lt;'Données projet'!$A$114,$BV$205^A30,IF(A30='Données projet'!$A$114,'Données projet'!$B$114,BY29+BX30-CG29)))</f>
        <v>153.17307692307691</v>
      </c>
      <c r="BZ30" s="13">
        <f>BY30*VLOOKUP('Données projet'!$B$12,Paramètres!$A$1:$I$89,3,0)*VLOOKUP('Données projet'!$B$12,Paramètres!$A$1:$I$89,5,0)</f>
        <v>73.676249999999996</v>
      </c>
      <c r="CA30" s="13">
        <f t="shared" si="39"/>
        <v>20.583662637223735</v>
      </c>
      <c r="CB30" s="20">
        <f t="shared" si="10"/>
        <v>164.16934784316467</v>
      </c>
      <c r="CC30" s="59">
        <f t="shared" si="11"/>
        <v>457.50268117649796</v>
      </c>
      <c r="CD30" s="59">
        <f ca="1">AVERAGE(OFFSET($CC$3,0,0,'Données projet'!$E$12+1,1))-AVERAGE(OFFSET($H$3,0,0,'Données projet'!$E$12+1,1))</f>
        <v>304.15237106473313</v>
      </c>
      <c r="CE30" s="59">
        <f t="shared" si="40"/>
        <v>120.85458928724336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255.5374979188561</v>
      </c>
      <c r="T31" s="59">
        <f t="shared" si="34"/>
        <v>343.10418468620901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3.2148886420447993</v>
      </c>
      <c r="AA31" s="21">
        <f>EXP(-LN(2)/25)*AA30+(1-EXP(-LN(2)/25))/(LN(2)/25)*Calculateur!V31*Calculateur!X31*VLOOKUP('Données projet'!$B$9,Paramètres!$A$1:$I$89,3,0)*0.475*44/12</f>
        <v>16.87028183272777</v>
      </c>
      <c r="AB31" s="21">
        <f>EXP(-LN(2)/2)*AB30+(1-EXP(-LN(2)/2))/(LN(2)/2)*V31*Y31*VLOOKUP('Données projet'!$B$9,Paramètres!$A$1:$I$89,3,0)*0.475*44/12</f>
        <v>3.3853041589081316</v>
      </c>
      <c r="AC31" s="22">
        <f t="shared" si="3"/>
        <v>23.470474633680698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18.5</v>
      </c>
      <c r="AI31" s="13">
        <f>IF('Données projet'!$A$62&gt;35,AI30+AH31-AQ30,IF(A31&lt;'Données projet'!$A$62,$AF$205^A31,IF(A31='Données projet'!$A$62,'Données projet'!$B$62,AI30+AH31-AQ30)))</f>
        <v>260</v>
      </c>
      <c r="AJ31" s="13">
        <f>AI31*VLOOKUP('Données projet'!$B$10,Paramètres!$A$1:$I$89,3,0)*VLOOKUP('Données projet'!$B$10,Paramètres!$A$1:$I$89,5,0)</f>
        <v>141.96</v>
      </c>
      <c r="AK31" s="13">
        <f t="shared" si="35"/>
        <v>36.745650011720485</v>
      </c>
      <c r="AL31" s="20">
        <f t="shared" si="4"/>
        <v>311.24567377041313</v>
      </c>
      <c r="AM31" s="59">
        <f t="shared" si="5"/>
        <v>604.57900710374645</v>
      </c>
      <c r="AN31" s="59">
        <f ca="1">AVERAGE(OFFSET($AM$3,0,0,'Données projet'!$E$10+1,1))-AVERAGE(OFFSET($H$3,0,0,'Données projet'!$E$10+1,1))</f>
        <v>248.1486444660062</v>
      </c>
      <c r="AO31" s="59">
        <f t="shared" si="36"/>
        <v>293.34458072322127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18.042432153749594</v>
      </c>
      <c r="AW31" s="21">
        <f>EXP(-LN(2)/2)*AW30+(1-EXP(-LN(2)/2))/(LN(2)/2)*AQ31*AT31*VLOOKUP('Données projet'!$B$10,Paramètres!$A$1:$I$89,3,0)*0.475*44/12</f>
        <v>1.8980636088955793</v>
      </c>
      <c r="AX31" s="21">
        <f t="shared" si="6"/>
        <v>19.940495762645174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227.20000000000002</v>
      </c>
      <c r="BE31" s="13">
        <f>BD31*VLOOKUP('Données projet'!$B$11,Paramètres!$A$1:$I$89,3,0)*VLOOKUP('Données projet'!$B$11,Paramètres!$A$1:$I$89,5,0)</f>
        <v>124.05120000000001</v>
      </c>
      <c r="BF31" s="13">
        <f t="shared" si="37"/>
        <v>32.618041559365977</v>
      </c>
      <c r="BG31" s="20">
        <f t="shared" si="7"/>
        <v>272.86559571589572</v>
      </c>
      <c r="BH31" s="59">
        <f t="shared" si="8"/>
        <v>566.19892904922904</v>
      </c>
      <c r="BI31" s="59">
        <f ca="1">AVERAGE(OFFSET($BH$3,0,0,'Données projet'!$E$11+1,1))-AVERAGE(OFFSET($H$3,0,0,'Données projet'!$E$11+1,1))</f>
        <v>210.04871822652808</v>
      </c>
      <c r="BJ31" s="59">
        <f t="shared" si="38"/>
        <v>250.17540614049324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14.043789652280818</v>
      </c>
      <c r="BR31" s="21">
        <f>EXP(-LN(2)/2)*BR30+(1-EXP(-LN(2)/2))/(LN(2)/2)*BL31*BO31*VLOOKUP('Données projet'!$B$11,Paramètres!$A$1:$I$89,3,0)*0.475*44/12</f>
        <v>1.5648157997001713</v>
      </c>
      <c r="BS31" s="22">
        <f t="shared" si="9"/>
        <v>15.608605451980988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5.6730769230769225</v>
      </c>
      <c r="BY31" s="12">
        <f>IF('Données projet'!$A$114&gt;35,BY30+BX31-CG30,IF(A31&lt;'Données projet'!$A$114,$BV$205^A31,IF(A31='Données projet'!$A$114,'Données projet'!$B$114,BY30+BX31-CG30)))</f>
        <v>158.84615384615384</v>
      </c>
      <c r="BZ31" s="13">
        <f>BY31*VLOOKUP('Données projet'!$B$12,Paramètres!$A$1:$I$89,3,0)*VLOOKUP('Données projet'!$B$12,Paramètres!$A$1:$I$89,5,0)</f>
        <v>76.405000000000001</v>
      </c>
      <c r="CA31" s="13">
        <f t="shared" si="39"/>
        <v>21.255849661380704</v>
      </c>
      <c r="CB31" s="20">
        <f t="shared" si="10"/>
        <v>170.09264649357141</v>
      </c>
      <c r="CC31" s="59">
        <f t="shared" si="11"/>
        <v>463.42597982690472</v>
      </c>
      <c r="CD31" s="59">
        <f ca="1">AVERAGE(OFFSET($CC$3,0,0,'Données projet'!$E$12+1,1))-AVERAGE(OFFSET($H$3,0,0,'Données projet'!$E$12+1,1))</f>
        <v>304.15237106473313</v>
      </c>
      <c r="CE31" s="59">
        <f t="shared" si="40"/>
        <v>120.85458928724336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255.5374979188561</v>
      </c>
      <c r="T32" s="59">
        <f t="shared" si="34"/>
        <v>343.10418468620901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3.1518466366627509</v>
      </c>
      <c r="AA32" s="21">
        <f>EXP(-LN(2)/25)*AA31+(1-EXP(-LN(2)/25))/(LN(2)/25)*Calculateur!V32*Calculateur!X32*VLOOKUP('Données projet'!$B$9,Paramètres!$A$1:$I$89,3,0)*0.475*44/12</f>
        <v>16.408963088842263</v>
      </c>
      <c r="AB32" s="21">
        <f>EXP(-LN(2)/2)*AB31+(1-EXP(-LN(2)/2))/(LN(2)/2)*V32*Y32*VLOOKUP('Données projet'!$B$9,Paramètres!$A$1:$I$89,3,0)*0.475*44/12</f>
        <v>2.3937715271429618</v>
      </c>
      <c r="AC32" s="22">
        <f t="shared" si="3"/>
        <v>21.954581252647976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18.5</v>
      </c>
      <c r="AI32" s="13">
        <f>IF('Données projet'!$A$62&gt;35,AI31+AH32-AQ31,IF(A32&lt;'Données projet'!$A$62,$AF$205^A32,IF(A32='Données projet'!$A$62,'Données projet'!$B$62,AI31+AH32-AQ31)))</f>
        <v>278.5</v>
      </c>
      <c r="AJ32" s="13">
        <f>AI32*VLOOKUP('Données projet'!$B$10,Paramètres!$A$1:$I$89,3,0)*VLOOKUP('Données projet'!$B$10,Paramètres!$A$1:$I$89,5,0)</f>
        <v>152.06100000000001</v>
      </c>
      <c r="AK32" s="13">
        <f t="shared" si="35"/>
        <v>39.046582627515924</v>
      </c>
      <c r="AL32" s="20">
        <f t="shared" si="4"/>
        <v>332.84570640959026</v>
      </c>
      <c r="AM32" s="59">
        <f t="shared" si="5"/>
        <v>626.17903974292358</v>
      </c>
      <c r="AN32" s="59">
        <f ca="1">AVERAGE(OFFSET($AM$3,0,0,'Données projet'!$E$10+1,1))-AVERAGE(OFFSET($H$3,0,0,'Données projet'!$E$10+1,1))</f>
        <v>248.1486444660062</v>
      </c>
      <c r="AO32" s="59">
        <f t="shared" si="36"/>
        <v>293.34458072322127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17.549060897695043</v>
      </c>
      <c r="AW32" s="21">
        <f>EXP(-LN(2)/2)*AW31+(1-EXP(-LN(2)/2))/(LN(2)/2)*AQ32*AT32*VLOOKUP('Données projet'!$B$10,Paramètres!$A$1:$I$89,3,0)*0.475*44/12</f>
        <v>1.3421336489734752</v>
      </c>
      <c r="AX32" s="21">
        <f t="shared" si="6"/>
        <v>18.891194546668519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243.60000000000002</v>
      </c>
      <c r="BE32" s="13">
        <f>BD32*VLOOKUP('Données projet'!$B$11,Paramètres!$A$1:$I$89,3,0)*VLOOKUP('Données projet'!$B$11,Paramètres!$A$1:$I$89,5,0)</f>
        <v>133.00560000000002</v>
      </c>
      <c r="BF32" s="13">
        <f t="shared" si="37"/>
        <v>34.689938673073549</v>
      </c>
      <c r="BG32" s="20">
        <f t="shared" si="7"/>
        <v>292.06972985560316</v>
      </c>
      <c r="BH32" s="59">
        <f t="shared" si="8"/>
        <v>585.40306318893647</v>
      </c>
      <c r="BI32" s="59">
        <f ca="1">AVERAGE(OFFSET($BH$3,0,0,'Données projet'!$E$11+1,1))-AVERAGE(OFFSET($H$3,0,0,'Données projet'!$E$11+1,1))</f>
        <v>210.04871822652808</v>
      </c>
      <c r="BJ32" s="59">
        <f t="shared" si="38"/>
        <v>250.17540614049324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13.659761485708399</v>
      </c>
      <c r="BR32" s="21">
        <f>EXP(-LN(2)/2)*BR31+(1-EXP(-LN(2)/2))/(LN(2)/2)*BL32*BO32*VLOOKUP('Données projet'!$B$11,Paramètres!$A$1:$I$89,3,0)*0.475*44/12</f>
        <v>1.1064918632758414</v>
      </c>
      <c r="BS32" s="22">
        <f t="shared" si="9"/>
        <v>14.766253348984241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5.6730769230769225</v>
      </c>
      <c r="BY32" s="12">
        <f>IF('Données projet'!$A$114&gt;35,BY31+BX32-CG31,IF(A32&lt;'Données projet'!$A$114,$BV$205^A32,IF(A32='Données projet'!$A$114,'Données projet'!$B$114,BY31+BX32-CG31)))</f>
        <v>164.51923076923077</v>
      </c>
      <c r="BZ32" s="13">
        <f>BY32*VLOOKUP('Données projet'!$B$12,Paramètres!$A$1:$I$89,3,0)*VLOOKUP('Données projet'!$B$12,Paramètres!$A$1:$I$89,5,0)</f>
        <v>79.133750000000006</v>
      </c>
      <c r="CA32" s="13">
        <f t="shared" si="39"/>
        <v>21.925247481981831</v>
      </c>
      <c r="CB32" s="20">
        <f t="shared" si="10"/>
        <v>176.01108728111834</v>
      </c>
      <c r="CC32" s="59">
        <f t="shared" si="11"/>
        <v>469.34442061445168</v>
      </c>
      <c r="CD32" s="59">
        <f ca="1">AVERAGE(OFFSET($CC$3,0,0,'Données projet'!$E$12+1,1))-AVERAGE(OFFSET($H$3,0,0,'Données projet'!$E$12+1,1))</f>
        <v>304.15237106473313</v>
      </c>
      <c r="CE32" s="59">
        <f t="shared" si="40"/>
        <v>120.85458928724336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255.5374979188561</v>
      </c>
      <c r="T33" s="59">
        <f t="shared" si="34"/>
        <v>343.10418468620901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3.0900408465544178</v>
      </c>
      <c r="AA33" s="21">
        <f>EXP(-LN(2)/25)*AA32+(1-EXP(-LN(2)/25))/(LN(2)/25)*Calculateur!V33*Calculateur!X33*VLOOKUP('Données projet'!$B$9,Paramètres!$A$1:$I$89,3,0)*0.475*44/12</f>
        <v>15.960259130268007</v>
      </c>
      <c r="AB33" s="21">
        <f>EXP(-LN(2)/2)*AB32+(1-EXP(-LN(2)/2))/(LN(2)/2)*V33*Y33*VLOOKUP('Données projet'!$B$9,Paramètres!$A$1:$I$89,3,0)*0.475*44/12</f>
        <v>1.692652079454066</v>
      </c>
      <c r="AC33" s="22">
        <f t="shared" si="3"/>
        <v>20.74295205627649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297</v>
      </c>
      <c r="AG33" s="12">
        <f>VLOOKUP(A33,'Données projet'!$A$61:$I$81,9,0)</f>
        <v>18.5</v>
      </c>
      <c r="AH33" s="12">
        <f t="array" ref="AH33">INDEX(AG:AG,MIN(IF(ISNUMBER(AG33:AG229),ROW(AG33:AG229),"")))</f>
        <v>18.5</v>
      </c>
      <c r="AI33" s="13">
        <f>IF('Données projet'!$A$62&gt;35,AI32+AH33-AQ32,IF(A33&lt;'Données projet'!$A$62,$AF$205^A33,IF(A33='Données projet'!$A$62,'Données projet'!$B$62,AI32+AH33-AQ32)))</f>
        <v>297</v>
      </c>
      <c r="AJ33" s="13">
        <f>AI33*VLOOKUP('Données projet'!$B$10,Paramètres!$A$1:$I$89,3,0)*VLOOKUP('Données projet'!$B$10,Paramètres!$A$1:$I$89,5,0)</f>
        <v>162.16200000000001</v>
      </c>
      <c r="AK33" s="13">
        <f t="shared" si="35"/>
        <v>41.3297789587414</v>
      </c>
      <c r="AL33" s="20">
        <f t="shared" si="4"/>
        <v>354.41484835314122</v>
      </c>
      <c r="AM33" s="59">
        <f t="shared" si="5"/>
        <v>647.74818168647448</v>
      </c>
      <c r="AN33" s="59">
        <f ca="1">AVERAGE(OFFSET($AM$3,0,0,'Données projet'!$E$10+1,1))-AVERAGE(OFFSET($H$3,0,0,'Données projet'!$E$10+1,1))</f>
        <v>248.1486444660062</v>
      </c>
      <c r="AO33" s="59">
        <f t="shared" si="36"/>
        <v>293.34458072322127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98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8.5178173057990687</v>
      </c>
      <c r="AV33" s="21">
        <f>EXP(-LN(2)/25)*AV32+(1-EXP(-LN(2)/25))/(LN(2)/25)*Calculateur!AQ33*Calculateur!AS33*VLOOKUP('Données projet'!$B$10,Paramètres!$A$1:$I$89,3,0)*0.475*44/12</f>
        <v>34.037739731629159</v>
      </c>
      <c r="AW33" s="21">
        <f>EXP(-LN(2)/2)*AW32+(1-EXP(-LN(2)/2))/(LN(2)/2)*AQ33*AT33*VLOOKUP('Données projet'!$B$10,Paramètres!$A$1:$I$89,3,0)*0.475*44/12</f>
        <v>25.182426114866235</v>
      </c>
      <c r="AX33" s="21">
        <f t="shared" si="6"/>
        <v>67.737983152294461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260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260</v>
      </c>
      <c r="BE33" s="13">
        <f>BD33*VLOOKUP('Données projet'!$B$11,Paramètres!$A$1:$I$89,3,0)*VLOOKUP('Données projet'!$B$11,Paramètres!$A$1:$I$89,5,0)</f>
        <v>141.96</v>
      </c>
      <c r="BF33" s="13">
        <f t="shared" si="37"/>
        <v>36.745650011720485</v>
      </c>
      <c r="BG33" s="20">
        <f t="shared" si="7"/>
        <v>311.24567377041313</v>
      </c>
      <c r="BH33" s="59">
        <f t="shared" si="8"/>
        <v>604.57900710374645</v>
      </c>
      <c r="BI33" s="59">
        <f ca="1">AVERAGE(OFFSET($BH$3,0,0,'Données projet'!$E$11+1,1))-AVERAGE(OFFSET($H$3,0,0,'Données projet'!$E$11+1,1))</f>
        <v>210.04871822652808</v>
      </c>
      <c r="BJ33" s="59">
        <f t="shared" si="38"/>
        <v>250.17540614049324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84</v>
      </c>
      <c r="BM33" s="16">
        <f>IF(ISNA(VLOOKUP(A33,'Données projet'!$A$87:$I$107,5,0)),0%,VLOOKUP(A33,'Données projet'!$A$87:$I$107,5,0)*VLOOKUP('Données projet'!$B$11,Paramètres!$A$1:$I$89,7,0))</f>
        <v>0.12</v>
      </c>
      <c r="BN33" s="16">
        <f>IF(ISNA(VLOOKUP(A33,'Données projet'!$A$87:$I$107,6,0)),0%,VLOOKUP(A33,'Données projet'!$A$87:$I$107,6,0)*VLOOKUP('Données projet'!$B$11,Paramètres!$A$1:$I$89,7,0))</f>
        <v>0.24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7.3009862621134873</v>
      </c>
      <c r="BQ33" s="21">
        <f>EXP(-LN(2)/25)*BQ32+(1-EXP(-LN(2)/25))/(LN(2)/25)*Calculateur!BL33*Calculateur!BN33*VLOOKUP('Données projet'!$B$11,Paramètres!$A$1:$I$89,3,0)*0.475*44/12</f>
        <v>27.830713584157436</v>
      </c>
      <c r="BR33" s="21">
        <f>EXP(-LN(2)/2)*BR32+(1-EXP(-LN(2)/2))/(LN(2)/2)*BL33*BO33*VLOOKUP('Données projet'!$B$11,Paramètres!$A$1:$I$89,3,0)*0.475*44/12</f>
        <v>21.553888737351617</v>
      </c>
      <c r="BS33" s="22">
        <f t="shared" si="9"/>
        <v>56.685588583622547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5.6730769230769225</v>
      </c>
      <c r="BY33" s="12">
        <f>IF('Données projet'!$A$114&gt;35,BY32+BX33-CG32,IF(A33&lt;'Données projet'!$A$114,$BV$205^A33,IF(A33='Données projet'!$A$114,'Données projet'!$B$114,BY32+BX33-CG32)))</f>
        <v>170.19230769230771</v>
      </c>
      <c r="BZ33" s="13">
        <f>BY33*VLOOKUP('Données projet'!$B$12,Paramètres!$A$1:$I$89,3,0)*VLOOKUP('Données projet'!$B$12,Paramètres!$A$1:$I$89,5,0)</f>
        <v>81.862500000000011</v>
      </c>
      <c r="CA33" s="13">
        <f t="shared" si="39"/>
        <v>22.591963301720547</v>
      </c>
      <c r="CB33" s="20">
        <f t="shared" si="10"/>
        <v>181.92485691716328</v>
      </c>
      <c r="CC33" s="59">
        <f t="shared" si="11"/>
        <v>475.25819025049657</v>
      </c>
      <c r="CD33" s="59">
        <f ca="1">AVERAGE(OFFSET($CC$3,0,0,'Données projet'!$E$12+1,1))-AVERAGE(OFFSET($H$3,0,0,'Données projet'!$E$12+1,1))</f>
        <v>304.15237106473313</v>
      </c>
      <c r="CE33" s="59">
        <f t="shared" si="40"/>
        <v>120.85458928724336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22.884615384615376</v>
      </c>
      <c r="N34" s="13">
        <f>IF('Données projet'!$A$36&gt;35,N33+M34-V33,IF(A34&lt;'Données projet'!$A$36,$K$205^A34,IF(A34='Données projet'!$A$36,'Données projet'!$B$36,N33+M34-V33)))</f>
        <v>289.08461538461523</v>
      </c>
      <c r="O34" s="13">
        <f>N34*VLOOKUP('Données projet'!$B$9,Paramètres!$A$1:$I$89,3,0)*VLOOKUP('Données projet'!$B$9,Paramètres!$A$1:$I$89,5,0)</f>
        <v>161.59829999999991</v>
      </c>
      <c r="P34" s="13">
        <f t="shared" si="33"/>
        <v>41.202807619439696</v>
      </c>
      <c r="Q34" s="20">
        <f t="shared" si="2"/>
        <v>353.2119291038573</v>
      </c>
      <c r="R34" s="59">
        <f t="shared" si="0"/>
        <v>646.54526243719056</v>
      </c>
      <c r="S34" s="59">
        <f ca="1">AVERAGE(OFFSET($R$3,0,0,'Données projet'!$E$9+1,1))-AVERAGE(OFFSET($H$3,0,0,'Données projet'!$E$9+1,1))</f>
        <v>255.5374979188561</v>
      </c>
      <c r="T34" s="59">
        <f t="shared" si="34"/>
        <v>343.10418468620901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3.0294470302922996</v>
      </c>
      <c r="AA34" s="21">
        <f>EXP(-LN(2)/25)*AA33+(1-EXP(-LN(2)/25))/(LN(2)/25)*Calculateur!V34*Calculateur!X34*VLOOKUP('Données projet'!$B$9,Paramètres!$A$1:$I$89,3,0)*0.475*44/12</f>
        <v>15.523825005037278</v>
      </c>
      <c r="AB34" s="21">
        <f>EXP(-LN(2)/2)*AB33+(1-EXP(-LN(2)/2))/(LN(2)/2)*V34*Y34*VLOOKUP('Données projet'!$B$9,Paramètres!$A$1:$I$89,3,0)*0.475*44/12</f>
        <v>1.1968857635714809</v>
      </c>
      <c r="AC34" s="22">
        <f t="shared" si="3"/>
        <v>19.750157798901057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15.7</v>
      </c>
      <c r="AI34" s="13">
        <f>IF('Données projet'!$A$62&gt;35,AI33+AH34-AQ33,IF(A34&lt;'Données projet'!$A$62,$AF$205^A34,IF(A34='Données projet'!$A$62,'Données projet'!$B$62,AI33+AH34-AQ33)))</f>
        <v>214.7</v>
      </c>
      <c r="AJ34" s="13">
        <f>AI34*VLOOKUP('Données projet'!$B$10,Paramètres!$A$1:$I$89,3,0)*VLOOKUP('Données projet'!$B$10,Paramètres!$A$1:$I$89,5,0)</f>
        <v>117.22619999999999</v>
      </c>
      <c r="AK34" s="13">
        <f t="shared" si="35"/>
        <v>31.027178087454015</v>
      </c>
      <c r="AL34" s="20">
        <f t="shared" si="4"/>
        <v>258.20796683564902</v>
      </c>
      <c r="AM34" s="59">
        <f t="shared" si="5"/>
        <v>551.54130016898239</v>
      </c>
      <c r="AN34" s="59">
        <f ca="1">AVERAGE(OFFSET($AM$3,0,0,'Données projet'!$E$10+1,1))-AVERAGE(OFFSET($H$3,0,0,'Données projet'!$E$10+1,1))</f>
        <v>248.1486444660062</v>
      </c>
      <c r="AO34" s="59">
        <f t="shared" si="36"/>
        <v>293.34458072322127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8.3507881037879059</v>
      </c>
      <c r="AV34" s="21">
        <f>EXP(-LN(2)/25)*AV33+(1-EXP(-LN(2)/25))/(LN(2)/25)*Calculateur!AQ34*Calculateur!AS34*VLOOKUP('Données projet'!$B$10,Paramètres!$A$1:$I$89,3,0)*0.475*44/12</f>
        <v>33.106975948700821</v>
      </c>
      <c r="AW34" s="21">
        <f>EXP(-LN(2)/2)*AW33+(1-EXP(-LN(2)/2))/(LN(2)/2)*AQ34*AT34*VLOOKUP('Données projet'!$B$10,Paramètres!$A$1:$I$89,3,0)*0.475*44/12</f>
        <v>17.806664272551121</v>
      </c>
      <c r="AX34" s="21">
        <f t="shared" si="6"/>
        <v>59.264428325039844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13.8</v>
      </c>
      <c r="BD34" s="12">
        <f>IF('Données projet'!$A$88&gt;35,BD33+BC34-BL33,IF(A34&lt;'Données projet'!$A$88,$BA$205^A34,IF(A34='Données projet'!$A$88,'Données projet'!$B$88,BD33+BC34-BL33)))</f>
        <v>189.8</v>
      </c>
      <c r="BE34" s="13">
        <f>BD34*VLOOKUP('Données projet'!$B$11,Paramètres!$A$1:$I$89,3,0)*VLOOKUP('Données projet'!$B$11,Paramètres!$A$1:$I$89,5,0)</f>
        <v>103.63080000000001</v>
      </c>
      <c r="BF34" s="13">
        <f t="shared" si="37"/>
        <v>27.825181985080775</v>
      </c>
      <c r="BG34" s="20">
        <f t="shared" si="7"/>
        <v>228.952501957349</v>
      </c>
      <c r="BH34" s="59">
        <f t="shared" si="8"/>
        <v>522.28583529068237</v>
      </c>
      <c r="BI34" s="59">
        <f ca="1">AVERAGE(OFFSET($BH$3,0,0,'Données projet'!$E$11+1,1))-AVERAGE(OFFSET($H$3,0,0,'Données projet'!$E$11+1,1))</f>
        <v>210.04871822652808</v>
      </c>
      <c r="BJ34" s="59">
        <f t="shared" si="38"/>
        <v>250.17540614049324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7.1578183746753483</v>
      </c>
      <c r="BQ34" s="21">
        <f>EXP(-LN(2)/25)*BQ33+(1-EXP(-LN(2)/25))/(LN(2)/25)*Calculateur!BL34*Calculateur!BN34*VLOOKUP('Données projet'!$B$11,Paramètres!$A$1:$I$89,3,0)*0.475*44/12</f>
        <v>27.069681257645033</v>
      </c>
      <c r="BR34" s="21">
        <f>EXP(-LN(2)/2)*BR33+(1-EXP(-LN(2)/2))/(LN(2)/2)*BL34*BO34*VLOOKUP('Données projet'!$B$11,Paramètres!$A$1:$I$89,3,0)*0.475*44/12</f>
        <v>15.240900887121683</v>
      </c>
      <c r="BS34" s="22">
        <f t="shared" si="9"/>
        <v>49.468400519442064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5.6730769230769225</v>
      </c>
      <c r="BY34" s="12">
        <f>IF('Données projet'!$A$114&gt;35,BY33+BX34-CG33,IF(A34&lt;'Données projet'!$A$114,$BV$205^A34,IF(A34='Données projet'!$A$114,'Données projet'!$B$114,BY33+BX34-CG33)))</f>
        <v>175.86538461538464</v>
      </c>
      <c r="BZ34" s="13">
        <f>BY34*VLOOKUP('Données projet'!$B$12,Paramètres!$A$1:$I$89,3,0)*VLOOKUP('Données projet'!$B$12,Paramètres!$A$1:$I$89,5,0)</f>
        <v>84.591250000000031</v>
      </c>
      <c r="CA34" s="13">
        <f t="shared" si="39"/>
        <v>23.256096770897599</v>
      </c>
      <c r="CB34" s="20">
        <f t="shared" si="10"/>
        <v>187.83412895931338</v>
      </c>
      <c r="CC34" s="59">
        <f t="shared" si="11"/>
        <v>481.16746229264669</v>
      </c>
      <c r="CD34" s="59">
        <f ca="1">AVERAGE(OFFSET($CC$3,0,0,'Données projet'!$E$12+1,1))-AVERAGE(OFFSET($H$3,0,0,'Données projet'!$E$12+1,1))</f>
        <v>304.15237106473313</v>
      </c>
      <c r="CE34" s="59">
        <f t="shared" si="40"/>
        <v>120.85458928724336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22.884615384615376</v>
      </c>
      <c r="N35" s="13">
        <f>IF('Données projet'!$A$36&gt;35,N34+M35-V34,IF(A35&lt;'Données projet'!$A$36,$K$205^A35,IF(A35='Données projet'!$A$36,'Données projet'!$B$36,N34+M35-V34)))</f>
        <v>311.96923076923059</v>
      </c>
      <c r="O35" s="13">
        <f>N35*VLOOKUP('Données projet'!$B$9,Paramètres!$A$1:$I$89,3,0)*VLOOKUP('Données projet'!$B$9,Paramètres!$A$1:$I$89,5,0)</f>
        <v>174.39079999999993</v>
      </c>
      <c r="P35" s="13">
        <f t="shared" si="33"/>
        <v>44.071952499783528</v>
      </c>
      <c r="Q35" s="20">
        <f t="shared" ref="Q35:Q66" si="53">(O35+P35)*0.475*44/12</f>
        <v>380.4892939371228</v>
      </c>
      <c r="R35" s="59">
        <f t="shared" si="0"/>
        <v>673.82262727045611</v>
      </c>
      <c r="S35" s="59">
        <f ca="1">AVERAGE(OFFSET($R$3,0,0,'Données projet'!$E$9+1,1))-AVERAGE(OFFSET($H$3,0,0,'Données projet'!$E$9+1,1))</f>
        <v>255.5374979188561</v>
      </c>
      <c r="T35" s="59">
        <f t="shared" si="34"/>
        <v>343.10418468620901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2.9700414218085029</v>
      </c>
      <c r="AA35" s="21">
        <f>EXP(-LN(2)/25)*AA34+(1-EXP(-LN(2)/25))/(LN(2)/25)*Calculateur!V35*Calculateur!X35*VLOOKUP('Données projet'!$B$9,Paramètres!$A$1:$I$89,3,0)*0.475*44/12</f>
        <v>15.099325193912057</v>
      </c>
      <c r="AB35" s="21">
        <f>EXP(-LN(2)/2)*AB34+(1-EXP(-LN(2)/2))/(LN(2)/2)*V35*Y35*VLOOKUP('Données projet'!$B$9,Paramètres!$A$1:$I$89,3,0)*0.475*44/12</f>
        <v>0.84632603972703302</v>
      </c>
      <c r="AC35" s="22">
        <f t="shared" si="3"/>
        <v>18.915692655447593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15.7</v>
      </c>
      <c r="AI35" s="13">
        <f>IF('Données projet'!$A$62&gt;35,AI34+AH35-AQ34,IF(A35&lt;'Données projet'!$A$62,$AF$205^A35,IF(A35='Données projet'!$A$62,'Données projet'!$B$62,AI34+AH35-AQ34)))</f>
        <v>230.39999999999998</v>
      </c>
      <c r="AJ35" s="13">
        <f>AI35*VLOOKUP('Données projet'!$B$10,Paramètres!$A$1:$I$89,3,0)*VLOOKUP('Données projet'!$B$10,Paramètres!$A$1:$I$89,5,0)</f>
        <v>125.79839999999999</v>
      </c>
      <c r="AK35" s="13">
        <f t="shared" si="35"/>
        <v>33.023644363399924</v>
      </c>
      <c r="AL35" s="20">
        <f t="shared" si="4"/>
        <v>276.61506059958816</v>
      </c>
      <c r="AM35" s="59">
        <f t="shared" si="5"/>
        <v>569.94839393292148</v>
      </c>
      <c r="AN35" s="59">
        <f ca="1">AVERAGE(OFFSET($AM$3,0,0,'Données projet'!$E$10+1,1))-AVERAGE(OFFSET($H$3,0,0,'Données projet'!$E$10+1,1))</f>
        <v>248.1486444660062</v>
      </c>
      <c r="AO35" s="59">
        <f t="shared" si="36"/>
        <v>293.34458072322127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8.1870342425504301</v>
      </c>
      <c r="AV35" s="21">
        <f>EXP(-LN(2)/25)*AV34+(1-EXP(-LN(2)/25))/(LN(2)/25)*Calculateur!AQ35*Calculateur!AS35*VLOOKUP('Données projet'!$B$10,Paramètres!$A$1:$I$89,3,0)*0.475*44/12</f>
        <v>32.201663950363397</v>
      </c>
      <c r="AW35" s="21">
        <f>EXP(-LN(2)/2)*AW34+(1-EXP(-LN(2)/2))/(LN(2)/2)*AQ35*AT35*VLOOKUP('Données projet'!$B$10,Paramètres!$A$1:$I$89,3,0)*0.475*44/12</f>
        <v>12.591213057433119</v>
      </c>
      <c r="AX35" s="21">
        <f t="shared" si="6"/>
        <v>52.979911250346944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13.8</v>
      </c>
      <c r="BD35" s="12">
        <f>IF('Données projet'!$A$88&gt;35,BD34+BC35-BL34,IF(A35&lt;'Données projet'!$A$88,$BA$205^A35,IF(A35='Données projet'!$A$88,'Données projet'!$B$88,BD34+BC35-BL34)))</f>
        <v>203.60000000000002</v>
      </c>
      <c r="BE35" s="13">
        <f>BD35*VLOOKUP('Données projet'!$B$11,Paramètres!$A$1:$I$89,3,0)*VLOOKUP('Données projet'!$B$11,Paramètres!$A$1:$I$89,5,0)</f>
        <v>111.1656</v>
      </c>
      <c r="BF35" s="13">
        <f t="shared" si="37"/>
        <v>29.60544032483066</v>
      </c>
      <c r="BG35" s="20">
        <f t="shared" si="7"/>
        <v>245.17622856574675</v>
      </c>
      <c r="BH35" s="59">
        <f t="shared" si="8"/>
        <v>538.50956189908004</v>
      </c>
      <c r="BI35" s="59">
        <f ca="1">AVERAGE(OFFSET($BH$3,0,0,'Données projet'!$E$11+1,1))-AVERAGE(OFFSET($H$3,0,0,'Données projet'!$E$11+1,1))</f>
        <v>210.04871822652808</v>
      </c>
      <c r="BJ35" s="59">
        <f t="shared" si="38"/>
        <v>250.17540614049324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7.0174579221860824</v>
      </c>
      <c r="BQ35" s="21">
        <f>EXP(-LN(2)/25)*BQ34+(1-EXP(-LN(2)/25))/(LN(2)/25)*Calculateur!BL35*Calculateur!BN35*VLOOKUP('Données projet'!$B$11,Paramètres!$A$1:$I$89,3,0)*0.475*44/12</f>
        <v>26.329459400122062</v>
      </c>
      <c r="BR35" s="21">
        <f>EXP(-LN(2)/2)*BR34+(1-EXP(-LN(2)/2))/(LN(2)/2)*BL35*BO35*VLOOKUP('Données projet'!$B$11,Paramètres!$A$1:$I$89,3,0)*0.475*44/12</f>
        <v>10.77694436867581</v>
      </c>
      <c r="BS35" s="22">
        <f t="shared" si="9"/>
        <v>44.123861690983958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5.6730769230769225</v>
      </c>
      <c r="BY35" s="12">
        <f>IF('Données projet'!$A$114&gt;35,BY34+BX35-CG34,IF(A35&lt;'Données projet'!$A$114,$BV$205^A35,IF(A35='Données projet'!$A$114,'Données projet'!$B$114,BY34+BX35-CG34)))</f>
        <v>181.53846153846158</v>
      </c>
      <c r="BZ35" s="13">
        <f>BY35*VLOOKUP('Données projet'!$B$12,Paramètres!$A$1:$I$89,3,0)*VLOOKUP('Données projet'!$B$12,Paramètres!$A$1:$I$89,5,0)</f>
        <v>87.320000000000022</v>
      </c>
      <c r="CA35" s="13">
        <f t="shared" si="39"/>
        <v>23.917740745768938</v>
      </c>
      <c r="CB35" s="20">
        <f t="shared" si="10"/>
        <v>193.73906513221425</v>
      </c>
      <c r="CC35" s="59">
        <f t="shared" si="11"/>
        <v>487.07239846554756</v>
      </c>
      <c r="CD35" s="59">
        <f ca="1">AVERAGE(OFFSET($CC$3,0,0,'Données projet'!$E$12+1,1))-AVERAGE(OFFSET($H$3,0,0,'Données projet'!$E$12+1,1))</f>
        <v>304.15237106473313</v>
      </c>
      <c r="CE35" s="59">
        <f t="shared" si="40"/>
        <v>120.85458928724336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22.884615384615376</v>
      </c>
      <c r="N36" s="13">
        <f>IF('Données projet'!$A$36&gt;35,N35+M36-V35,IF(A36&lt;'Données projet'!$A$36,$K$205^A36,IF(A36='Données projet'!$A$36,'Données projet'!$B$36,N35+M36-V35)))</f>
        <v>334.85384615384595</v>
      </c>
      <c r="O36" s="13">
        <f>N36*VLOOKUP('Données projet'!$B$9,Paramètres!$A$1:$I$89,3,0)*VLOOKUP('Données projet'!$B$9,Paramètres!$A$1:$I$89,5,0)</f>
        <v>187.18329999999989</v>
      </c>
      <c r="P36" s="13">
        <f t="shared" si="33"/>
        <v>46.91668019244311</v>
      </c>
      <c r="Q36" s="20">
        <f t="shared" si="53"/>
        <v>407.72413216850492</v>
      </c>
      <c r="R36" s="59">
        <f t="shared" si="0"/>
        <v>701.05746550183824</v>
      </c>
      <c r="S36" s="59">
        <f ca="1">AVERAGE(OFFSET($R$3,0,0,'Données projet'!$E$9+1,1))-AVERAGE(OFFSET($H$3,0,0,'Données projet'!$E$9+1,1))</f>
        <v>255.5374979188561</v>
      </c>
      <c r="T36" s="59">
        <f t="shared" si="34"/>
        <v>343.10418468620901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2.91180072107323</v>
      </c>
      <c r="AA36" s="21">
        <f>EXP(-LN(2)/25)*AA35+(1-EXP(-LN(2)/25))/(LN(2)/25)*Calculateur!V36*Calculateur!X36*VLOOKUP('Données projet'!$B$9,Paramètres!$A$1:$I$89,3,0)*0.475*44/12</f>
        <v>14.68643335244553</v>
      </c>
      <c r="AB36" s="21">
        <f>EXP(-LN(2)/2)*AB35+(1-EXP(-LN(2)/2))/(LN(2)/2)*V36*Y36*VLOOKUP('Données projet'!$B$9,Paramètres!$A$1:$I$89,3,0)*0.475*44/12</f>
        <v>0.59844288178574045</v>
      </c>
      <c r="AC36" s="22">
        <f t="shared" si="3"/>
        <v>18.1966769553045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15.7</v>
      </c>
      <c r="AI36" s="13">
        <f>IF('Données projet'!$A$62&gt;35,AI35+AH36-AQ35,IF(A36&lt;'Données projet'!$A$62,$AF$205^A36,IF(A36='Données projet'!$A$62,'Données projet'!$B$62,AI35+AH36-AQ35)))</f>
        <v>246.09999999999997</v>
      </c>
      <c r="AJ36" s="13">
        <f>AI36*VLOOKUP('Données projet'!$B$10,Paramètres!$A$1:$I$89,3,0)*VLOOKUP('Données projet'!$B$10,Paramètres!$A$1:$I$89,5,0)</f>
        <v>134.37059999999997</v>
      </c>
      <c r="AK36" s="13">
        <f t="shared" si="35"/>
        <v>35.004324871601163</v>
      </c>
      <c r="AL36" s="20">
        <f t="shared" si="4"/>
        <v>294.99466081803865</v>
      </c>
      <c r="AM36" s="59">
        <f t="shared" si="5"/>
        <v>588.32799415137197</v>
      </c>
      <c r="AN36" s="59">
        <f ca="1">AVERAGE(OFFSET($AM$3,0,0,'Données projet'!$E$10+1,1))-AVERAGE(OFFSET($H$3,0,0,'Données projet'!$E$10+1,1))</f>
        <v>248.1486444660062</v>
      </c>
      <c r="AO36" s="59">
        <f t="shared" si="36"/>
        <v>293.34458072322127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8.0264914946518271</v>
      </c>
      <c r="AV36" s="21">
        <f>EXP(-LN(2)/25)*AV35+(1-EXP(-LN(2)/25))/(LN(2)/25)*Calculateur!AQ36*Calculateur!AS36*VLOOKUP('Données projet'!$B$10,Paramètres!$A$1:$I$89,3,0)*0.475*44/12</f>
        <v>31.321107756228802</v>
      </c>
      <c r="AW36" s="21">
        <f>EXP(-LN(2)/2)*AW35+(1-EXP(-LN(2)/2))/(LN(2)/2)*AQ36*AT36*VLOOKUP('Données projet'!$B$10,Paramètres!$A$1:$I$89,3,0)*0.475*44/12</f>
        <v>8.9033321362755622</v>
      </c>
      <c r="AX36" s="21">
        <f t="shared" si="6"/>
        <v>48.250931387156186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13.8</v>
      </c>
      <c r="BD36" s="12">
        <f>IF('Données projet'!$A$88&gt;35,BD35+BC36-BL35,IF(A36&lt;'Données projet'!$A$88,$BA$205^A36,IF(A36='Données projet'!$A$88,'Données projet'!$B$88,BD35+BC36-BL35)))</f>
        <v>217.40000000000003</v>
      </c>
      <c r="BE36" s="13">
        <f>BD36*VLOOKUP('Données projet'!$B$11,Paramètres!$A$1:$I$89,3,0)*VLOOKUP('Données projet'!$B$11,Paramètres!$A$1:$I$89,5,0)</f>
        <v>118.70040000000002</v>
      </c>
      <c r="BF36" s="13">
        <f t="shared" si="37"/>
        <v>31.371697109278699</v>
      </c>
      <c r="BG36" s="20">
        <f t="shared" si="7"/>
        <v>261.37556913199376</v>
      </c>
      <c r="BH36" s="59">
        <f t="shared" si="8"/>
        <v>554.70890246532713</v>
      </c>
      <c r="BI36" s="59">
        <f ca="1">AVERAGE(OFFSET($BH$3,0,0,'Données projet'!$E$11+1,1))-AVERAGE(OFFSET($H$3,0,0,'Données projet'!$E$11+1,1))</f>
        <v>210.04871822652808</v>
      </c>
      <c r="BJ36" s="59">
        <f t="shared" si="38"/>
        <v>250.17540614049324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6.8798498525587082</v>
      </c>
      <c r="BQ36" s="21">
        <f>EXP(-LN(2)/25)*BQ35+(1-EXP(-LN(2)/25))/(LN(2)/25)*Calculateur!BL36*Calculateur!BN36*VLOOKUP('Données projet'!$B$11,Paramètres!$A$1:$I$89,3,0)*0.475*44/12</f>
        <v>25.609478948219632</v>
      </c>
      <c r="BR36" s="21">
        <f>EXP(-LN(2)/2)*BR35+(1-EXP(-LN(2)/2))/(LN(2)/2)*BL36*BO36*VLOOKUP('Données projet'!$B$11,Paramètres!$A$1:$I$89,3,0)*0.475*44/12</f>
        <v>7.6204504435608422</v>
      </c>
      <c r="BS36" s="22">
        <f t="shared" si="9"/>
        <v>40.10977924433918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5.6730769230769225</v>
      </c>
      <c r="BY36" s="12">
        <f>IF('Données projet'!$A$114&gt;35,BY35+BX36-CG35,IF(A36&lt;'Données projet'!$A$114,$BV$205^A36,IF(A36='Données projet'!$A$114,'Données projet'!$B$114,BY35+BX36-CG35)))</f>
        <v>187.21153846153851</v>
      </c>
      <c r="BZ36" s="13">
        <f>BY36*VLOOKUP('Données projet'!$B$12,Paramètres!$A$1:$I$89,3,0)*VLOOKUP('Données projet'!$B$12,Paramètres!$A$1:$I$89,5,0)</f>
        <v>90.048750000000027</v>
      </c>
      <c r="CA36" s="13">
        <f t="shared" si="39"/>
        <v>24.576981949436938</v>
      </c>
      <c r="CB36" s="20">
        <f t="shared" si="10"/>
        <v>199.63981647860271</v>
      </c>
      <c r="CC36" s="59">
        <f t="shared" si="11"/>
        <v>492.97314981193603</v>
      </c>
      <c r="CD36" s="59">
        <f ca="1">AVERAGE(OFFSET($CC$3,0,0,'Données projet'!$E$12+1,1))-AVERAGE(OFFSET($H$3,0,0,'Données projet'!$E$12+1,1))</f>
        <v>304.15237106473313</v>
      </c>
      <c r="CE36" s="59">
        <f t="shared" si="40"/>
        <v>120.85458928724336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22.884615384615376</v>
      </c>
      <c r="N37" s="13">
        <f>IF('Données projet'!$A$36&gt;35,N36+M37-V36,IF(A37&lt;'Données projet'!$A$36,$K$205^A37,IF(A37='Données projet'!$A$36,'Données projet'!$B$36,N36+M37-V36)))</f>
        <v>357.73846153846131</v>
      </c>
      <c r="O37" s="13">
        <f>N37*VLOOKUP('Données projet'!$B$9,Paramètres!$A$1:$I$89,3,0)*VLOOKUP('Données projet'!$B$9,Paramètres!$A$1:$I$89,5,0)</f>
        <v>199.97579999999988</v>
      </c>
      <c r="P37" s="13">
        <f t="shared" si="33"/>
        <v>49.738849260389202</v>
      </c>
      <c r="Q37" s="20">
        <f t="shared" si="53"/>
        <v>434.91968079517761</v>
      </c>
      <c r="R37" s="59">
        <f t="shared" si="0"/>
        <v>728.25301412851093</v>
      </c>
      <c r="S37" s="59">
        <f ca="1">AVERAGE(OFFSET($R$3,0,0,'Données projet'!$E$9+1,1))-AVERAGE(OFFSET($H$3,0,0,'Données projet'!$E$9+1,1))</f>
        <v>255.5374979188561</v>
      </c>
      <c r="T37" s="59">
        <f t="shared" si="34"/>
        <v>343.10418468620901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2.854702084956056</v>
      </c>
      <c r="AA37" s="21">
        <f>EXP(-LN(2)/25)*AA36+(1-EXP(-LN(2)/25))/(LN(2)/25)*Calculateur!V37*Calculateur!X37*VLOOKUP('Données projet'!$B$9,Paramètres!$A$1:$I$89,3,0)*0.475*44/12</f>
        <v>14.284832060096942</v>
      </c>
      <c r="AB37" s="21">
        <f>EXP(-LN(2)/2)*AB36+(1-EXP(-LN(2)/2))/(LN(2)/2)*V37*Y37*VLOOKUP('Données projet'!$B$9,Paramètres!$A$1:$I$89,3,0)*0.475*44/12</f>
        <v>0.42316301986351651</v>
      </c>
      <c r="AC37" s="22">
        <f t="shared" si="3"/>
        <v>17.562697164916514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15.7</v>
      </c>
      <c r="AI37" s="13">
        <f>IF('Données projet'!$A$62&gt;35,AI36+AH37-AQ36,IF(A37&lt;'Données projet'!$A$62,$AF$205^A37,IF(A37='Données projet'!$A$62,'Données projet'!$B$62,AI36+AH37-AQ36)))</f>
        <v>261.79999999999995</v>
      </c>
      <c r="AJ37" s="13">
        <f>AI37*VLOOKUP('Données projet'!$B$10,Paramètres!$A$1:$I$89,3,0)*VLOOKUP('Données projet'!$B$10,Paramètres!$A$1:$I$89,5,0)</f>
        <v>142.94279999999998</v>
      </c>
      <c r="AK37" s="13">
        <f t="shared" si="35"/>
        <v>36.97034129538963</v>
      </c>
      <c r="AL37" s="20">
        <f t="shared" si="4"/>
        <v>313.34872108947019</v>
      </c>
      <c r="AM37" s="59">
        <f t="shared" si="5"/>
        <v>606.6820544228035</v>
      </c>
      <c r="AN37" s="59">
        <f ca="1">AVERAGE(OFFSET($AM$3,0,0,'Données projet'!$E$10+1,1))-AVERAGE(OFFSET($H$3,0,0,'Données projet'!$E$10+1,1))</f>
        <v>248.1486444660062</v>
      </c>
      <c r="AO37" s="59">
        <f t="shared" si="36"/>
        <v>293.34458072322127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7.869096892118109</v>
      </c>
      <c r="AV37" s="21">
        <f>EXP(-LN(2)/25)*AV36+(1-EXP(-LN(2)/25))/(LN(2)/25)*Calculateur!AQ37*Calculateur!AS37*VLOOKUP('Données projet'!$B$10,Paramètres!$A$1:$I$89,3,0)*0.475*44/12</f>
        <v>30.464630417529253</v>
      </c>
      <c r="AW37" s="21">
        <f>EXP(-LN(2)/2)*AW36+(1-EXP(-LN(2)/2))/(LN(2)/2)*AQ37*AT37*VLOOKUP('Données projet'!$B$10,Paramètres!$A$1:$I$89,3,0)*0.475*44/12</f>
        <v>6.2956065287165615</v>
      </c>
      <c r="AX37" s="21">
        <f t="shared" si="6"/>
        <v>44.629333838363927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13.8</v>
      </c>
      <c r="BD37" s="12">
        <f>IF('Données projet'!$A$88&gt;35,BD36+BC37-BL36,IF(A37&lt;'Données projet'!$A$88,$BA$205^A37,IF(A37='Données projet'!$A$88,'Données projet'!$B$88,BD36+BC37-BL36)))</f>
        <v>231.20000000000005</v>
      </c>
      <c r="BE37" s="13">
        <f>BD37*VLOOKUP('Données projet'!$B$11,Paramètres!$A$1:$I$89,3,0)*VLOOKUP('Données projet'!$B$11,Paramètres!$A$1:$I$89,5,0)</f>
        <v>126.23520000000002</v>
      </c>
      <c r="BF37" s="13">
        <f t="shared" si="37"/>
        <v>33.12494229060627</v>
      </c>
      <c r="BG37" s="20">
        <f t="shared" si="7"/>
        <v>277.55224782280595</v>
      </c>
      <c r="BH37" s="59">
        <f t="shared" si="8"/>
        <v>570.88558115613932</v>
      </c>
      <c r="BI37" s="59">
        <f ca="1">AVERAGE(OFFSET($BH$3,0,0,'Données projet'!$E$11+1,1))-AVERAGE(OFFSET($H$3,0,0,'Données projet'!$E$11+1,1))</f>
        <v>210.04871822652808</v>
      </c>
      <c r="BJ37" s="59">
        <f t="shared" si="38"/>
        <v>250.17540614049324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6.7449401932440924</v>
      </c>
      <c r="BQ37" s="21">
        <f>EXP(-LN(2)/25)*BQ36+(1-EXP(-LN(2)/25))/(LN(2)/25)*Calculateur!BL37*Calculateur!BN37*VLOOKUP('Données projet'!$B$11,Paramètres!$A$1:$I$89,3,0)*0.475*44/12</f>
        <v>24.909186399636599</v>
      </c>
      <c r="BR37" s="21">
        <f>EXP(-LN(2)/2)*BR36+(1-EXP(-LN(2)/2))/(LN(2)/2)*BL37*BO37*VLOOKUP('Données projet'!$B$11,Paramètres!$A$1:$I$89,3,0)*0.475*44/12</f>
        <v>5.388472184337906</v>
      </c>
      <c r="BS37" s="22">
        <f t="shared" si="9"/>
        <v>37.042598777218601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5.6730769230769225</v>
      </c>
      <c r="BY37" s="12">
        <f>IF('Données projet'!$A$114&gt;35,BY36+BX37-CG36,IF(A37&lt;'Données projet'!$A$114,$BV$205^A37,IF(A37='Données projet'!$A$114,'Données projet'!$B$114,BY36+BX37-CG36)))</f>
        <v>192.88461538461544</v>
      </c>
      <c r="BZ37" s="13">
        <f>BY37*VLOOKUP('Données projet'!$B$12,Paramètres!$A$1:$I$89,3,0)*VLOOKUP('Données projet'!$B$12,Paramètres!$A$1:$I$89,5,0)</f>
        <v>92.777500000000032</v>
      </c>
      <c r="CA37" s="13">
        <f t="shared" si="39"/>
        <v>25.233901550383017</v>
      </c>
      <c r="CB37" s="20">
        <f t="shared" si="10"/>
        <v>205.53652436691712</v>
      </c>
      <c r="CC37" s="59">
        <f t="shared" si="11"/>
        <v>498.86985770025046</v>
      </c>
      <c r="CD37" s="59">
        <f ca="1">AVERAGE(OFFSET($CC$3,0,0,'Données projet'!$E$12+1,1))-AVERAGE(OFFSET($H$3,0,0,'Données projet'!$E$12+1,1))</f>
        <v>304.15237106473313</v>
      </c>
      <c r="CE37" s="59">
        <f t="shared" si="40"/>
        <v>120.85458928724336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22.884615384615376</v>
      </c>
      <c r="N38" s="13">
        <f>IF('Données projet'!$A$36&gt;35,N37+M38-V37,IF(A38&lt;'Données projet'!$A$36,$K$205^A38,IF(A38='Données projet'!$A$36,'Données projet'!$B$36,N37+M38-V37)))</f>
        <v>380.62307692307667</v>
      </c>
      <c r="O38" s="13">
        <f>N38*VLOOKUP('Données projet'!$B$9,Paramètres!$A$1:$I$89,3,0)*VLOOKUP('Données projet'!$B$9,Paramètres!$A$1:$I$89,5,0)</f>
        <v>212.76829999999987</v>
      </c>
      <c r="P38" s="13">
        <f t="shared" si="33"/>
        <v>52.540067037520458</v>
      </c>
      <c r="Q38" s="20">
        <f t="shared" si="53"/>
        <v>462.07873925701455</v>
      </c>
      <c r="R38" s="59">
        <f t="shared" si="0"/>
        <v>755.41207259034786</v>
      </c>
      <c r="S38" s="59">
        <f ca="1">AVERAGE(OFFSET($R$3,0,0,'Données projet'!$E$9+1,1))-AVERAGE(OFFSET($H$3,0,0,'Données projet'!$E$9+1,1))</f>
        <v>255.5374979188561</v>
      </c>
      <c r="T38" s="59">
        <f t="shared" si="34"/>
        <v>343.10418468620901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2.7987231182664107</v>
      </c>
      <c r="AA38" s="21">
        <f>EXP(-LN(2)/25)*AA37+(1-EXP(-LN(2)/25))/(LN(2)/25)*Calculateur!V38*Calculateur!X38*VLOOKUP('Données projet'!$B$9,Paramètres!$A$1:$I$89,3,0)*0.475*44/12</f>
        <v>13.894212576206922</v>
      </c>
      <c r="AB38" s="21">
        <f>EXP(-LN(2)/2)*AB37+(1-EXP(-LN(2)/2))/(LN(2)/2)*V38*Y38*VLOOKUP('Données projet'!$B$9,Paramètres!$A$1:$I$89,3,0)*0.475*44/12</f>
        <v>0.29922144089287023</v>
      </c>
      <c r="AC38" s="22">
        <f t="shared" si="3"/>
        <v>16.992157135366206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15.7</v>
      </c>
      <c r="AI38" s="13">
        <f>IF('Données projet'!$A$62&gt;35,AI37+AH38-AQ37,IF(A38&lt;'Données projet'!$A$62,$AF$205^A38,IF(A38='Données projet'!$A$62,'Données projet'!$B$62,AI37+AH38-AQ37)))</f>
        <v>277.49999999999994</v>
      </c>
      <c r="AJ38" s="13">
        <f>AI38*VLOOKUP('Données projet'!$B$10,Paramètres!$A$1:$I$89,3,0)*VLOOKUP('Données projet'!$B$10,Paramètres!$A$1:$I$89,5,0)</f>
        <v>151.51499999999996</v>
      </c>
      <c r="AK38" s="13">
        <f t="shared" si="35"/>
        <v>38.922673183770968</v>
      </c>
      <c r="AL38" s="20">
        <f t="shared" si="4"/>
        <v>331.67894746173437</v>
      </c>
      <c r="AM38" s="59">
        <f t="shared" si="5"/>
        <v>625.01228079506768</v>
      </c>
      <c r="AN38" s="59">
        <f ca="1">AVERAGE(OFFSET($AM$3,0,0,'Données projet'!$E$10+1,1))-AVERAGE(OFFSET($H$3,0,0,'Données projet'!$E$10+1,1))</f>
        <v>248.1486444660062</v>
      </c>
      <c r="AO38" s="59">
        <f t="shared" si="36"/>
        <v>293.34458072322127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7.7147887017388488</v>
      </c>
      <c r="AV38" s="21">
        <f>EXP(-LN(2)/25)*AV37+(1-EXP(-LN(2)/25))/(LN(2)/25)*Calculateur!AQ38*Calculateur!AS38*VLOOKUP('Données projet'!$B$10,Paramètres!$A$1:$I$89,3,0)*0.475*44/12</f>
        <v>29.631573496696632</v>
      </c>
      <c r="AW38" s="21">
        <f>EXP(-LN(2)/2)*AW37+(1-EXP(-LN(2)/2))/(LN(2)/2)*AQ38*AT38*VLOOKUP('Données projet'!$B$10,Paramètres!$A$1:$I$89,3,0)*0.475*44/12</f>
        <v>4.451666068137782</v>
      </c>
      <c r="AX38" s="21">
        <f t="shared" si="6"/>
        <v>41.798028266573262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13.8</v>
      </c>
      <c r="BD38" s="12">
        <f>IF('Données projet'!$A$88&gt;35,BD37+BC38-BL37,IF(A38&lt;'Données projet'!$A$88,$BA$205^A38,IF(A38='Données projet'!$A$88,'Données projet'!$B$88,BD37+BC38-BL37)))</f>
        <v>245.00000000000006</v>
      </c>
      <c r="BE38" s="13">
        <f>BD38*VLOOKUP('Données projet'!$B$11,Paramètres!$A$1:$I$89,3,0)*VLOOKUP('Données projet'!$B$11,Paramètres!$A$1:$I$89,5,0)</f>
        <v>133.77000000000004</v>
      </c>
      <c r="BF38" s="13">
        <f t="shared" si="37"/>
        <v>34.86604096673306</v>
      </c>
      <c r="BG38" s="20">
        <f t="shared" si="7"/>
        <v>293.70777135039344</v>
      </c>
      <c r="BH38" s="59">
        <f t="shared" si="8"/>
        <v>587.04110468372676</v>
      </c>
      <c r="BI38" s="59">
        <f ca="1">AVERAGE(OFFSET($BH$3,0,0,'Données projet'!$E$11+1,1))-AVERAGE(OFFSET($H$3,0,0,'Données projet'!$E$11+1,1))</f>
        <v>210.04871822652808</v>
      </c>
      <c r="BJ38" s="59">
        <f t="shared" si="38"/>
        <v>250.17540614049324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6.612676030061869</v>
      </c>
      <c r="BQ38" s="21">
        <f>EXP(-LN(2)/25)*BQ37+(1-EXP(-LN(2)/25))/(LN(2)/25)*Calculateur!BL38*Calculateur!BN38*VLOOKUP('Données projet'!$B$11,Paramètres!$A$1:$I$89,3,0)*0.475*44/12</f>
        <v>24.228043387621355</v>
      </c>
      <c r="BR38" s="21">
        <f>EXP(-LN(2)/2)*BR37+(1-EXP(-LN(2)/2))/(LN(2)/2)*BL38*BO38*VLOOKUP('Données projet'!$B$11,Paramètres!$A$1:$I$89,3,0)*0.475*44/12</f>
        <v>3.8102252217804216</v>
      </c>
      <c r="BS38" s="22">
        <f t="shared" si="9"/>
        <v>34.650944639463646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5.6730769230769225</v>
      </c>
      <c r="BY38" s="12">
        <f>IF('Données projet'!$A$114&gt;35,BY37+BX38-CG37,IF(A38&lt;'Données projet'!$A$114,$BV$205^A38,IF(A38='Données projet'!$A$114,'Données projet'!$B$114,BY37+BX38-CG37)))</f>
        <v>198.55769230769238</v>
      </c>
      <c r="BZ38" s="13">
        <f>BY38*VLOOKUP('Données projet'!$B$12,Paramètres!$A$1:$I$89,3,0)*VLOOKUP('Données projet'!$B$12,Paramètres!$A$1:$I$89,5,0)</f>
        <v>95.506250000000037</v>
      </c>
      <c r="CA38" s="13">
        <f t="shared" si="39"/>
        <v>25.888575671025041</v>
      </c>
      <c r="CB38" s="20">
        <f t="shared" si="10"/>
        <v>211.42932137703534</v>
      </c>
      <c r="CC38" s="59">
        <f t="shared" si="11"/>
        <v>504.76265471036868</v>
      </c>
      <c r="CD38" s="59">
        <f ca="1">AVERAGE(OFFSET($CC$3,0,0,'Données projet'!$E$12+1,1))-AVERAGE(OFFSET($H$3,0,0,'Données projet'!$E$12+1,1))</f>
        <v>304.15237106473313</v>
      </c>
      <c r="CE38" s="59">
        <f t="shared" si="40"/>
        <v>120.85458928724336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403.50769230769225</v>
      </c>
      <c r="L39" s="12">
        <f>VLOOKUP(A39,'Données projet'!$A$35:$I$55,9,0)</f>
        <v>22.884615384615376</v>
      </c>
      <c r="M39" s="12">
        <f t="array" ref="M39">INDEX(L:L,MIN(IF(ISNUMBER(L39:L235),ROW(L39:L235),"")))</f>
        <v>22.884615384615376</v>
      </c>
      <c r="N39" s="13">
        <f>IF('Données projet'!$A$36&gt;35,N38+M39-V38,IF(A39&lt;'Données projet'!$A$36,$K$205^A39,IF(A39='Données projet'!$A$36,'Données projet'!$B$36,N38+M39-V38)))</f>
        <v>403.50769230769203</v>
      </c>
      <c r="O39" s="13">
        <f>N39*VLOOKUP('Données projet'!$B$9,Paramètres!$A$1:$I$89,3,0)*VLOOKUP('Données projet'!$B$9,Paramètres!$A$1:$I$89,5,0)</f>
        <v>225.56079999999986</v>
      </c>
      <c r="P39" s="13">
        <f t="shared" si="33"/>
        <v>55.321736658663617</v>
      </c>
      <c r="Q39" s="20">
        <f t="shared" si="53"/>
        <v>489.20375134717227</v>
      </c>
      <c r="R39" s="59">
        <f t="shared" si="0"/>
        <v>782.53708468050559</v>
      </c>
      <c r="S39" s="59">
        <f ca="1">AVERAGE(OFFSET($R$3,0,0,'Données projet'!$E$9+1,1))-AVERAGE(OFFSET($H$3,0,0,'Données projet'!$E$9+1,1))</f>
        <v>255.5374979188561</v>
      </c>
      <c r="T39" s="59">
        <f t="shared" si="34"/>
        <v>343.10418468620901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2.7438418649697511</v>
      </c>
      <c r="AA39" s="21">
        <f>EXP(-LN(2)/25)*AA38+(1-EXP(-LN(2)/25))/(LN(2)/25)*Calculateur!V39*Calculateur!X39*VLOOKUP('Données projet'!$B$9,Paramètres!$A$1:$I$89,3,0)*0.475*44/12</f>
        <v>13.51427460264566</v>
      </c>
      <c r="AB39" s="21">
        <f>EXP(-LN(2)/2)*AB38+(1-EXP(-LN(2)/2))/(LN(2)/2)*V39*Y39*VLOOKUP('Données projet'!$B$9,Paramètres!$A$1:$I$89,3,0)*0.475*44/12</f>
        <v>0.21158150993175825</v>
      </c>
      <c r="AC39" s="22">
        <f t="shared" si="3"/>
        <v>16.46969797754717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15.7</v>
      </c>
      <c r="AI39" s="13">
        <f>IF('Données projet'!$A$62&gt;35,AI38+AH39-AQ38,IF(A39&lt;'Données projet'!$A$62,$AF$205^A39,IF(A39='Données projet'!$A$62,'Données projet'!$B$62,AI38+AH39-AQ38)))</f>
        <v>293.19999999999993</v>
      </c>
      <c r="AJ39" s="13">
        <f>AI39*VLOOKUP('Données projet'!$B$10,Paramètres!$A$1:$I$89,3,0)*VLOOKUP('Données projet'!$B$10,Paramètres!$A$1:$I$89,5,0)</f>
        <v>160.08719999999997</v>
      </c>
      <c r="AK39" s="13">
        <f t="shared" si="35"/>
        <v>40.862182986370868</v>
      </c>
      <c r="AL39" s="20">
        <f t="shared" si="4"/>
        <v>349.98684203459584</v>
      </c>
      <c r="AM39" s="59">
        <f t="shared" si="5"/>
        <v>643.3201753679291</v>
      </c>
      <c r="AN39" s="59">
        <f ca="1">AVERAGE(OFFSET($AM$3,0,0,'Données projet'!$E$10+1,1))-AVERAGE(OFFSET($H$3,0,0,'Données projet'!$E$10+1,1))</f>
        <v>248.1486444660062</v>
      </c>
      <c r="AO39" s="59">
        <f t="shared" si="36"/>
        <v>293.34458072322127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7.563506400854223</v>
      </c>
      <c r="AV39" s="21">
        <f>EXP(-LN(2)/25)*AV38+(1-EXP(-LN(2)/25))/(LN(2)/25)*Calculateur!AQ39*Calculateur!AS39*VLOOKUP('Données projet'!$B$10,Paramètres!$A$1:$I$89,3,0)*0.475*44/12</f>
        <v>28.821296561172737</v>
      </c>
      <c r="AW39" s="21">
        <f>EXP(-LN(2)/2)*AW38+(1-EXP(-LN(2)/2))/(LN(2)/2)*AQ39*AT39*VLOOKUP('Données projet'!$B$10,Paramètres!$A$1:$I$89,3,0)*0.475*44/12</f>
        <v>3.1478032643582812</v>
      </c>
      <c r="AX39" s="21">
        <f t="shared" si="6"/>
        <v>39.532606226385241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13.8</v>
      </c>
      <c r="BD39" s="12">
        <f>IF('Données projet'!$A$88&gt;35,BD38+BC39-BL38,IF(A39&lt;'Données projet'!$A$88,$BA$205^A39,IF(A39='Données projet'!$A$88,'Données projet'!$B$88,BD38+BC39-BL38)))</f>
        <v>258.80000000000007</v>
      </c>
      <c r="BE39" s="13">
        <f>BD39*VLOOKUP('Données projet'!$B$11,Paramètres!$A$1:$I$89,3,0)*VLOOKUP('Données projet'!$B$11,Paramètres!$A$1:$I$89,5,0)</f>
        <v>141.30480000000003</v>
      </c>
      <c r="BF39" s="13">
        <f t="shared" si="37"/>
        <v>36.595755275288994</v>
      </c>
      <c r="BG39" s="20">
        <f t="shared" si="7"/>
        <v>309.84346710446169</v>
      </c>
      <c r="BH39" s="59">
        <f t="shared" si="8"/>
        <v>603.17680043779501</v>
      </c>
      <c r="BI39" s="59">
        <f ca="1">AVERAGE(OFFSET($BH$3,0,0,'Données projet'!$E$11+1,1))-AVERAGE(OFFSET($H$3,0,0,'Données projet'!$E$11+1,1))</f>
        <v>210.04871822652808</v>
      </c>
      <c r="BJ39" s="59">
        <f t="shared" si="38"/>
        <v>250.17540614049324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6.4830054864464755</v>
      </c>
      <c r="BQ39" s="21">
        <f>EXP(-LN(2)/25)*BQ38+(1-EXP(-LN(2)/25))/(LN(2)/25)*Calculateur!BL39*Calculateur!BN39*VLOOKUP('Données projet'!$B$11,Paramètres!$A$1:$I$89,3,0)*0.475*44/12</f>
        <v>23.565526267089421</v>
      </c>
      <c r="BR39" s="21">
        <f>EXP(-LN(2)/2)*BR38+(1-EXP(-LN(2)/2))/(LN(2)/2)*BL39*BO39*VLOOKUP('Données projet'!$B$11,Paramètres!$A$1:$I$89,3,0)*0.475*44/12</f>
        <v>2.6942360921689534</v>
      </c>
      <c r="BS39" s="22">
        <f t="shared" si="9"/>
        <v>32.742767845704847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5.6730769230769225</v>
      </c>
      <c r="BY39" s="12">
        <f>IF('Données projet'!$A$114&gt;35,BY38+BX39-CG38,IF(A39&lt;'Données projet'!$A$114,$BV$205^A39,IF(A39='Données projet'!$A$114,'Données projet'!$B$114,BY38+BX39-CG38)))</f>
        <v>204.23076923076931</v>
      </c>
      <c r="BZ39" s="13">
        <f>BY39*VLOOKUP('Données projet'!$B$12,Paramètres!$A$1:$I$89,3,0)*VLOOKUP('Données projet'!$B$12,Paramètres!$A$1:$I$89,5,0)</f>
        <v>98.235000000000042</v>
      </c>
      <c r="CA39" s="13">
        <f t="shared" si="39"/>
        <v>26.541075836520079</v>
      </c>
      <c r="CB39" s="20">
        <f t="shared" si="10"/>
        <v>217.31833208193919</v>
      </c>
      <c r="CC39" s="59">
        <f t="shared" si="11"/>
        <v>510.65166541527253</v>
      </c>
      <c r="CD39" s="59">
        <f ca="1">AVERAGE(OFFSET($CC$3,0,0,'Données projet'!$E$12+1,1))-AVERAGE(OFFSET($H$3,0,0,'Données projet'!$E$12+1,1))</f>
        <v>304.15237106473313</v>
      </c>
      <c r="CE39" s="59">
        <f t="shared" si="40"/>
        <v>120.85458928724336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22.419230769230779</v>
      </c>
      <c r="N40" s="13">
        <f>IF('Données projet'!$A$36&gt;35,N39+M40-V39,IF(A40&lt;'Données projet'!$A$36,$K$205^A40,IF(A40='Données projet'!$A$36,'Données projet'!$B$36,N39+M40-V39)))</f>
        <v>356.62692307692276</v>
      </c>
      <c r="O40" s="13">
        <f>N40*VLOOKUP('Données projet'!$B$9,Paramètres!$A$1:$I$89,3,0)*VLOOKUP('Données projet'!$B$9,Paramètres!$A$1:$I$89,5,0)</f>
        <v>199.35444999999984</v>
      </c>
      <c r="P40" s="13">
        <f t="shared" si="33"/>
        <v>49.602268690733197</v>
      </c>
      <c r="Q40" s="20">
        <f t="shared" si="53"/>
        <v>433.59961838636008</v>
      </c>
      <c r="R40" s="59">
        <f t="shared" si="0"/>
        <v>726.93295171969339</v>
      </c>
      <c r="S40" s="59">
        <f ca="1">AVERAGE(OFFSET($R$3,0,0,'Données projet'!$E$9+1,1))-AVERAGE(OFFSET($H$3,0,0,'Données projet'!$E$9+1,1))</f>
        <v>255.5374979188561</v>
      </c>
      <c r="T40" s="59">
        <f t="shared" si="34"/>
        <v>343.10418468620901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2.6900367995759797</v>
      </c>
      <c r="AA40" s="21">
        <f>EXP(-LN(2)/25)*AA39+(1-EXP(-LN(2)/25))/(LN(2)/25)*Calculateur!V40*Calculateur!X40*VLOOKUP('Données projet'!$B$9,Paramètres!$A$1:$I$89,3,0)*0.475*44/12</f>
        <v>13.1447260529515</v>
      </c>
      <c r="AB40" s="21">
        <f>EXP(-LN(2)/2)*AB39+(1-EXP(-LN(2)/2))/(LN(2)/2)*V40*Y40*VLOOKUP('Données projet'!$B$9,Paramètres!$A$1:$I$89,3,0)*0.475*44/12</f>
        <v>0.14961072044643511</v>
      </c>
      <c r="AC40" s="22">
        <f t="shared" si="3"/>
        <v>15.984373572973915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15.7</v>
      </c>
      <c r="AI40" s="13">
        <f>IF('Données projet'!$A$62&gt;35,AI39+AH40-AQ39,IF(A40&lt;'Données projet'!$A$62,$AF$205^A40,IF(A40='Données projet'!$A$62,'Données projet'!$B$62,AI39+AH40-AQ39)))</f>
        <v>308.89999999999992</v>
      </c>
      <c r="AJ40" s="13">
        <f>AI40*VLOOKUP('Données projet'!$B$10,Paramètres!$A$1:$I$89,3,0)*VLOOKUP('Données projet'!$B$10,Paramètres!$A$1:$I$89,5,0)</f>
        <v>168.65939999999998</v>
      </c>
      <c r="AK40" s="13">
        <f t="shared" si="35"/>
        <v>42.789635572993348</v>
      </c>
      <c r="AL40" s="20">
        <f t="shared" si="4"/>
        <v>368.27373695629672</v>
      </c>
      <c r="AM40" s="59">
        <f t="shared" si="5"/>
        <v>661.60707028962997</v>
      </c>
      <c r="AN40" s="59">
        <f ca="1">AVERAGE(OFFSET($AM$3,0,0,'Données projet'!$E$10+1,1))-AVERAGE(OFFSET($H$3,0,0,'Données projet'!$E$10+1,1))</f>
        <v>248.1486444660062</v>
      </c>
      <c r="AO40" s="59">
        <f t="shared" si="36"/>
        <v>293.34458072322127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7.4151906536168521</v>
      </c>
      <c r="AV40" s="21">
        <f>EXP(-LN(2)/25)*AV39+(1-EXP(-LN(2)/25))/(LN(2)/25)*Calculateur!AQ40*Calculateur!AS40*VLOOKUP('Données projet'!$B$10,Paramètres!$A$1:$I$89,3,0)*0.475*44/12</f>
        <v>28.033176691061353</v>
      </c>
      <c r="AW40" s="21">
        <f>EXP(-LN(2)/2)*AW39+(1-EXP(-LN(2)/2))/(LN(2)/2)*AQ40*AT40*VLOOKUP('Données projet'!$B$10,Paramètres!$A$1:$I$89,3,0)*0.475*44/12</f>
        <v>2.2258330340688914</v>
      </c>
      <c r="AX40" s="21">
        <f t="shared" si="6"/>
        <v>37.674200378747095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13.8</v>
      </c>
      <c r="BD40" s="12">
        <f>IF('Données projet'!$A$88&gt;35,BD39+BC40-BL39,IF(A40&lt;'Données projet'!$A$88,$BA$205^A40,IF(A40='Données projet'!$A$88,'Données projet'!$B$88,BD39+BC40-BL39)))</f>
        <v>272.60000000000008</v>
      </c>
      <c r="BE40" s="13">
        <f>BD40*VLOOKUP('Données projet'!$B$11,Paramètres!$A$1:$I$89,3,0)*VLOOKUP('Données projet'!$B$11,Paramètres!$A$1:$I$89,5,0)</f>
        <v>148.83960000000005</v>
      </c>
      <c r="BF40" s="13">
        <f t="shared" si="37"/>
        <v>38.314761484407519</v>
      </c>
      <c r="BG40" s="20">
        <f t="shared" si="7"/>
        <v>325.9605129186765</v>
      </c>
      <c r="BH40" s="59">
        <f t="shared" si="8"/>
        <v>619.29384625200987</v>
      </c>
      <c r="BI40" s="59">
        <f ca="1">AVERAGE(OFFSET($BH$3,0,0,'Données projet'!$E$11+1,1))-AVERAGE(OFFSET($H$3,0,0,'Données projet'!$E$11+1,1))</f>
        <v>210.04871822652808</v>
      </c>
      <c r="BJ40" s="59">
        <f t="shared" si="38"/>
        <v>250.17540614049324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6.3558777031001581</v>
      </c>
      <c r="BQ40" s="21">
        <f>EXP(-LN(2)/25)*BQ39+(1-EXP(-LN(2)/25))/(LN(2)/25)*Calculateur!BL40*Calculateur!BN40*VLOOKUP('Données projet'!$B$11,Paramètres!$A$1:$I$89,3,0)*0.475*44/12</f>
        <v>22.921125712058693</v>
      </c>
      <c r="BR40" s="21">
        <f>EXP(-LN(2)/2)*BR39+(1-EXP(-LN(2)/2))/(LN(2)/2)*BL40*BO40*VLOOKUP('Données projet'!$B$11,Paramètres!$A$1:$I$89,3,0)*0.475*44/12</f>
        <v>1.9051126108902112</v>
      </c>
      <c r="BS40" s="22">
        <f t="shared" si="9"/>
        <v>31.182116026049062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5.6730769230769225</v>
      </c>
      <c r="BY40" s="12">
        <f>IF('Données projet'!$A$114&gt;35,BY39+BX40-CG39,IF(A40&lt;'Données projet'!$A$114,$BV$205^A40,IF(A40='Données projet'!$A$114,'Données projet'!$B$114,BY39+BX40-CG39)))</f>
        <v>209.90384615384625</v>
      </c>
      <c r="BZ40" s="13">
        <f>BY40*VLOOKUP('Données projet'!$B$12,Paramètres!$A$1:$I$89,3,0)*VLOOKUP('Données projet'!$B$12,Paramètres!$A$1:$I$89,5,0)</f>
        <v>100.96375000000005</v>
      </c>
      <c r="CA40" s="13">
        <f t="shared" si="39"/>
        <v>27.191469372298435</v>
      </c>
      <c r="CB40" s="20">
        <f t="shared" si="10"/>
        <v>223.20367374008651</v>
      </c>
      <c r="CC40" s="59">
        <f t="shared" si="11"/>
        <v>516.53700707341977</v>
      </c>
      <c r="CD40" s="59">
        <f ca="1">AVERAGE(OFFSET($CC$3,0,0,'Données projet'!$E$12+1,1))-AVERAGE(OFFSET($H$3,0,0,'Données projet'!$E$12+1,1))</f>
        <v>304.15237106473313</v>
      </c>
      <c r="CE40" s="59">
        <f t="shared" si="40"/>
        <v>120.85458928724336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22.419230769230779</v>
      </c>
      <c r="N41" s="13">
        <f>IF('Données projet'!$A$36&gt;35,N40+M41-V40,IF(A41&lt;'Données projet'!$A$36,$K$205^A41,IF(A41='Données projet'!$A$36,'Données projet'!$B$36,N40+M41-V40)))</f>
        <v>379.04615384615352</v>
      </c>
      <c r="O41" s="13">
        <f>N41*VLOOKUP('Données projet'!$B$9,Paramètres!$A$1:$I$89,3,0)*VLOOKUP('Données projet'!$B$9,Paramètres!$A$1:$I$89,5,0)</f>
        <v>211.88679999999982</v>
      </c>
      <c r="P41" s="13">
        <f t="shared" si="33"/>
        <v>52.347684082939267</v>
      </c>
      <c r="Q41" s="20">
        <f t="shared" si="53"/>
        <v>460.20839311111894</v>
      </c>
      <c r="R41" s="59">
        <f t="shared" si="0"/>
        <v>753.54172644445225</v>
      </c>
      <c r="S41" s="59">
        <f ca="1">AVERAGE(OFFSET($R$3,0,0,'Données projet'!$E$9+1,1))-AVERAGE(OFFSET($H$3,0,0,'Données projet'!$E$9+1,1))</f>
        <v>255.5374979188561</v>
      </c>
      <c r="T41" s="59">
        <f t="shared" si="34"/>
        <v>343.10418468620901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2.6372868186967309</v>
      </c>
      <c r="AA41" s="21">
        <f>EXP(-LN(2)/25)*AA40+(1-EXP(-LN(2)/25))/(LN(2)/25)*Calculateur!V41*Calculateur!X41*VLOOKUP('Données projet'!$B$9,Paramètres!$A$1:$I$89,3,0)*0.475*44/12</f>
        <v>12.78528282778244</v>
      </c>
      <c r="AB41" s="21">
        <f>EXP(-LN(2)/2)*AB40+(1-EXP(-LN(2)/2))/(LN(2)/2)*V41*Y41*VLOOKUP('Données projet'!$B$9,Paramètres!$A$1:$I$89,3,0)*0.475*44/12</f>
        <v>0.10579075496587913</v>
      </c>
      <c r="AC41" s="22">
        <f t="shared" si="3"/>
        <v>15.528360401445051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15.7</v>
      </c>
      <c r="AI41" s="13">
        <f>IF('Données projet'!$A$62&gt;35,AI40+AH41-AQ40,IF(A41&lt;'Données projet'!$A$62,$AF$205^A41,IF(A41='Données projet'!$A$62,'Données projet'!$B$62,AI40+AH41-AQ40)))</f>
        <v>324.59999999999991</v>
      </c>
      <c r="AJ41" s="13">
        <f>AI41*VLOOKUP('Données projet'!$B$10,Paramètres!$A$1:$I$89,3,0)*VLOOKUP('Données projet'!$B$10,Paramètres!$A$1:$I$89,5,0)</f>
        <v>177.23159999999996</v>
      </c>
      <c r="AK41" s="13">
        <f t="shared" si="35"/>
        <v>44.70571367190955</v>
      </c>
      <c r="AL41" s="20">
        <f t="shared" si="4"/>
        <v>386.54082131190904</v>
      </c>
      <c r="AM41" s="59">
        <f t="shared" si="5"/>
        <v>679.87415464524236</v>
      </c>
      <c r="AN41" s="59">
        <f ca="1">AVERAGE(OFFSET($AM$3,0,0,'Données projet'!$E$10+1,1))-AVERAGE(OFFSET($H$3,0,0,'Données projet'!$E$10+1,1))</f>
        <v>248.1486444660062</v>
      </c>
      <c r="AO41" s="59">
        <f t="shared" si="36"/>
        <v>293.34458072322127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7.2697832877191333</v>
      </c>
      <c r="AV41" s="21">
        <f>EXP(-LN(2)/25)*AV40+(1-EXP(-LN(2)/25))/(LN(2)/25)*Calculateur!AQ41*Calculateur!AS41*VLOOKUP('Données projet'!$B$10,Paramètres!$A$1:$I$89,3,0)*0.475*44/12</f>
        <v>27.26660800024359</v>
      </c>
      <c r="AW41" s="21">
        <f>EXP(-LN(2)/2)*AW40+(1-EXP(-LN(2)/2))/(LN(2)/2)*AQ41*AT41*VLOOKUP('Données projet'!$B$10,Paramètres!$A$1:$I$89,3,0)*0.475*44/12</f>
        <v>1.5739016321791408</v>
      </c>
      <c r="AX41" s="21">
        <f t="shared" si="6"/>
        <v>36.110292920141866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13.8</v>
      </c>
      <c r="BD41" s="12">
        <f>IF('Données projet'!$A$88&gt;35,BD40+BC41-BL40,IF(A41&lt;'Données projet'!$A$88,$BA$205^A41,IF(A41='Données projet'!$A$88,'Données projet'!$B$88,BD40+BC41-BL40)))</f>
        <v>286.40000000000009</v>
      </c>
      <c r="BE41" s="13">
        <f>BD41*VLOOKUP('Données projet'!$B$11,Paramètres!$A$1:$I$89,3,0)*VLOOKUP('Données projet'!$B$11,Paramètres!$A$1:$I$89,5,0)</f>
        <v>156.37440000000007</v>
      </c>
      <c r="BF41" s="13">
        <f t="shared" si="37"/>
        <v>40.023663524293205</v>
      </c>
      <c r="BG41" s="20">
        <f t="shared" si="7"/>
        <v>342.0599606381441</v>
      </c>
      <c r="BH41" s="59">
        <f t="shared" si="8"/>
        <v>635.39329397147742</v>
      </c>
      <c r="BI41" s="59">
        <f ca="1">AVERAGE(OFFSET($BH$3,0,0,'Données projet'!$E$11+1,1))-AVERAGE(OFFSET($H$3,0,0,'Données projet'!$E$11+1,1))</f>
        <v>210.04871822652808</v>
      </c>
      <c r="BJ41" s="59">
        <f t="shared" si="38"/>
        <v>250.17540614049324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6.2312428180449704</v>
      </c>
      <c r="BQ41" s="21">
        <f>EXP(-LN(2)/25)*BQ40+(1-EXP(-LN(2)/25))/(LN(2)/25)*Calculateur!BL41*Calculateur!BN41*VLOOKUP('Données projet'!$B$11,Paramètres!$A$1:$I$89,3,0)*0.475*44/12</f>
        <v>22.294346324092835</v>
      </c>
      <c r="BR41" s="21">
        <f>EXP(-LN(2)/2)*BR40+(1-EXP(-LN(2)/2))/(LN(2)/2)*BL41*BO41*VLOOKUP('Données projet'!$B$11,Paramètres!$A$1:$I$89,3,0)*0.475*44/12</f>
        <v>1.3471180460844769</v>
      </c>
      <c r="BS41" s="22">
        <f t="shared" si="9"/>
        <v>29.872707188222282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5.6730769230769225</v>
      </c>
      <c r="BY41" s="12">
        <f>IF('Données projet'!$A$114&gt;35,BY40+BX41-CG40,IF(A41&lt;'Données projet'!$A$114,$BV$205^A41,IF(A41='Données projet'!$A$114,'Données projet'!$B$114,BY40+BX41-CG40)))</f>
        <v>215.57692307692318</v>
      </c>
      <c r="BZ41" s="13">
        <f>BY41*VLOOKUP('Données projet'!$B$12,Paramètres!$A$1:$I$89,3,0)*VLOOKUP('Données projet'!$B$12,Paramètres!$A$1:$I$89,5,0)</f>
        <v>103.69250000000004</v>
      </c>
      <c r="CA41" s="13">
        <f t="shared" si="39"/>
        <v>27.839819757412403</v>
      </c>
      <c r="CB41" s="20">
        <f t="shared" si="10"/>
        <v>229.08545691082665</v>
      </c>
      <c r="CC41" s="59">
        <f t="shared" si="11"/>
        <v>522.41879024415994</v>
      </c>
      <c r="CD41" s="59">
        <f ca="1">AVERAGE(OFFSET($CC$3,0,0,'Données projet'!$E$12+1,1))-AVERAGE(OFFSET($H$3,0,0,'Données projet'!$E$12+1,1))</f>
        <v>304.15237106473313</v>
      </c>
      <c r="CE41" s="59">
        <f t="shared" si="40"/>
        <v>120.85458928724336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22.419230769230779</v>
      </c>
      <c r="N42" s="13">
        <f>IF('Données projet'!$A$36&gt;35,N41+M42-V41,IF(A42&lt;'Données projet'!$A$36,$K$205^A42,IF(A42='Données projet'!$A$36,'Données projet'!$B$36,N41+M42-V41)))</f>
        <v>401.46538461538432</v>
      </c>
      <c r="O42" s="13">
        <f>N42*VLOOKUP('Données projet'!$B$9,Paramètres!$A$1:$I$89,3,0)*VLOOKUP('Données projet'!$B$9,Paramètres!$A$1:$I$89,5,0)</f>
        <v>224.41914999999986</v>
      </c>
      <c r="P42" s="13">
        <f t="shared" si="33"/>
        <v>55.074251579267411</v>
      </c>
      <c r="Q42" s="20">
        <f t="shared" si="53"/>
        <v>486.78434108389047</v>
      </c>
      <c r="R42" s="59">
        <f t="shared" si="0"/>
        <v>780.11767441722372</v>
      </c>
      <c r="S42" s="59">
        <f ca="1">AVERAGE(OFFSET($R$3,0,0,'Données projet'!$E$9+1,1))-AVERAGE(OFFSET($H$3,0,0,'Données projet'!$E$9+1,1))</f>
        <v>255.5374979188561</v>
      </c>
      <c r="T42" s="59">
        <f t="shared" si="34"/>
        <v>343.10418468620901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2.5855712327682125</v>
      </c>
      <c r="AA42" s="21">
        <f>EXP(-LN(2)/25)*AA41+(1-EXP(-LN(2)/25))/(LN(2)/25)*Calculateur!V42*Calculateur!X42*VLOOKUP('Données projet'!$B$9,Paramètres!$A$1:$I$89,3,0)*0.475*44/12</f>
        <v>12.435668596507927</v>
      </c>
      <c r="AB42" s="21">
        <f>EXP(-LN(2)/2)*AB41+(1-EXP(-LN(2)/2))/(LN(2)/2)*V42*Y42*VLOOKUP('Données projet'!$B$9,Paramètres!$A$1:$I$89,3,0)*0.475*44/12</f>
        <v>7.4805360223217557E-2</v>
      </c>
      <c r="AC42" s="22">
        <f t="shared" si="3"/>
        <v>15.096045189499359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15.7</v>
      </c>
      <c r="AI42" s="13">
        <f>IF('Données projet'!$A$62&gt;35,AI41+AH42-AQ41,IF(A42&lt;'Données projet'!$A$62,$AF$205^A42,IF(A42='Données projet'!$A$62,'Données projet'!$B$62,AI41+AH42-AQ41)))</f>
        <v>340.2999999999999</v>
      </c>
      <c r="AJ42" s="13">
        <f>AI42*VLOOKUP('Données projet'!$B$10,Paramètres!$A$1:$I$89,3,0)*VLOOKUP('Données projet'!$B$10,Paramètres!$A$1:$I$89,5,0)</f>
        <v>185.80379999999997</v>
      </c>
      <c r="AK42" s="13">
        <f t="shared" si="35"/>
        <v>46.611030236615356</v>
      </c>
      <c r="AL42" s="20">
        <f t="shared" si="4"/>
        <v>404.78916266210507</v>
      </c>
      <c r="AM42" s="59">
        <f t="shared" si="5"/>
        <v>698.12249599543838</v>
      </c>
      <c r="AN42" s="59">
        <f ca="1">AVERAGE(OFFSET($AM$3,0,0,'Données projet'!$E$10+1,1))-AVERAGE(OFFSET($H$3,0,0,'Données projet'!$E$10+1,1))</f>
        <v>248.1486444660062</v>
      </c>
      <c r="AO42" s="59">
        <f t="shared" si="36"/>
        <v>293.34458072322127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7.1272272715769329</v>
      </c>
      <c r="AV42" s="21">
        <f>EXP(-LN(2)/25)*AV41+(1-EXP(-LN(2)/25))/(LN(2)/25)*Calculateur!AQ42*Calculateur!AS42*VLOOKUP('Données projet'!$B$10,Paramètres!$A$1:$I$89,3,0)*0.475*44/12</f>
        <v>26.521001170588331</v>
      </c>
      <c r="AW42" s="21">
        <f>EXP(-LN(2)/2)*AW41+(1-EXP(-LN(2)/2))/(LN(2)/2)*AQ42*AT42*VLOOKUP('Données projet'!$B$10,Paramètres!$A$1:$I$89,3,0)*0.475*44/12</f>
        <v>1.1129165170344457</v>
      </c>
      <c r="AX42" s="21">
        <f t="shared" si="6"/>
        <v>34.761144959199711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13.8</v>
      </c>
      <c r="BD42" s="12">
        <f>IF('Données projet'!$A$88&gt;35,BD41+BC42-BL41,IF(A42&lt;'Données projet'!$A$88,$BA$205^A42,IF(A42='Données projet'!$A$88,'Données projet'!$B$88,BD41+BC42-BL41)))</f>
        <v>300.2000000000001</v>
      </c>
      <c r="BE42" s="13">
        <f>BD42*VLOOKUP('Données projet'!$B$11,Paramètres!$A$1:$I$89,3,0)*VLOOKUP('Données projet'!$B$11,Paramètres!$A$1:$I$89,5,0)</f>
        <v>163.90920000000006</v>
      </c>
      <c r="BF42" s="13">
        <f t="shared" si="37"/>
        <v>41.723003836805745</v>
      </c>
      <c r="BG42" s="20">
        <f t="shared" si="7"/>
        <v>358.14275501577009</v>
      </c>
      <c r="BH42" s="59">
        <f t="shared" si="8"/>
        <v>651.47608834910341</v>
      </c>
      <c r="BI42" s="59">
        <f ca="1">AVERAGE(OFFSET($BH$3,0,0,'Données projet'!$E$11+1,1))-AVERAGE(OFFSET($H$3,0,0,'Données projet'!$E$11+1,1))</f>
        <v>210.04871822652808</v>
      </c>
      <c r="BJ42" s="59">
        <f t="shared" si="38"/>
        <v>250.17540614049324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6.1090519470659412</v>
      </c>
      <c r="BQ42" s="21">
        <f>EXP(-LN(2)/25)*BQ41+(1-EXP(-LN(2)/25))/(LN(2)/25)*Calculateur!BL42*Calculateur!BN42*VLOOKUP('Données projet'!$B$11,Paramètres!$A$1:$I$89,3,0)*0.475*44/12</f>
        <v>21.684706251451797</v>
      </c>
      <c r="BR42" s="21">
        <f>EXP(-LN(2)/2)*BR41+(1-EXP(-LN(2)/2))/(LN(2)/2)*BL42*BO42*VLOOKUP('Données projet'!$B$11,Paramètres!$A$1:$I$89,3,0)*0.475*44/12</f>
        <v>0.95255630544510572</v>
      </c>
      <c r="BS42" s="22">
        <f t="shared" si="9"/>
        <v>28.746314503962843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5.6730769230769225</v>
      </c>
      <c r="BY42" s="12">
        <f>IF('Données projet'!$A$114&gt;35,BY41+BX42-CG41,IF(A42&lt;'Données projet'!$A$114,$BV$205^A42,IF(A42='Données projet'!$A$114,'Données projet'!$B$114,BY41+BX42-CG41)))</f>
        <v>221.25000000000011</v>
      </c>
      <c r="BZ42" s="13">
        <f>BY42*VLOOKUP('Données projet'!$B$12,Paramètres!$A$1:$I$89,3,0)*VLOOKUP('Données projet'!$B$12,Paramètres!$A$1:$I$89,5,0)</f>
        <v>106.42125000000006</v>
      </c>
      <c r="CA42" s="13">
        <f t="shared" si="39"/>
        <v>28.486186939644035</v>
      </c>
      <c r="CB42" s="20">
        <f t="shared" si="10"/>
        <v>234.96378600321347</v>
      </c>
      <c r="CC42" s="59">
        <f t="shared" si="11"/>
        <v>528.29711933654676</v>
      </c>
      <c r="CD42" s="59">
        <f ca="1">AVERAGE(OFFSET($CC$3,0,0,'Données projet'!$E$12+1,1))-AVERAGE(OFFSET($H$3,0,0,'Données projet'!$E$12+1,1))</f>
        <v>304.15237106473313</v>
      </c>
      <c r="CE42" s="59">
        <f t="shared" si="40"/>
        <v>120.85458928724336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22.419230769230779</v>
      </c>
      <c r="N43" s="13">
        <f>IF('Données projet'!$A$36&gt;35,N42+M43-V42,IF(A43&lt;'Données projet'!$A$36,$K$205^A43,IF(A43='Données projet'!$A$36,'Données projet'!$B$36,N42+M43-V42)))</f>
        <v>423.88461538461513</v>
      </c>
      <c r="O43" s="13">
        <f>N43*VLOOKUP('Données projet'!$B$9,Paramètres!$A$1:$I$89,3,0)*VLOOKUP('Données projet'!$B$9,Paramètres!$A$1:$I$89,5,0)</f>
        <v>236.95149999999987</v>
      </c>
      <c r="P43" s="13">
        <f t="shared" si="33"/>
        <v>57.783143668102703</v>
      </c>
      <c r="Q43" s="20">
        <f t="shared" si="53"/>
        <v>513.32950438861201</v>
      </c>
      <c r="R43" s="59">
        <f t="shared" si="0"/>
        <v>806.66283772194538</v>
      </c>
      <c r="S43" s="59">
        <f ca="1">AVERAGE(OFFSET($R$3,0,0,'Données projet'!$E$9+1,1))-AVERAGE(OFFSET($H$3,0,0,'Données projet'!$E$9+1,1))</f>
        <v>255.5374979188561</v>
      </c>
      <c r="T43" s="59">
        <f t="shared" si="34"/>
        <v>343.10418468620901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2.5348697579363599</v>
      </c>
      <c r="AA43" s="21">
        <f>EXP(-LN(2)/25)*AA42+(1-EXP(-LN(2)/25))/(LN(2)/25)*Calculateur!V43*Calculateur!X43*VLOOKUP('Données projet'!$B$9,Paramètres!$A$1:$I$89,3,0)*0.475*44/12</f>
        <v>12.095614584773029</v>
      </c>
      <c r="AB43" s="21">
        <f>EXP(-LN(2)/2)*AB42+(1-EXP(-LN(2)/2))/(LN(2)/2)*V43*Y43*VLOOKUP('Données projet'!$B$9,Paramètres!$A$1:$I$89,3,0)*0.475*44/12</f>
        <v>5.2895377482939564E-2</v>
      </c>
      <c r="AC43" s="22">
        <f t="shared" si="3"/>
        <v>14.683379720192329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356</v>
      </c>
      <c r="AG43" s="12">
        <f>VLOOKUP(A43,'Données projet'!$A$61:$I$81,9,0)</f>
        <v>15.7</v>
      </c>
      <c r="AH43" s="12">
        <f t="array" ref="AH43">INDEX(AG:AG,MIN(IF(ISNUMBER(AG43:AG239),ROW(AG43:AG239),"")))</f>
        <v>15.7</v>
      </c>
      <c r="AI43" s="13">
        <f>IF('Données projet'!$A$62&gt;35,AI42+AH43-AQ42,IF(A43&lt;'Données projet'!$A$62,$AF$205^A43,IF(A43='Données projet'!$A$62,'Données projet'!$B$62,AI42+AH43-AQ42)))</f>
        <v>355.99999999999989</v>
      </c>
      <c r="AJ43" s="13">
        <f>AI43*VLOOKUP('Données projet'!$B$10,Paramètres!$A$1:$I$89,3,0)*VLOOKUP('Données projet'!$B$10,Paramètres!$A$1:$I$89,5,0)</f>
        <v>194.37599999999995</v>
      </c>
      <c r="AK43" s="13">
        <f t="shared" si="35"/>
        <v>48.506138465833089</v>
      </c>
      <c r="AL43" s="20">
        <f t="shared" si="4"/>
        <v>423.01972449465916</v>
      </c>
      <c r="AM43" s="59">
        <f t="shared" si="5"/>
        <v>716.35305782799242</v>
      </c>
      <c r="AN43" s="59">
        <f ca="1">AVERAGE(OFFSET($AM$3,0,0,'Données projet'!$E$10+1,1))-AVERAGE(OFFSET($H$3,0,0,'Données projet'!$E$10+1,1))</f>
        <v>248.1486444660062</v>
      </c>
      <c r="AO43" s="59">
        <f t="shared" si="36"/>
        <v>293.34458072322127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92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6.9874666919606963</v>
      </c>
      <c r="AV43" s="21">
        <f>EXP(-LN(2)/25)*AV42+(1-EXP(-LN(2)/25))/(LN(2)/25)*Calculateur!AQ43*Calculateur!AS43*VLOOKUP('Données projet'!$B$10,Paramètres!$A$1:$I$89,3,0)*0.475*44/12</f>
        <v>25.795782998899757</v>
      </c>
      <c r="AW43" s="21">
        <f>EXP(-LN(2)/2)*AW42+(1-EXP(-LN(2)/2))/(LN(2)/2)*AQ43*AT43*VLOOKUP('Données projet'!$B$10,Paramètres!$A$1:$I$89,3,0)*0.475*44/12</f>
        <v>0.7869508160895704</v>
      </c>
      <c r="AX43" s="21">
        <f t="shared" si="6"/>
        <v>33.570200506950023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314</v>
      </c>
      <c r="BB43" s="12">
        <f>VLOOKUP(A43,'Données projet'!$A$87:$I$107,9,0)</f>
        <v>13.8</v>
      </c>
      <c r="BC43" s="12">
        <f t="array" ref="BC43">INDEX(BB:BB,MIN(IF(ISNUMBER(BB43:BB239),ROW(BB43:BB239),"")))</f>
        <v>13.8</v>
      </c>
      <c r="BD43" s="12">
        <f>IF('Données projet'!$A$88&gt;35,BD42+BC43-BL42,IF(A43&lt;'Données projet'!$A$88,$BA$205^A43,IF(A43='Données projet'!$A$88,'Données projet'!$B$88,BD42+BC43-BL42)))</f>
        <v>314.00000000000011</v>
      </c>
      <c r="BE43" s="13">
        <f>BD43*VLOOKUP('Données projet'!$B$11,Paramètres!$A$1:$I$89,3,0)*VLOOKUP('Données projet'!$B$11,Paramètres!$A$1:$I$89,5,0)</f>
        <v>171.44400000000007</v>
      </c>
      <c r="BF43" s="13">
        <f t="shared" si="37"/>
        <v>43.413272173627242</v>
      </c>
      <c r="BG43" s="20">
        <f t="shared" si="7"/>
        <v>374.20974903573421</v>
      </c>
      <c r="BH43" s="59">
        <f t="shared" si="8"/>
        <v>667.54308236906752</v>
      </c>
      <c r="BI43" s="59">
        <f ca="1">AVERAGE(OFFSET($BH$3,0,0,'Données projet'!$E$11+1,1))-AVERAGE(OFFSET($H$3,0,0,'Données projet'!$E$11+1,1))</f>
        <v>210.04871822652808</v>
      </c>
      <c r="BJ43" s="59">
        <f t="shared" si="38"/>
        <v>250.17540614049324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5.9892571645377384</v>
      </c>
      <c r="BQ43" s="21">
        <f>EXP(-LN(2)/25)*BQ42+(1-EXP(-LN(2)/25))/(LN(2)/25)*Calculateur!BL43*Calculateur!BN43*VLOOKUP('Données projet'!$B$11,Paramètres!$A$1:$I$89,3,0)*0.475*44/12</f>
        <v>21.091736818656706</v>
      </c>
      <c r="BR43" s="21">
        <f>EXP(-LN(2)/2)*BR42+(1-EXP(-LN(2)/2))/(LN(2)/2)*BL43*BO43*VLOOKUP('Données projet'!$B$11,Paramètres!$A$1:$I$89,3,0)*0.475*44/12</f>
        <v>0.67355902304223858</v>
      </c>
      <c r="BS43" s="22">
        <f t="shared" si="9"/>
        <v>27.754553006236684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226.92307692307691</v>
      </c>
      <c r="BW43" s="12">
        <f>VLOOKUP(A43,'Données projet'!$A$113:$I$133,9,0)</f>
        <v>5.6730769230769225</v>
      </c>
      <c r="BX43" s="12">
        <f t="array" ref="BX43">INDEX(BW:BW,MIN(IF(ISNUMBER(BW43:BW239),ROW(BW43:BW239),"")))</f>
        <v>5.6730769230769225</v>
      </c>
      <c r="BY43" s="12">
        <f>IF('Données projet'!$A$114&gt;35,BY42+BX43-CG42,IF(A43&lt;'Données projet'!$A$114,$BV$205^A43,IF(A43='Données projet'!$A$114,'Données projet'!$B$114,BY42+BX43-CG42)))</f>
        <v>226.92307692307705</v>
      </c>
      <c r="BZ43" s="13">
        <f>BY43*VLOOKUP('Données projet'!$B$12,Paramètres!$A$1:$I$89,3,0)*VLOOKUP('Données projet'!$B$12,Paramètres!$A$1:$I$89,5,0)</f>
        <v>109.15000000000006</v>
      </c>
      <c r="CA43" s="13">
        <f t="shared" si="39"/>
        <v>29.130627617384881</v>
      </c>
      <c r="CB43" s="20">
        <f t="shared" si="10"/>
        <v>240.8387597669454</v>
      </c>
      <c r="CC43" s="59">
        <f t="shared" si="11"/>
        <v>534.17209310027874</v>
      </c>
      <c r="CD43" s="59">
        <f ca="1">AVERAGE(OFFSET($CC$3,0,0,'Données projet'!$E$12+1,1))-AVERAGE(OFFSET($H$3,0,0,'Données projet'!$E$12+1,1))</f>
        <v>304.15237106473313</v>
      </c>
      <c r="CE43" s="59">
        <f t="shared" si="40"/>
        <v>120.85458928724336</v>
      </c>
      <c r="CF43" s="15">
        <f>IF(ISNA(VLOOKUP(A43,'Données projet'!$A$113:$I$133,3,0)),0,VLOOKUP(A43,'Données projet'!$A$113:$I$133,3,0))</f>
        <v>1</v>
      </c>
      <c r="CG43" s="15">
        <f>IF(ISNA(VLOOKUP(A43,'Données projet'!$A$113:$I$133,4,0)),0,VLOOKUP(A43,'Données projet'!$A$113:$I$133,4,0))</f>
        <v>70.769230769230774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22.419230769230779</v>
      </c>
      <c r="N44" s="13">
        <f>IF('Données projet'!$A$36&gt;35,N43+M44-V43,IF(A44&lt;'Données projet'!$A$36,$K$205^A44,IF(A44='Données projet'!$A$36,'Données projet'!$B$36,N43+M44-V43)))</f>
        <v>446.30384615384594</v>
      </c>
      <c r="O44" s="13">
        <f>N44*VLOOKUP('Données projet'!$B$9,Paramètres!$A$1:$I$89,3,0)*VLOOKUP('Données projet'!$B$9,Paramètres!$A$1:$I$89,5,0)</f>
        <v>249.4838499999999</v>
      </c>
      <c r="P44" s="13">
        <f t="shared" si="33"/>
        <v>60.475401807280001</v>
      </c>
      <c r="Q44" s="20">
        <f t="shared" si="53"/>
        <v>539.84569689767909</v>
      </c>
      <c r="R44" s="59">
        <f t="shared" si="0"/>
        <v>833.17903023101235</v>
      </c>
      <c r="S44" s="59">
        <f ca="1">AVERAGE(OFFSET($R$3,0,0,'Données projet'!$E$9+1,1))-AVERAGE(OFFSET($H$3,0,0,'Données projet'!$E$9+1,1))</f>
        <v>255.5374979188561</v>
      </c>
      <c r="T44" s="59">
        <f t="shared" si="34"/>
        <v>343.10418468620901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2.4851625081011139</v>
      </c>
      <c r="AA44" s="21">
        <f>EXP(-LN(2)/25)*AA43+(1-EXP(-LN(2)/25))/(LN(2)/25)*Calculateur!V44*Calculateur!X44*VLOOKUP('Données projet'!$B$9,Paramètres!$A$1:$I$89,3,0)*0.475*44/12</f>
        <v>11.764859367871685</v>
      </c>
      <c r="AB44" s="21">
        <f>EXP(-LN(2)/2)*AB43+(1-EXP(-LN(2)/2))/(LN(2)/2)*V44*Y44*VLOOKUP('Données projet'!$B$9,Paramètres!$A$1:$I$89,3,0)*0.475*44/12</f>
        <v>3.7402680111608778E-2</v>
      </c>
      <c r="AC44" s="22">
        <f t="shared" si="3"/>
        <v>14.287424556084407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13.1</v>
      </c>
      <c r="AI44" s="13">
        <f>IF('Données projet'!$A$62&gt;35,AI43+AH44-AQ43,IF(A44&lt;'Données projet'!$A$62,$AF$205^A44,IF(A44='Données projet'!$A$62,'Données projet'!$B$62,AI43+AH44-AQ43)))</f>
        <v>277.09999999999991</v>
      </c>
      <c r="AJ44" s="13">
        <f>AI44*VLOOKUP('Données projet'!$B$10,Paramètres!$A$1:$I$89,3,0)*VLOOKUP('Données projet'!$B$10,Paramètres!$A$1:$I$89,5,0)</f>
        <v>151.29659999999996</v>
      </c>
      <c r="AK44" s="13">
        <f t="shared" si="35"/>
        <v>38.87309486191122</v>
      </c>
      <c r="AL44" s="20">
        <f t="shared" si="4"/>
        <v>331.21221855116193</v>
      </c>
      <c r="AM44" s="59">
        <f t="shared" si="5"/>
        <v>624.54555188449524</v>
      </c>
      <c r="AN44" s="59">
        <f ca="1">AVERAGE(OFFSET($AM$3,0,0,'Données projet'!$E$10+1,1))-AVERAGE(OFFSET($H$3,0,0,'Données projet'!$E$10+1,1))</f>
        <v>248.1486444660062</v>
      </c>
      <c r="AO44" s="59">
        <f t="shared" si="36"/>
        <v>293.34458072322127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6.8504467320651985</v>
      </c>
      <c r="AV44" s="21">
        <f>EXP(-LN(2)/25)*AV43+(1-EXP(-LN(2)/25))/(LN(2)/25)*Calculateur!AQ44*Calculateur!AS44*VLOOKUP('Données projet'!$B$10,Paramètres!$A$1:$I$89,3,0)*0.475*44/12</f>
        <v>25.090395956253573</v>
      </c>
      <c r="AW44" s="21">
        <f>EXP(-LN(2)/2)*AW43+(1-EXP(-LN(2)/2))/(LN(2)/2)*AQ44*AT44*VLOOKUP('Données projet'!$B$10,Paramètres!$A$1:$I$89,3,0)*0.475*44/12</f>
        <v>0.55645825851722286</v>
      </c>
      <c r="AX44" s="21">
        <f t="shared" si="6"/>
        <v>32.497300946835992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245.50000000000011</v>
      </c>
      <c r="BE44" s="13">
        <f>BD44*VLOOKUP('Données projet'!$B$11,Paramètres!$A$1:$I$89,3,0)*VLOOKUP('Données projet'!$B$11,Paramètres!$A$1:$I$89,5,0)</f>
        <v>134.04300000000006</v>
      </c>
      <c r="BF44" s="13">
        <f t="shared" si="37"/>
        <v>34.928906226695894</v>
      </c>
      <c r="BG44" s="20">
        <f t="shared" si="7"/>
        <v>294.2927366781621</v>
      </c>
      <c r="BH44" s="59">
        <f t="shared" si="8"/>
        <v>587.62607001149536</v>
      </c>
      <c r="BI44" s="59">
        <f ca="1">AVERAGE(OFFSET($BH$3,0,0,'Données projet'!$E$11+1,1))-AVERAGE(OFFSET($H$3,0,0,'Données projet'!$E$11+1,1))</f>
        <v>210.04871822652808</v>
      </c>
      <c r="BJ44" s="59">
        <f t="shared" si="38"/>
        <v>250.17540614049324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5.8718114846273117</v>
      </c>
      <c r="BQ44" s="21">
        <f>EXP(-LN(2)/25)*BQ43+(1-EXP(-LN(2)/25))/(LN(2)/25)*Calculateur!BL44*Calculateur!BN44*VLOOKUP('Données projet'!$B$11,Paramètres!$A$1:$I$89,3,0)*0.475*44/12</f>
        <v>20.514982166184303</v>
      </c>
      <c r="BR44" s="21">
        <f>EXP(-LN(2)/2)*BR43+(1-EXP(-LN(2)/2))/(LN(2)/2)*BL44*BO44*VLOOKUP('Données projet'!$B$11,Paramètres!$A$1:$I$89,3,0)*0.475*44/12</f>
        <v>0.47627815272255297</v>
      </c>
      <c r="BS44" s="22">
        <f t="shared" si="9"/>
        <v>26.863071803534169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11.538461538461542</v>
      </c>
      <c r="BY44" s="12">
        <f>IF('Données projet'!$A$114&gt;35,BY43+BX44-CG43,IF(A44&lt;'Données projet'!$A$114,$BV$205^A44,IF(A44='Données projet'!$A$114,'Données projet'!$B$114,BY43+BX44-CG43)))</f>
        <v>167.69230769230782</v>
      </c>
      <c r="BZ44" s="13">
        <f>BY44*VLOOKUP('Données projet'!$B$12,Paramètres!$A$1:$I$89,3,0)*VLOOKUP('Données projet'!$B$12,Paramètres!$A$1:$I$89,5,0)</f>
        <v>80.660000000000068</v>
      </c>
      <c r="CA44" s="13">
        <f t="shared" si="39"/>
        <v>22.298480313199988</v>
      </c>
      <c r="CB44" s="20">
        <f t="shared" si="10"/>
        <v>179.31935321215676</v>
      </c>
      <c r="CC44" s="59">
        <f t="shared" si="11"/>
        <v>472.65268654549004</v>
      </c>
      <c r="CD44" s="59">
        <f ca="1">AVERAGE(OFFSET($CC$3,0,0,'Données projet'!$E$12+1,1))-AVERAGE(OFFSET($H$3,0,0,'Données projet'!$E$12+1,1))</f>
        <v>304.15237106473313</v>
      </c>
      <c r="CE44" s="59">
        <f t="shared" si="40"/>
        <v>120.85458928724336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468.72307692307692</v>
      </c>
      <c r="L45" s="12">
        <f>VLOOKUP(A45,'Données projet'!$A$35:$I$55,9,0)</f>
        <v>22.419230769230779</v>
      </c>
      <c r="M45" s="12">
        <f t="array" ref="M45">INDEX(L:L,MIN(IF(ISNUMBER(L45:L241),ROW(L45:L241),"")))</f>
        <v>22.419230769230779</v>
      </c>
      <c r="N45" s="13">
        <f>IF('Données projet'!$A$36&gt;35,N44+M45-V44,IF(A45&lt;'Données projet'!$A$36,$K$205^A45,IF(A45='Données projet'!$A$36,'Données projet'!$B$36,N44+M45-V44)))</f>
        <v>468.72307692307675</v>
      </c>
      <c r="O45" s="13">
        <f>N45*VLOOKUP('Données projet'!$B$9,Paramètres!$A$1:$I$89,3,0)*VLOOKUP('Données projet'!$B$9,Paramètres!$A$1:$I$89,5,0)</f>
        <v>262.01619999999991</v>
      </c>
      <c r="P45" s="13">
        <f t="shared" si="33"/>
        <v>63.151956912854573</v>
      </c>
      <c r="Q45" s="20">
        <f t="shared" si="53"/>
        <v>566.33453995655486</v>
      </c>
      <c r="R45" s="59">
        <f t="shared" si="0"/>
        <v>859.66787328988812</v>
      </c>
      <c r="S45" s="59">
        <f ca="1">AVERAGE(OFFSET($R$3,0,0,'Données projet'!$E$9+1,1))-AVERAGE(OFFSET($H$3,0,0,'Données projet'!$E$9+1,1))</f>
        <v>255.5374979188561</v>
      </c>
      <c r="T45" s="59">
        <f t="shared" si="34"/>
        <v>343.10418468620901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2.4364299871167083</v>
      </c>
      <c r="AA45" s="21">
        <f>EXP(-LN(2)/25)*AA44+(1-EXP(-LN(2)/25))/(LN(2)/25)*Calculateur!V45*Calculateur!X45*VLOOKUP('Données projet'!$B$9,Paramètres!$A$1:$I$89,3,0)*0.475*44/12</f>
        <v>11.443148669770169</v>
      </c>
      <c r="AB45" s="21">
        <f>EXP(-LN(2)/2)*AB44+(1-EXP(-LN(2)/2))/(LN(2)/2)*V45*Y45*VLOOKUP('Données projet'!$B$9,Paramètres!$A$1:$I$89,3,0)*0.475*44/12</f>
        <v>2.6447688741469782E-2</v>
      </c>
      <c r="AC45" s="22">
        <f t="shared" si="3"/>
        <v>13.906026345628348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13.1</v>
      </c>
      <c r="AI45" s="13">
        <f>IF('Données projet'!$A$62&gt;35,AI44+AH45-AQ44,IF(A45&lt;'Données projet'!$A$62,$AF$205^A45,IF(A45='Données projet'!$A$62,'Données projet'!$B$62,AI44+AH45-AQ44)))</f>
        <v>290.19999999999993</v>
      </c>
      <c r="AJ45" s="13">
        <f>AI45*VLOOKUP('Données projet'!$B$10,Paramètres!$A$1:$I$89,3,0)*VLOOKUP('Données projet'!$B$10,Paramètres!$A$1:$I$89,5,0)</f>
        <v>158.44919999999996</v>
      </c>
      <c r="AK45" s="13">
        <f t="shared" si="35"/>
        <v>40.492530106300926</v>
      </c>
      <c r="AL45" s="20">
        <f t="shared" si="4"/>
        <v>346.49017993514076</v>
      </c>
      <c r="AM45" s="59">
        <f t="shared" si="5"/>
        <v>639.82351326847402</v>
      </c>
      <c r="AN45" s="59">
        <f ca="1">AVERAGE(OFFSET($AM$3,0,0,'Données projet'!$E$10+1,1))-AVERAGE(OFFSET($H$3,0,0,'Données projet'!$E$10+1,1))</f>
        <v>248.1486444660062</v>
      </c>
      <c r="AO45" s="59">
        <f t="shared" si="36"/>
        <v>293.34458072322127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6.7161136500093281</v>
      </c>
      <c r="AV45" s="21">
        <f>EXP(-LN(2)/25)*AV44+(1-EXP(-LN(2)/25))/(LN(2)/25)*Calculateur!AQ45*Calculateur!AS45*VLOOKUP('Données projet'!$B$10,Paramètres!$A$1:$I$89,3,0)*0.475*44/12</f>
        <v>24.40429775938324</v>
      </c>
      <c r="AW45" s="21">
        <f>EXP(-LN(2)/2)*AW44+(1-EXP(-LN(2)/2))/(LN(2)/2)*AQ45*AT45*VLOOKUP('Données projet'!$B$10,Paramètres!$A$1:$I$89,3,0)*0.475*44/12</f>
        <v>0.3934754080447852</v>
      </c>
      <c r="AX45" s="21">
        <f t="shared" si="6"/>
        <v>31.513886817437353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257.00000000000011</v>
      </c>
      <c r="BE45" s="13">
        <f>BD45*VLOOKUP('Données projet'!$B$11,Paramètres!$A$1:$I$89,3,0)*VLOOKUP('Données projet'!$B$11,Paramètres!$A$1:$I$89,5,0)</f>
        <v>140.32200000000006</v>
      </c>
      <c r="BF45" s="13">
        <f t="shared" si="37"/>
        <v>36.370761307502896</v>
      </c>
      <c r="BG45" s="20">
        <f t="shared" si="7"/>
        <v>307.73989261056767</v>
      </c>
      <c r="BH45" s="59">
        <f t="shared" si="8"/>
        <v>601.07322594390098</v>
      </c>
      <c r="BI45" s="59">
        <f ca="1">AVERAGE(OFFSET($BH$3,0,0,'Données projet'!$E$11+1,1))-AVERAGE(OFFSET($H$3,0,0,'Données projet'!$E$11+1,1))</f>
        <v>210.04871822652808</v>
      </c>
      <c r="BJ45" s="59">
        <f t="shared" si="38"/>
        <v>250.17540614049324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5.7566688428651371</v>
      </c>
      <c r="BQ45" s="21">
        <f>EXP(-LN(2)/25)*BQ44+(1-EXP(-LN(2)/25))/(LN(2)/25)*Calculateur!BL45*Calculateur!BN45*VLOOKUP('Données projet'!$B$11,Paramètres!$A$1:$I$89,3,0)*0.475*44/12</f>
        <v>19.953998900013968</v>
      </c>
      <c r="BR45" s="21">
        <f>EXP(-LN(2)/2)*BR44+(1-EXP(-LN(2)/2))/(LN(2)/2)*BL45*BO45*VLOOKUP('Données projet'!$B$11,Paramètres!$A$1:$I$89,3,0)*0.475*44/12</f>
        <v>0.33677951152111935</v>
      </c>
      <c r="BS45" s="22">
        <f t="shared" si="9"/>
        <v>26.047447254400222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11.538461538461542</v>
      </c>
      <c r="BY45" s="12">
        <f>IF('Données projet'!$A$114&gt;35,BY44+BX45-CG44,IF(A45&lt;'Données projet'!$A$114,$BV$205^A45,IF(A45='Données projet'!$A$114,'Données projet'!$B$114,BY44+BX45-CG44)))</f>
        <v>179.23076923076937</v>
      </c>
      <c r="BZ45" s="13">
        <f>BY45*VLOOKUP('Données projet'!$B$12,Paramètres!$A$1:$I$89,3,0)*VLOOKUP('Données projet'!$B$12,Paramètres!$A$1:$I$89,5,0)</f>
        <v>86.210000000000065</v>
      </c>
      <c r="CA45" s="13">
        <f t="shared" si="39"/>
        <v>23.64889211582879</v>
      </c>
      <c r="CB45" s="20">
        <f t="shared" si="10"/>
        <v>191.33757043506856</v>
      </c>
      <c r="CC45" s="59">
        <f t="shared" si="11"/>
        <v>484.6709037684019</v>
      </c>
      <c r="CD45" s="59">
        <f ca="1">AVERAGE(OFFSET($CC$3,0,0,'Données projet'!$E$12+1,1))-AVERAGE(OFFSET($H$3,0,0,'Données projet'!$E$12+1,1))</f>
        <v>304.15237106473313</v>
      </c>
      <c r="CE45" s="59">
        <f t="shared" si="40"/>
        <v>120.85458928724336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21.625641025641027</v>
      </c>
      <c r="N46" s="13">
        <f>IF('Données projet'!$A$36&gt;35,N45+M46-V45,IF(A46&lt;'Données projet'!$A$36,$K$205^A46,IF(A46='Données projet'!$A$36,'Données projet'!$B$36,N45+M46-V45)))</f>
        <v>416.95641025641009</v>
      </c>
      <c r="O46" s="13">
        <f>N46*VLOOKUP('Données projet'!$B$9,Paramètres!$A$1:$I$89,3,0)*VLOOKUP('Données projet'!$B$9,Paramètres!$A$1:$I$89,5,0)</f>
        <v>233.07863333333327</v>
      </c>
      <c r="P46" s="13">
        <f t="shared" si="33"/>
        <v>56.947838023653489</v>
      </c>
      <c r="Q46" s="20">
        <f t="shared" si="53"/>
        <v>505.12943761341859</v>
      </c>
      <c r="R46" s="59">
        <f t="shared" si="0"/>
        <v>798.4627709467519</v>
      </c>
      <c r="S46" s="59">
        <f ca="1">AVERAGE(OFFSET($R$3,0,0,'Données projet'!$E$9+1,1))-AVERAGE(OFFSET($H$3,0,0,'Données projet'!$E$9+1,1))</f>
        <v>255.5374979188561</v>
      </c>
      <c r="T46" s="59">
        <f t="shared" si="34"/>
        <v>343.10418468620901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2.3886530811449043</v>
      </c>
      <c r="AA46" s="21">
        <f>EXP(-LN(2)/25)*AA45+(1-EXP(-LN(2)/25))/(LN(2)/25)*Calculateur!V46*Calculateur!X46*VLOOKUP('Données projet'!$B$9,Paramètres!$A$1:$I$89,3,0)*0.475*44/12</f>
        <v>11.130235167626269</v>
      </c>
      <c r="AB46" s="21">
        <f>EXP(-LN(2)/2)*AB45+(1-EXP(-LN(2)/2))/(LN(2)/2)*V46*Y46*VLOOKUP('Données projet'!$B$9,Paramètres!$A$1:$I$89,3,0)*0.475*44/12</f>
        <v>1.8701340055804389E-2</v>
      </c>
      <c r="AC46" s="22">
        <f t="shared" si="3"/>
        <v>13.537589588826977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13.1</v>
      </c>
      <c r="AI46" s="13">
        <f>IF('Données projet'!$A$62&gt;35,AI45+AH46-AQ45,IF(A46&lt;'Données projet'!$A$62,$AF$205^A46,IF(A46='Données projet'!$A$62,'Données projet'!$B$62,AI45+AH46-AQ45)))</f>
        <v>303.29999999999995</v>
      </c>
      <c r="AJ46" s="13">
        <f>AI46*VLOOKUP('Données projet'!$B$10,Paramètres!$A$1:$I$89,3,0)*VLOOKUP('Données projet'!$B$10,Paramètres!$A$1:$I$89,5,0)</f>
        <v>165.60179999999997</v>
      </c>
      <c r="AK46" s="13">
        <f t="shared" si="35"/>
        <v>42.103475388783878</v>
      </c>
      <c r="AL46" s="20">
        <f t="shared" si="4"/>
        <v>361.7533546354652</v>
      </c>
      <c r="AM46" s="59">
        <f t="shared" si="5"/>
        <v>655.08668796879851</v>
      </c>
      <c r="AN46" s="59">
        <f ca="1">AVERAGE(OFFSET($AM$3,0,0,'Données projet'!$E$10+1,1))-AVERAGE(OFFSET($H$3,0,0,'Données projet'!$E$10+1,1))</f>
        <v>248.1486444660062</v>
      </c>
      <c r="AO46" s="59">
        <f t="shared" si="36"/>
        <v>293.34458072322127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6.5844147577574832</v>
      </c>
      <c r="AV46" s="21">
        <f>EXP(-LN(2)/25)*AV45+(1-EXP(-LN(2)/25))/(LN(2)/25)*Calculateur!AQ46*Calculateur!AS46*VLOOKUP('Données projet'!$B$10,Paramètres!$A$1:$I$89,3,0)*0.475*44/12</f>
        <v>23.736960953786664</v>
      </c>
      <c r="AW46" s="21">
        <f>EXP(-LN(2)/2)*AW45+(1-EXP(-LN(2)/2))/(LN(2)/2)*AQ46*AT46*VLOOKUP('Données projet'!$B$10,Paramètres!$A$1:$I$89,3,0)*0.475*44/12</f>
        <v>0.27822912925861143</v>
      </c>
      <c r="AX46" s="21">
        <f t="shared" si="6"/>
        <v>30.599604840802758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11.5</v>
      </c>
      <c r="BD46" s="12">
        <f>IF('Données projet'!$A$88&gt;35,BD45+BC46-BL45,IF(A46&lt;'Données projet'!$A$88,$BA$205^A46,IF(A46='Données projet'!$A$88,'Données projet'!$B$88,BD45+BC46-BL45)))</f>
        <v>268.50000000000011</v>
      </c>
      <c r="BE46" s="13">
        <f>BD46*VLOOKUP('Données projet'!$B$11,Paramètres!$A$1:$I$89,3,0)*VLOOKUP('Données projet'!$B$11,Paramètres!$A$1:$I$89,5,0)</f>
        <v>146.60100000000006</v>
      </c>
      <c r="BF46" s="13">
        <f t="shared" si="37"/>
        <v>37.805123282858517</v>
      </c>
      <c r="BG46" s="20">
        <f t="shared" si="7"/>
        <v>321.1739980509787</v>
      </c>
      <c r="BH46" s="59">
        <f t="shared" si="8"/>
        <v>614.50733138431201</v>
      </c>
      <c r="BI46" s="59">
        <f ca="1">AVERAGE(OFFSET($BH$3,0,0,'Données projet'!$E$11+1,1))-AVERAGE(OFFSET($H$3,0,0,'Données projet'!$E$11+1,1))</f>
        <v>210.04871822652808</v>
      </c>
      <c r="BJ46" s="59">
        <f t="shared" si="38"/>
        <v>250.17540614049324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5.6437840780778412</v>
      </c>
      <c r="BQ46" s="21">
        <f>EXP(-LN(2)/25)*BQ45+(1-EXP(-LN(2)/25))/(LN(2)/25)*Calculateur!BL46*Calculateur!BN46*VLOOKUP('Données projet'!$B$11,Paramètres!$A$1:$I$89,3,0)*0.475*44/12</f>
        <v>19.408355750757888</v>
      </c>
      <c r="BR46" s="21">
        <f>EXP(-LN(2)/2)*BR45+(1-EXP(-LN(2)/2))/(LN(2)/2)*BL46*BO46*VLOOKUP('Données projet'!$B$11,Paramètres!$A$1:$I$89,3,0)*0.475*44/12</f>
        <v>0.23813907636127651</v>
      </c>
      <c r="BS46" s="22">
        <f t="shared" si="9"/>
        <v>25.290278905197003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11.538461538461542</v>
      </c>
      <c r="BY46" s="12">
        <f>IF('Données projet'!$A$114&gt;35,BY45+BX46-CG45,IF(A46&lt;'Données projet'!$A$114,$BV$205^A46,IF(A46='Données projet'!$A$114,'Données projet'!$B$114,BY45+BX46-CG45)))</f>
        <v>190.76923076923092</v>
      </c>
      <c r="BZ46" s="13">
        <f>BY46*VLOOKUP('Données projet'!$B$12,Paramètres!$A$1:$I$89,3,0)*VLOOKUP('Données projet'!$B$12,Paramètres!$A$1:$I$89,5,0)</f>
        <v>91.760000000000062</v>
      </c>
      <c r="CA46" s="13">
        <f t="shared" si="39"/>
        <v>24.98921498991157</v>
      </c>
      <c r="CB46" s="20">
        <f t="shared" si="10"/>
        <v>203.33821610742942</v>
      </c>
      <c r="CC46" s="59">
        <f t="shared" si="11"/>
        <v>496.67154944076276</v>
      </c>
      <c r="CD46" s="59">
        <f ca="1">AVERAGE(OFFSET($CC$3,0,0,'Données projet'!$E$12+1,1))-AVERAGE(OFFSET($H$3,0,0,'Données projet'!$E$12+1,1))</f>
        <v>304.15237106473313</v>
      </c>
      <c r="CE46" s="59">
        <f t="shared" si="40"/>
        <v>120.85458928724336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21.625641025641027</v>
      </c>
      <c r="N47" s="13">
        <f>IF('Données projet'!$A$36&gt;35,N46+M47-V46,IF(A47&lt;'Données projet'!$A$36,$K$205^A47,IF(A47='Données projet'!$A$36,'Données projet'!$B$36,N46+M47-V46)))</f>
        <v>438.58205128205111</v>
      </c>
      <c r="O47" s="13">
        <f>N47*VLOOKUP('Données projet'!$B$9,Paramètres!$A$1:$I$89,3,0)*VLOOKUP('Données projet'!$B$9,Paramètres!$A$1:$I$89,5,0)</f>
        <v>245.16736666666657</v>
      </c>
      <c r="P47" s="13">
        <f t="shared" si="33"/>
        <v>59.549932468183236</v>
      </c>
      <c r="Q47" s="20">
        <f t="shared" si="53"/>
        <v>530.71596265986329</v>
      </c>
      <c r="R47" s="59">
        <f t="shared" si="0"/>
        <v>824.04929599319667</v>
      </c>
      <c r="S47" s="59">
        <f ca="1">AVERAGE(OFFSET($R$3,0,0,'Données projet'!$E$9+1,1))-AVERAGE(OFFSET($H$3,0,0,'Données projet'!$E$9+1,1))</f>
        <v>255.5374979188561</v>
      </c>
      <c r="T47" s="59">
        <f t="shared" si="34"/>
        <v>343.10418468620901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2.3418130511581721</v>
      </c>
      <c r="AA47" s="21">
        <f>EXP(-LN(2)/25)*AA46+(1-EXP(-LN(2)/25))/(LN(2)/25)*Calculateur!V47*Calculateur!X47*VLOOKUP('Données projet'!$B$9,Paramètres!$A$1:$I$89,3,0)*0.475*44/12</f>
        <v>10.8258783016539</v>
      </c>
      <c r="AB47" s="21">
        <f>EXP(-LN(2)/2)*AB46+(1-EXP(-LN(2)/2))/(LN(2)/2)*V47*Y47*VLOOKUP('Données projet'!$B$9,Paramètres!$A$1:$I$89,3,0)*0.475*44/12</f>
        <v>1.3223844370734891E-2</v>
      </c>
      <c r="AC47" s="22">
        <f t="shared" si="3"/>
        <v>13.180915197182806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13.1</v>
      </c>
      <c r="AI47" s="13">
        <f>IF('Données projet'!$A$62&gt;35,AI46+AH47-AQ46,IF(A47&lt;'Données projet'!$A$62,$AF$205^A47,IF(A47='Données projet'!$A$62,'Données projet'!$B$62,AI46+AH47-AQ46)))</f>
        <v>316.39999999999998</v>
      </c>
      <c r="AJ47" s="13">
        <f>AI47*VLOOKUP('Données projet'!$B$10,Paramètres!$A$1:$I$89,3,0)*VLOOKUP('Données projet'!$B$10,Paramètres!$A$1:$I$89,5,0)</f>
        <v>172.75439999999998</v>
      </c>
      <c r="AK47" s="13">
        <f t="shared" si="35"/>
        <v>43.706339319278051</v>
      </c>
      <c r="AL47" s="20">
        <f t="shared" si="4"/>
        <v>377.00245431440914</v>
      </c>
      <c r="AM47" s="59">
        <f t="shared" si="5"/>
        <v>670.33578764774245</v>
      </c>
      <c r="AN47" s="59">
        <f ca="1">AVERAGE(OFFSET($AM$3,0,0,'Données projet'!$E$10+1,1))-AVERAGE(OFFSET($H$3,0,0,'Données projet'!$E$10+1,1))</f>
        <v>248.1486444660062</v>
      </c>
      <c r="AO47" s="59">
        <f t="shared" si="36"/>
        <v>293.34458072322127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6.4552984004543044</v>
      </c>
      <c r="AV47" s="21">
        <f>EXP(-LN(2)/25)*AV46+(1-EXP(-LN(2)/25))/(LN(2)/25)*Calculateur!AQ47*Calculateur!AS47*VLOOKUP('Données projet'!$B$10,Paramètres!$A$1:$I$89,3,0)*0.475*44/12</f>
        <v>23.087872508232842</v>
      </c>
      <c r="AW47" s="21">
        <f>EXP(-LN(2)/2)*AW46+(1-EXP(-LN(2)/2))/(LN(2)/2)*AQ47*AT47*VLOOKUP('Données projet'!$B$10,Paramètres!$A$1:$I$89,3,0)*0.475*44/12</f>
        <v>0.1967377040223926</v>
      </c>
      <c r="AX47" s="21">
        <f t="shared" si="6"/>
        <v>29.739908612709538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11.5</v>
      </c>
      <c r="BD47" s="12">
        <f>IF('Données projet'!$A$88&gt;35,BD46+BC47-BL46,IF(A47&lt;'Données projet'!$A$88,$BA$205^A47,IF(A47='Données projet'!$A$88,'Données projet'!$B$88,BD46+BC47-BL46)))</f>
        <v>280.00000000000011</v>
      </c>
      <c r="BE47" s="13">
        <f>BD47*VLOOKUP('Données projet'!$B$11,Paramètres!$A$1:$I$89,3,0)*VLOOKUP('Données projet'!$B$11,Paramètres!$A$1:$I$89,5,0)</f>
        <v>152.88000000000005</v>
      </c>
      <c r="BF47" s="13">
        <f t="shared" si="37"/>
        <v>39.232349774697852</v>
      </c>
      <c r="BG47" s="20">
        <f t="shared" si="7"/>
        <v>334.59567585759885</v>
      </c>
      <c r="BH47" s="59">
        <f t="shared" si="8"/>
        <v>627.92900919093222</v>
      </c>
      <c r="BI47" s="59">
        <f ca="1">AVERAGE(OFFSET($BH$3,0,0,'Données projet'!$E$11+1,1))-AVERAGE(OFFSET($H$3,0,0,'Données projet'!$E$11+1,1))</f>
        <v>210.04871822652808</v>
      </c>
      <c r="BJ47" s="59">
        <f t="shared" si="38"/>
        <v>250.17540614049324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5.533112914675117</v>
      </c>
      <c r="BQ47" s="21">
        <f>EXP(-LN(2)/25)*BQ46+(1-EXP(-LN(2)/25))/(LN(2)/25)*Calculateur!BL47*Calculateur!BN47*VLOOKUP('Données projet'!$B$11,Paramètres!$A$1:$I$89,3,0)*0.475*44/12</f>
        <v>18.877633242112342</v>
      </c>
      <c r="BR47" s="21">
        <f>EXP(-LN(2)/2)*BR46+(1-EXP(-LN(2)/2))/(LN(2)/2)*BL47*BO47*VLOOKUP('Données projet'!$B$11,Paramètres!$A$1:$I$89,3,0)*0.475*44/12</f>
        <v>0.1683897557605597</v>
      </c>
      <c r="BS47" s="22">
        <f t="shared" si="9"/>
        <v>24.579135912548022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11.538461538461542</v>
      </c>
      <c r="BY47" s="12">
        <f>IF('Données projet'!$A$114&gt;35,BY46+BX47-CG46,IF(A47&lt;'Données projet'!$A$114,$BV$205^A47,IF(A47='Données projet'!$A$114,'Données projet'!$B$114,BY46+BX47-CG46)))</f>
        <v>202.30769230769246</v>
      </c>
      <c r="BZ47" s="13">
        <f>BY47*VLOOKUP('Données projet'!$B$12,Paramètres!$A$1:$I$89,3,0)*VLOOKUP('Données projet'!$B$12,Paramètres!$A$1:$I$89,5,0)</f>
        <v>97.310000000000073</v>
      </c>
      <c r="CA47" s="13">
        <f t="shared" si="39"/>
        <v>26.320128643223345</v>
      </c>
      <c r="CB47" s="20">
        <f t="shared" si="10"/>
        <v>215.32247405361412</v>
      </c>
      <c r="CC47" s="59">
        <f t="shared" si="11"/>
        <v>508.65580738694746</v>
      </c>
      <c r="CD47" s="59">
        <f ca="1">AVERAGE(OFFSET($CC$3,0,0,'Données projet'!$E$12+1,1))-AVERAGE(OFFSET($H$3,0,0,'Données projet'!$E$12+1,1))</f>
        <v>304.15237106473313</v>
      </c>
      <c r="CE47" s="59">
        <f t="shared" si="40"/>
        <v>120.85458928724336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21.625641025641027</v>
      </c>
      <c r="N48" s="13">
        <f>IF('Données projet'!$A$36&gt;35,N47+M48-V47,IF(A48&lt;'Données projet'!$A$36,$K$205^A48,IF(A48='Données projet'!$A$36,'Données projet'!$B$36,N47+M48-V47)))</f>
        <v>460.20769230769213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255.5374979188561</v>
      </c>
      <c r="T48" s="59">
        <f t="shared" si="34"/>
        <v>343.10418468620901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2.2958915255898824</v>
      </c>
      <c r="AA48" s="21">
        <f>EXP(-LN(2)/25)*AA47+(1-EXP(-LN(2)/25))/(LN(2)/25)*Calculateur!V48*Calculateur!X48*VLOOKUP('Données projet'!$B$9,Paramètres!$A$1:$I$89,3,0)*0.475*44/12</f>
        <v>10.529844090186977</v>
      </c>
      <c r="AB48" s="21">
        <f>EXP(-LN(2)/2)*AB47+(1-EXP(-LN(2)/2))/(LN(2)/2)*V48*Y48*VLOOKUP('Données projet'!$B$9,Paramètres!$A$1:$I$89,3,0)*0.475*44/12</f>
        <v>9.3506700279021946E-3</v>
      </c>
      <c r="AC48" s="22">
        <f t="shared" si="3"/>
        <v>12.835086285804762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13.1</v>
      </c>
      <c r="AI48" s="13">
        <f>IF('Données projet'!$A$62&gt;35,AI47+AH48-AQ47,IF(A48&lt;'Données projet'!$A$62,$AF$205^A48,IF(A48='Données projet'!$A$62,'Données projet'!$B$62,AI47+AH48-AQ47)))</f>
        <v>329.5</v>
      </c>
      <c r="AJ48" s="13">
        <f>AI48*VLOOKUP('Données projet'!$B$10,Paramètres!$A$1:$I$89,3,0)*VLOOKUP('Données projet'!$B$10,Paramètres!$A$1:$I$89,5,0)</f>
        <v>179.90699999999998</v>
      </c>
      <c r="AK48" s="13">
        <f t="shared" si="35"/>
        <v>45.301494757695771</v>
      </c>
      <c r="AL48" s="20">
        <f t="shared" si="4"/>
        <v>392.2381283696534</v>
      </c>
      <c r="AM48" s="59">
        <f t="shared" si="5"/>
        <v>685.57146170298665</v>
      </c>
      <c r="AN48" s="59">
        <f ca="1">AVERAGE(OFFSET($AM$3,0,0,'Données projet'!$E$10+1,1))-AVERAGE(OFFSET($H$3,0,0,'Données projet'!$E$10+1,1))</f>
        <v>248.1486444660062</v>
      </c>
      <c r="AO48" s="59">
        <f t="shared" si="36"/>
        <v>293.34458072322127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6.3287139361646396</v>
      </c>
      <c r="AV48" s="21">
        <f>EXP(-LN(2)/25)*AV47+(1-EXP(-LN(2)/25))/(LN(2)/25)*Calculateur!AQ48*Calculateur!AS48*VLOOKUP('Données projet'!$B$10,Paramètres!$A$1:$I$89,3,0)*0.475*44/12</f>
        <v>22.456533420356767</v>
      </c>
      <c r="AW48" s="21">
        <f>EXP(-LN(2)/2)*AW47+(1-EXP(-LN(2)/2))/(LN(2)/2)*AQ48*AT48*VLOOKUP('Données projet'!$B$10,Paramètres!$A$1:$I$89,3,0)*0.475*44/12</f>
        <v>0.13911456462930571</v>
      </c>
      <c r="AX48" s="21">
        <f t="shared" si="6"/>
        <v>28.924361921150712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11.5</v>
      </c>
      <c r="BD48" s="12">
        <f>IF('Données projet'!$A$88&gt;35,BD47+BC48-BL47,IF(A48&lt;'Données projet'!$A$88,$BA$205^A48,IF(A48='Données projet'!$A$88,'Données projet'!$B$88,BD47+BC48-BL47)))</f>
        <v>291.50000000000011</v>
      </c>
      <c r="BE48" s="13">
        <f>BD48*VLOOKUP('Données projet'!$B$11,Paramètres!$A$1:$I$89,3,0)*VLOOKUP('Données projet'!$B$11,Paramètres!$A$1:$I$89,5,0)</f>
        <v>159.15900000000008</v>
      </c>
      <c r="BF48" s="13">
        <f t="shared" si="37"/>
        <v>40.65276736661405</v>
      </c>
      <c r="BG48" s="20">
        <f t="shared" si="7"/>
        <v>348.00549483018625</v>
      </c>
      <c r="BH48" s="59">
        <f t="shared" si="8"/>
        <v>641.33882816351957</v>
      </c>
      <c r="BI48" s="59">
        <f ca="1">AVERAGE(OFFSET($BH$3,0,0,'Données projet'!$E$11+1,1))-AVERAGE(OFFSET($H$3,0,0,'Données projet'!$E$11+1,1))</f>
        <v>210.04871822652808</v>
      </c>
      <c r="BJ48" s="59">
        <f t="shared" si="38"/>
        <v>250.17540614049324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5.4246119452839761</v>
      </c>
      <c r="BQ48" s="21">
        <f>EXP(-LN(2)/25)*BQ47+(1-EXP(-LN(2)/25))/(LN(2)/25)*Calculateur!BL48*Calculateur!BN48*VLOOKUP('Données projet'!$B$11,Paramètres!$A$1:$I$89,3,0)*0.475*44/12</f>
        <v>18.361423368375192</v>
      </c>
      <c r="BR48" s="21">
        <f>EXP(-LN(2)/2)*BR47+(1-EXP(-LN(2)/2))/(LN(2)/2)*BL48*BO48*VLOOKUP('Données projet'!$B$11,Paramètres!$A$1:$I$89,3,0)*0.475*44/12</f>
        <v>0.11906953818063827</v>
      </c>
      <c r="BS48" s="22">
        <f t="shared" si="9"/>
        <v>23.905104851839809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11.538461538461542</v>
      </c>
      <c r="BY48" s="12">
        <f>IF('Données projet'!$A$114&gt;35,BY47+BX48-CG47,IF(A48&lt;'Données projet'!$A$114,$BV$205^A48,IF(A48='Données projet'!$A$114,'Données projet'!$B$114,BY47+BX48-CG47)))</f>
        <v>213.84615384615401</v>
      </c>
      <c r="BZ48" s="13">
        <f>BY48*VLOOKUP('Données projet'!$B$12,Paramètres!$A$1:$I$89,3,0)*VLOOKUP('Données projet'!$B$12,Paramètres!$A$1:$I$89,5,0)</f>
        <v>102.86000000000007</v>
      </c>
      <c r="CA48" s="13">
        <f t="shared" si="39"/>
        <v>27.642230871054956</v>
      </c>
      <c r="CB48" s="20">
        <f t="shared" si="10"/>
        <v>227.29138543375416</v>
      </c>
      <c r="CC48" s="59">
        <f t="shared" si="11"/>
        <v>520.62471876708742</v>
      </c>
      <c r="CD48" s="59">
        <f ca="1">AVERAGE(OFFSET($CC$3,0,0,'Données projet'!$E$12+1,1))-AVERAGE(OFFSET($H$3,0,0,'Données projet'!$E$12+1,1))</f>
        <v>304.15237106473313</v>
      </c>
      <c r="CE48" s="59">
        <f t="shared" si="40"/>
        <v>120.85458928724336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21.625641025641027</v>
      </c>
      <c r="N49" s="13">
        <f>IF('Données projet'!$A$36&gt;35,N48+M49-V48,IF(A49&lt;'Données projet'!$A$36,$K$205^A49,IF(A49='Données projet'!$A$36,'Données projet'!$B$36,N48+M49-V48)))</f>
        <v>481.83333333333314</v>
      </c>
      <c r="O49" s="13">
        <f>N49*VLOOKUP('Données projet'!$B$9,Paramètres!$A$1:$I$89,3,0)*VLOOKUP('Données projet'!$B$9,Paramètres!$A$1:$I$89,5,0)</f>
        <v>269.34483333333321</v>
      </c>
      <c r="P49" s="13">
        <f t="shared" si="33"/>
        <v>64.710206731812519</v>
      </c>
      <c r="Q49" s="20">
        <f t="shared" si="53"/>
        <v>581.81252811346212</v>
      </c>
      <c r="R49" s="59">
        <f t="shared" si="0"/>
        <v>875.14586144679538</v>
      </c>
      <c r="S49" s="59">
        <f ca="1">AVERAGE(OFFSET($R$3,0,0,'Données projet'!$E$9+1,1))-AVERAGE(OFFSET($H$3,0,0,'Données projet'!$E$9+1,1))</f>
        <v>255.5374979188561</v>
      </c>
      <c r="T49" s="59">
        <f t="shared" si="34"/>
        <v>343.10418468620901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2.2508704931286219</v>
      </c>
      <c r="AA49" s="21">
        <f>EXP(-LN(2)/25)*AA48+(1-EXP(-LN(2)/25))/(LN(2)/25)*Calculateur!V49*Calculateur!X49*VLOOKUP('Données projet'!$B$9,Paramètres!$A$1:$I$89,3,0)*0.475*44/12</f>
        <v>10.241904949800379</v>
      </c>
      <c r="AB49" s="21">
        <f>EXP(-LN(2)/2)*AB48+(1-EXP(-LN(2)/2))/(LN(2)/2)*V49*Y49*VLOOKUP('Données projet'!$B$9,Paramètres!$A$1:$I$89,3,0)*0.475*44/12</f>
        <v>6.6119221853674455E-3</v>
      </c>
      <c r="AC49" s="22">
        <f t="shared" si="3"/>
        <v>12.499387365114368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13.1</v>
      </c>
      <c r="AI49" s="13">
        <f>IF('Données projet'!$A$62&gt;35,AI48+AH49-AQ48,IF(A49&lt;'Données projet'!$A$62,$AF$205^A49,IF(A49='Données projet'!$A$62,'Données projet'!$B$62,AI48+AH49-AQ48)))</f>
        <v>342.6</v>
      </c>
      <c r="AJ49" s="13">
        <f>AI49*VLOOKUP('Données projet'!$B$10,Paramètres!$A$1:$I$89,3,0)*VLOOKUP('Données projet'!$B$10,Paramètres!$A$1:$I$89,5,0)</f>
        <v>187.05959999999999</v>
      </c>
      <c r="AK49" s="13">
        <f t="shared" si="35"/>
        <v>46.889283237928609</v>
      </c>
      <c r="AL49" s="20">
        <f t="shared" si="4"/>
        <v>407.46097163939231</v>
      </c>
      <c r="AM49" s="59">
        <f t="shared" si="5"/>
        <v>700.79430497272563</v>
      </c>
      <c r="AN49" s="59">
        <f ca="1">AVERAGE(OFFSET($AM$3,0,0,'Données projet'!$E$10+1,1))-AVERAGE(OFFSET($H$3,0,0,'Données projet'!$E$10+1,1))</f>
        <v>248.1486444660062</v>
      </c>
      <c r="AO49" s="59">
        <f t="shared" si="36"/>
        <v>293.34458072322127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6.2046117160107954</v>
      </c>
      <c r="AV49" s="21">
        <f>EXP(-LN(2)/25)*AV48+(1-EXP(-LN(2)/25))/(LN(2)/25)*Calculateur!AQ49*Calculateur!AS49*VLOOKUP('Données projet'!$B$10,Paramètres!$A$1:$I$89,3,0)*0.475*44/12</f>
        <v>21.842458333039342</v>
      </c>
      <c r="AW49" s="21">
        <f>EXP(-LN(2)/2)*AW48+(1-EXP(-LN(2)/2))/(LN(2)/2)*AQ49*AT49*VLOOKUP('Données projet'!$B$10,Paramètres!$A$1:$I$89,3,0)*0.475*44/12</f>
        <v>9.8368852011196301E-2</v>
      </c>
      <c r="AX49" s="21">
        <f t="shared" si="6"/>
        <v>28.145438901061333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11.5</v>
      </c>
      <c r="BD49" s="12">
        <f>IF('Données projet'!$A$88&gt;35,BD48+BC49-BL48,IF(A49&lt;'Données projet'!$A$88,$BA$205^A49,IF(A49='Données projet'!$A$88,'Données projet'!$B$88,BD48+BC49-BL48)))</f>
        <v>303.00000000000011</v>
      </c>
      <c r="BE49" s="13">
        <f>BD49*VLOOKUP('Données projet'!$B$11,Paramètres!$A$1:$I$89,3,0)*VLOOKUP('Données projet'!$B$11,Paramètres!$A$1:$I$89,5,0)</f>
        <v>165.43800000000007</v>
      </c>
      <c r="BF49" s="13">
        <f t="shared" si="37"/>
        <v>42.066675415215805</v>
      </c>
      <c r="BG49" s="20">
        <f t="shared" si="7"/>
        <v>361.40397634816759</v>
      </c>
      <c r="BH49" s="59">
        <f t="shared" si="8"/>
        <v>654.73730968150085</v>
      </c>
      <c r="BI49" s="59">
        <f ca="1">AVERAGE(OFFSET($BH$3,0,0,'Données projet'!$E$11+1,1))-AVERAGE(OFFSET($H$3,0,0,'Données projet'!$E$11+1,1))</f>
        <v>210.04871822652808</v>
      </c>
      <c r="BJ49" s="59">
        <f t="shared" si="38"/>
        <v>250.17540614049324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5.3182386137235387</v>
      </c>
      <c r="BQ49" s="21">
        <f>EXP(-LN(2)/25)*BQ48+(1-EXP(-LN(2)/25))/(LN(2)/25)*Calculateur!BL49*Calculateur!BN49*VLOOKUP('Données projet'!$B$11,Paramètres!$A$1:$I$89,3,0)*0.475*44/12</f>
        <v>17.859329280781683</v>
      </c>
      <c r="BR49" s="21">
        <f>EXP(-LN(2)/2)*BR48+(1-EXP(-LN(2)/2))/(LN(2)/2)*BL49*BO49*VLOOKUP('Données projet'!$B$11,Paramètres!$A$1:$I$89,3,0)*0.475*44/12</f>
        <v>8.4194877880279864E-2</v>
      </c>
      <c r="BS49" s="22">
        <f t="shared" si="9"/>
        <v>23.261762772385502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11.538461538461542</v>
      </c>
      <c r="BY49" s="12">
        <f>IF('Données projet'!$A$114&gt;35,BY48+BX49-CG48,IF(A49&lt;'Données projet'!$A$114,$BV$205^A49,IF(A49='Données projet'!$A$114,'Données projet'!$B$114,BY48+BX49-CG48)))</f>
        <v>225.38461538461556</v>
      </c>
      <c r="BZ49" s="13">
        <f>BY49*VLOOKUP('Données projet'!$B$12,Paramètres!$A$1:$I$89,3,0)*VLOOKUP('Données projet'!$B$12,Paramètres!$A$1:$I$89,5,0)</f>
        <v>108.41000000000008</v>
      </c>
      <c r="CA49" s="13">
        <f t="shared" si="39"/>
        <v>28.956051314998437</v>
      </c>
      <c r="CB49" s="20">
        <f t="shared" si="10"/>
        <v>239.24587270695574</v>
      </c>
      <c r="CC49" s="59">
        <f t="shared" si="11"/>
        <v>532.57920604028902</v>
      </c>
      <c r="CD49" s="59">
        <f ca="1">AVERAGE(OFFSET($CC$3,0,0,'Données projet'!$E$12+1,1))-AVERAGE(OFFSET($H$3,0,0,'Données projet'!$E$12+1,1))</f>
        <v>304.15237106473313</v>
      </c>
      <c r="CE49" s="59">
        <f t="shared" si="40"/>
        <v>120.85458928724336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21.625641025641027</v>
      </c>
      <c r="N50" s="13">
        <f>IF('Données projet'!$A$36&gt;35,N49+M50-V49,IF(A50&lt;'Données projet'!$A$36,$K$205^A50,IF(A50='Données projet'!$A$36,'Données projet'!$B$36,N49+M50-V49)))</f>
        <v>503.45897435897416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255.5374979188561</v>
      </c>
      <c r="T50" s="59">
        <f t="shared" si="34"/>
        <v>343.10418468620901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2.2067322956538082</v>
      </c>
      <c r="AA50" s="21">
        <f>EXP(-LN(2)/25)*AA49+(1-EXP(-LN(2)/25))/(LN(2)/25)*Calculateur!V50*Calculateur!X50*VLOOKUP('Données projet'!$B$9,Paramètres!$A$1:$I$89,3,0)*0.475*44/12</f>
        <v>9.9618395203497148</v>
      </c>
      <c r="AB50" s="21">
        <f>EXP(-LN(2)/2)*AB49+(1-EXP(-LN(2)/2))/(LN(2)/2)*V50*Y50*VLOOKUP('Données projet'!$B$9,Paramètres!$A$1:$I$89,3,0)*0.475*44/12</f>
        <v>4.6753350139510973E-3</v>
      </c>
      <c r="AC50" s="22">
        <f t="shared" si="3"/>
        <v>12.173247151017474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13.1</v>
      </c>
      <c r="AI50" s="13">
        <f>IF('Données projet'!$A$62&gt;35,AI49+AH50-AQ49,IF(A50&lt;'Données projet'!$A$62,$AF$205^A50,IF(A50='Données projet'!$A$62,'Données projet'!$B$62,AI49+AH50-AQ49)))</f>
        <v>355.70000000000005</v>
      </c>
      <c r="AJ50" s="13">
        <f>AI50*VLOOKUP('Données projet'!$B$10,Paramètres!$A$1:$I$89,3,0)*VLOOKUP('Données projet'!$B$10,Paramètres!$A$1:$I$89,5,0)</f>
        <v>194.21220000000002</v>
      </c>
      <c r="AK50" s="13">
        <f t="shared" si="35"/>
        <v>48.470018696162889</v>
      </c>
      <c r="AL50" s="20">
        <f t="shared" si="4"/>
        <v>422.67153089581711</v>
      </c>
      <c r="AM50" s="59">
        <f t="shared" si="5"/>
        <v>716.00486422915037</v>
      </c>
      <c r="AN50" s="59">
        <f ca="1">AVERAGE(OFFSET($AM$3,0,0,'Données projet'!$E$10+1,1))-AVERAGE(OFFSET($H$3,0,0,'Données projet'!$E$10+1,1))</f>
        <v>248.1486444660062</v>
      </c>
      <c r="AO50" s="59">
        <f t="shared" si="36"/>
        <v>293.34458072322127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6.0829430646992879</v>
      </c>
      <c r="AV50" s="21">
        <f>EXP(-LN(2)/25)*AV49+(1-EXP(-LN(2)/25))/(LN(2)/25)*Calculateur!AQ50*Calculateur!AS50*VLOOKUP('Données projet'!$B$10,Paramètres!$A$1:$I$89,3,0)*0.475*44/12</f>
        <v>21.24517516127742</v>
      </c>
      <c r="AW50" s="21">
        <f>EXP(-LN(2)/2)*AW49+(1-EXP(-LN(2)/2))/(LN(2)/2)*AQ50*AT50*VLOOKUP('Données projet'!$B$10,Paramètres!$A$1:$I$89,3,0)*0.475*44/12</f>
        <v>6.9557282314652857E-2</v>
      </c>
      <c r="AX50" s="21">
        <f t="shared" si="6"/>
        <v>27.397675508291361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11.5</v>
      </c>
      <c r="BD50" s="12">
        <f>IF('Données projet'!$A$88&gt;35,BD49+BC50-BL49,IF(A50&lt;'Données projet'!$A$88,$BA$205^A50,IF(A50='Données projet'!$A$88,'Données projet'!$B$88,BD49+BC50-BL49)))</f>
        <v>314.50000000000011</v>
      </c>
      <c r="BE50" s="13">
        <f>BD50*VLOOKUP('Données projet'!$B$11,Paramètres!$A$1:$I$89,3,0)*VLOOKUP('Données projet'!$B$11,Paramètres!$A$1:$I$89,5,0)</f>
        <v>171.71700000000004</v>
      </c>
      <c r="BF50" s="13">
        <f t="shared" si="37"/>
        <v>43.474349266591211</v>
      </c>
      <c r="BG50" s="20">
        <f t="shared" si="7"/>
        <v>374.79159997264645</v>
      </c>
      <c r="BH50" s="59">
        <f t="shared" si="8"/>
        <v>668.12493330597977</v>
      </c>
      <c r="BI50" s="59">
        <f ca="1">AVERAGE(OFFSET($BH$3,0,0,'Données projet'!$E$11+1,1))-AVERAGE(OFFSET($H$3,0,0,'Données projet'!$E$11+1,1))</f>
        <v>210.04871822652808</v>
      </c>
      <c r="BJ50" s="59">
        <f t="shared" si="38"/>
        <v>250.17540614049324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5.2139511983136755</v>
      </c>
      <c r="BQ50" s="21">
        <f>EXP(-LN(2)/25)*BQ49+(1-EXP(-LN(2)/25))/(LN(2)/25)*Calculateur!BL50*Calculateur!BN50*VLOOKUP('Données projet'!$B$11,Paramètres!$A$1:$I$89,3,0)*0.475*44/12</f>
        <v>17.370964982417398</v>
      </c>
      <c r="BR50" s="21">
        <f>EXP(-LN(2)/2)*BR49+(1-EXP(-LN(2)/2))/(LN(2)/2)*BL50*BO50*VLOOKUP('Données projet'!$B$11,Paramètres!$A$1:$I$89,3,0)*0.475*44/12</f>
        <v>5.9534769090319149E-2</v>
      </c>
      <c r="BS50" s="22">
        <f t="shared" si="9"/>
        <v>22.644450949821394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11.538461538461542</v>
      </c>
      <c r="BY50" s="12">
        <f>IF('Données projet'!$A$114&gt;35,BY49+BX50-CG49,IF(A50&lt;'Données projet'!$A$114,$BV$205^A50,IF(A50='Données projet'!$A$114,'Données projet'!$B$114,BY49+BX50-CG49)))</f>
        <v>236.9230769230771</v>
      </c>
      <c r="BZ50" s="13">
        <f>BY50*VLOOKUP('Données projet'!$B$12,Paramètres!$A$1:$I$89,3,0)*VLOOKUP('Données projet'!$B$12,Paramètres!$A$1:$I$89,5,0)</f>
        <v>113.96000000000009</v>
      </c>
      <c r="CA50" s="13">
        <f t="shared" si="39"/>
        <v>30.262062324030754</v>
      </c>
      <c r="CB50" s="20">
        <f t="shared" si="10"/>
        <v>251.18675854768705</v>
      </c>
      <c r="CC50" s="59">
        <f t="shared" si="11"/>
        <v>544.52009188102033</v>
      </c>
      <c r="CD50" s="59">
        <f ca="1">AVERAGE(OFFSET($CC$3,0,0,'Données projet'!$E$12+1,1))-AVERAGE(OFFSET($H$3,0,0,'Données projet'!$E$12+1,1))</f>
        <v>304.15237106473313</v>
      </c>
      <c r="CE50" s="59">
        <f t="shared" si="40"/>
        <v>120.85458928724336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21.625641025641027</v>
      </c>
      <c r="M51" s="12">
        <f t="array" ref="M51">INDEX(L:L,MIN(IF(ISNUMBER(L51:L247),ROW(L51:L247),"")))</f>
        <v>21.625641025641027</v>
      </c>
      <c r="N51" s="13">
        <f>IF('Données projet'!$A$36&gt;35,N50+M51-V50,IF(A51&lt;'Données projet'!$A$36,$K$205^A51,IF(A51='Données projet'!$A$36,'Données projet'!$B$36,N50+M51-V50)))</f>
        <v>525.08461538461518</v>
      </c>
      <c r="O51" s="13">
        <f>N51*VLOOKUP('Données projet'!$B$9,Paramètres!$A$1:$I$89,3,0)*VLOOKUP('Données projet'!$B$9,Paramètres!$A$1:$I$89,5,0)</f>
        <v>293.52229999999986</v>
      </c>
      <c r="P51" s="13">
        <f t="shared" si="33"/>
        <v>69.816768342057628</v>
      </c>
      <c r="Q51" s="20">
        <f t="shared" si="53"/>
        <v>632.81554402908341</v>
      </c>
      <c r="R51" s="59">
        <f t="shared" si="0"/>
        <v>926.14887736241667</v>
      </c>
      <c r="S51" s="59">
        <f ca="1">AVERAGE(OFFSET($R$3,0,0,'Données projet'!$E$9+1,1))-AVERAGE(OFFSET($H$3,0,0,'Données projet'!$E$9+1,1))</f>
        <v>255.5374979188561</v>
      </c>
      <c r="T51" s="59">
        <f t="shared" si="34"/>
        <v>343.10418468620901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2.1634596213098334</v>
      </c>
      <c r="AA51" s="21">
        <f>EXP(-LN(2)/25)*AA50+(1-EXP(-LN(2)/25))/(LN(2)/25)*Calculateur!V51*Calculateur!X51*VLOOKUP('Données projet'!$B$9,Paramètres!$A$1:$I$89,3,0)*0.475*44/12</f>
        <v>9.6894324947953798</v>
      </c>
      <c r="AB51" s="21">
        <f>EXP(-LN(2)/2)*AB50+(1-EXP(-LN(2)/2))/(LN(2)/2)*V51*Y51*VLOOKUP('Données projet'!$B$9,Paramètres!$A$1:$I$89,3,0)*0.475*44/12</f>
        <v>3.3059610926837227E-3</v>
      </c>
      <c r="AC51" s="22">
        <f t="shared" si="3"/>
        <v>11.856198077197897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13.1</v>
      </c>
      <c r="AI51" s="13">
        <f>IF('Données projet'!$A$62&gt;35,AI50+AH51-AQ50,IF(A51&lt;'Données projet'!$A$62,$AF$205^A51,IF(A51='Données projet'!$A$62,'Données projet'!$B$62,AI50+AH51-AQ50)))</f>
        <v>368.80000000000007</v>
      </c>
      <c r="AJ51" s="13">
        <f>AI51*VLOOKUP('Données projet'!$B$10,Paramètres!$A$1:$I$89,3,0)*VLOOKUP('Données projet'!$B$10,Paramètres!$A$1:$I$89,5,0)</f>
        <v>201.36480000000003</v>
      </c>
      <c r="AK51" s="13">
        <f t="shared" si="35"/>
        <v>50.04399063451806</v>
      </c>
      <c r="AL51" s="20">
        <f t="shared" si="4"/>
        <v>437.87031035511899</v>
      </c>
      <c r="AM51" s="59">
        <f t="shared" si="5"/>
        <v>731.2036436884523</v>
      </c>
      <c r="AN51" s="59">
        <f ca="1">AVERAGE(OFFSET($AM$3,0,0,'Données projet'!$E$10+1,1))-AVERAGE(OFFSET($H$3,0,0,'Données projet'!$E$10+1,1))</f>
        <v>248.1486444660062</v>
      </c>
      <c r="AO51" s="59">
        <f t="shared" si="36"/>
        <v>293.34458072322127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5.9636602614294496</v>
      </c>
      <c r="AV51" s="21">
        <f>EXP(-LN(2)/25)*AV50+(1-EXP(-LN(2)/25))/(LN(2)/25)*Calculateur!AQ51*Calculateur!AS51*VLOOKUP('Données projet'!$B$10,Paramètres!$A$1:$I$89,3,0)*0.475*44/12</f>
        <v>20.664224729257082</v>
      </c>
      <c r="AW51" s="21">
        <f>EXP(-LN(2)/2)*AW50+(1-EXP(-LN(2)/2))/(LN(2)/2)*AQ51*AT51*VLOOKUP('Données projet'!$B$10,Paramètres!$A$1:$I$89,3,0)*0.475*44/12</f>
        <v>4.918442600559815E-2</v>
      </c>
      <c r="AX51" s="21">
        <f t="shared" si="6"/>
        <v>26.677069416692131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11.5</v>
      </c>
      <c r="BD51" s="12">
        <f>IF('Données projet'!$A$88&gt;35,BD50+BC51-BL50,IF(A51&lt;'Données projet'!$A$88,$BA$205^A51,IF(A51='Données projet'!$A$88,'Données projet'!$B$88,BD50+BC51-BL50)))</f>
        <v>326.00000000000011</v>
      </c>
      <c r="BE51" s="13">
        <f>BD51*VLOOKUP('Données projet'!$B$11,Paramètres!$A$1:$I$89,3,0)*VLOOKUP('Données projet'!$B$11,Paramètres!$A$1:$I$89,5,0)</f>
        <v>177.99600000000007</v>
      </c>
      <c r="BF51" s="13">
        <f t="shared" si="37"/>
        <v>44.876042989096391</v>
      </c>
      <c r="BG51" s="20">
        <f t="shared" si="7"/>
        <v>388.1688082060096</v>
      </c>
      <c r="BH51" s="59">
        <f t="shared" si="8"/>
        <v>681.50214153934292</v>
      </c>
      <c r="BI51" s="59">
        <f ca="1">AVERAGE(OFFSET($BH$3,0,0,'Données projet'!$E$11+1,1))-AVERAGE(OFFSET($H$3,0,0,'Données projet'!$E$11+1,1))</f>
        <v>210.04871822652808</v>
      </c>
      <c r="BJ51" s="59">
        <f t="shared" si="38"/>
        <v>250.17540614049324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5.1117087955109568</v>
      </c>
      <c r="BQ51" s="21">
        <f>EXP(-LN(2)/25)*BQ50+(1-EXP(-LN(2)/25))/(LN(2)/25)*Calculateur!BL51*Calculateur!BN51*VLOOKUP('Données projet'!$B$11,Paramètres!$A$1:$I$89,3,0)*0.475*44/12</f>
        <v>16.895955031473846</v>
      </c>
      <c r="BR51" s="21">
        <f>EXP(-LN(2)/2)*BR50+(1-EXP(-LN(2)/2))/(LN(2)/2)*BL51*BO51*VLOOKUP('Données projet'!$B$11,Paramètres!$A$1:$I$89,3,0)*0.475*44/12</f>
        <v>4.2097438940139939E-2</v>
      </c>
      <c r="BS51" s="22">
        <f t="shared" si="9"/>
        <v>22.049761265924943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11.538461538461542</v>
      </c>
      <c r="BY51" s="12">
        <f>IF('Données projet'!$A$114&gt;35,BY50+BX51-CG50,IF(A51&lt;'Données projet'!$A$114,$BV$205^A51,IF(A51='Données projet'!$A$114,'Données projet'!$B$114,BY50+BX51-CG50)))</f>
        <v>248.46153846153865</v>
      </c>
      <c r="BZ51" s="13">
        <f>BY51*VLOOKUP('Données projet'!$B$12,Paramètres!$A$1:$I$89,3,0)*VLOOKUP('Données projet'!$B$12,Paramètres!$A$1:$I$89,5,0)</f>
        <v>119.51000000000009</v>
      </c>
      <c r="CA51" s="13">
        <f t="shared" si="39"/>
        <v>31.560687639776486</v>
      </c>
      <c r="CB51" s="20">
        <f t="shared" si="10"/>
        <v>263.11478097261084</v>
      </c>
      <c r="CC51" s="59">
        <f t="shared" si="11"/>
        <v>556.44811430594416</v>
      </c>
      <c r="CD51" s="59">
        <f ca="1">AVERAGE(OFFSET($CC$3,0,0,'Données projet'!$E$12+1,1))-AVERAGE(OFFSET($H$3,0,0,'Données projet'!$E$12+1,1))</f>
        <v>304.15237106473313</v>
      </c>
      <c r="CE51" s="59">
        <f t="shared" si="40"/>
        <v>120.85458928724336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464.26153846153824</v>
      </c>
      <c r="O52" s="13">
        <f>N52*VLOOKUP('Données projet'!$B$9,Paramètres!$A$1:$I$89,3,0)*VLOOKUP('Données projet'!$B$9,Paramètres!$A$1:$I$89,5,0)</f>
        <v>259.52219999999988</v>
      </c>
      <c r="P52" s="13">
        <f t="shared" si="33"/>
        <v>62.620519404058868</v>
      </c>
      <c r="Q52" s="20">
        <f t="shared" si="53"/>
        <v>561.06523629540231</v>
      </c>
      <c r="R52" s="59">
        <f t="shared" si="0"/>
        <v>854.39856962873569</v>
      </c>
      <c r="S52" s="59">
        <f ca="1">AVERAGE(OFFSET($R$3,0,0,'Données projet'!$E$9+1,1))-AVERAGE(OFFSET($H$3,0,0,'Données projet'!$E$9+1,1))</f>
        <v>255.5374979188561</v>
      </c>
      <c r="T52" s="59">
        <f t="shared" si="34"/>
        <v>343.10418468620901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2.1210354977160186</v>
      </c>
      <c r="AA52" s="21">
        <f>EXP(-LN(2)/25)*AA51+(1-EXP(-LN(2)/25))/(LN(2)/25)*Calculateur!V52*Calculateur!X52*VLOOKUP('Données projet'!$B$9,Paramètres!$A$1:$I$89,3,0)*0.475*44/12</f>
        <v>9.4244744536800908</v>
      </c>
      <c r="AB52" s="21">
        <f>EXP(-LN(2)/2)*AB51+(1-EXP(-LN(2)/2))/(LN(2)/2)*V52*Y52*VLOOKUP('Données projet'!$B$9,Paramètres!$A$1:$I$89,3,0)*0.475*44/12</f>
        <v>2.3376675069755487E-3</v>
      </c>
      <c r="AC52" s="22">
        <f t="shared" si="3"/>
        <v>11.547847618903084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13.1</v>
      </c>
      <c r="AI52" s="13">
        <f>IF('Données projet'!$A$62&gt;35,AI51+AH52-AQ51,IF(A52&lt;'Données projet'!$A$62,$AF$205^A52,IF(A52='Données projet'!$A$62,'Données projet'!$B$62,AI51+AH52-AQ51)))</f>
        <v>381.90000000000009</v>
      </c>
      <c r="AJ52" s="13">
        <f>AI52*VLOOKUP('Données projet'!$B$10,Paramètres!$A$1:$I$89,3,0)*VLOOKUP('Données projet'!$B$10,Paramètres!$A$1:$I$89,5,0)</f>
        <v>208.51740000000004</v>
      </c>
      <c r="AK52" s="13">
        <f t="shared" si="35"/>
        <v>51.611466822557574</v>
      </c>
      <c r="AL52" s="20">
        <f t="shared" si="4"/>
        <v>453.05777638262111</v>
      </c>
      <c r="AM52" s="59">
        <f t="shared" si="5"/>
        <v>746.39110971595437</v>
      </c>
      <c r="AN52" s="59">
        <f ca="1">AVERAGE(OFFSET($AM$3,0,0,'Données projet'!$E$10+1,1))-AVERAGE(OFFSET($H$3,0,0,'Données projet'!$E$10+1,1))</f>
        <v>248.1486444660062</v>
      </c>
      <c r="AO52" s="59">
        <f t="shared" si="36"/>
        <v>293.34458072322127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5.8467165211764067</v>
      </c>
      <c r="AV52" s="21">
        <f>EXP(-LN(2)/25)*AV51+(1-EXP(-LN(2)/25))/(LN(2)/25)*Calculateur!AQ52*Calculateur!AS52*VLOOKUP('Données projet'!$B$10,Paramètres!$A$1:$I$89,3,0)*0.475*44/12</f>
        <v>20.099160417351197</v>
      </c>
      <c r="AW52" s="21">
        <f>EXP(-LN(2)/2)*AW51+(1-EXP(-LN(2)/2))/(LN(2)/2)*AQ52*AT52*VLOOKUP('Données projet'!$B$10,Paramètres!$A$1:$I$89,3,0)*0.475*44/12</f>
        <v>3.4778641157326429E-2</v>
      </c>
      <c r="AX52" s="21">
        <f t="shared" si="6"/>
        <v>25.980655579684932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11.5</v>
      </c>
      <c r="BD52" s="12">
        <f>IF('Données projet'!$A$88&gt;35,BD51+BC52-BL51,IF(A52&lt;'Données projet'!$A$88,$BA$205^A52,IF(A52='Données projet'!$A$88,'Données projet'!$B$88,BD51+BC52-BL51)))</f>
        <v>337.50000000000011</v>
      </c>
      <c r="BE52" s="13">
        <f>BD52*VLOOKUP('Données projet'!$B$11,Paramètres!$A$1:$I$89,3,0)*VLOOKUP('Données projet'!$B$11,Paramètres!$A$1:$I$89,5,0)</f>
        <v>184.27500000000003</v>
      </c>
      <c r="BF52" s="13">
        <f t="shared" si="37"/>
        <v>46.27199170970021</v>
      </c>
      <c r="BG52" s="20">
        <f t="shared" si="7"/>
        <v>401.53601056106123</v>
      </c>
      <c r="BH52" s="59">
        <f t="shared" si="8"/>
        <v>694.86934389439455</v>
      </c>
      <c r="BI52" s="59">
        <f ca="1">AVERAGE(OFFSET($BH$3,0,0,'Données projet'!$E$11+1,1))-AVERAGE(OFFSET($H$3,0,0,'Données projet'!$E$11+1,1))</f>
        <v>210.04871822652808</v>
      </c>
      <c r="BJ52" s="59">
        <f t="shared" si="38"/>
        <v>250.17540614049324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5.0114713038654912</v>
      </c>
      <c r="BQ52" s="21">
        <f>EXP(-LN(2)/25)*BQ51+(1-EXP(-LN(2)/25))/(LN(2)/25)*Calculateur!BL52*Calculateur!BN52*VLOOKUP('Données projet'!$B$11,Paramètres!$A$1:$I$89,3,0)*0.475*44/12</f>
        <v>16.433934252618535</v>
      </c>
      <c r="BR52" s="21">
        <f>EXP(-LN(2)/2)*BR51+(1-EXP(-LN(2)/2))/(LN(2)/2)*BL52*BO52*VLOOKUP('Données projet'!$B$11,Paramètres!$A$1:$I$89,3,0)*0.475*44/12</f>
        <v>2.9767384545159578E-2</v>
      </c>
      <c r="BS52" s="22">
        <f t="shared" si="9"/>
        <v>21.475172941029186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11.538461538461542</v>
      </c>
      <c r="BY52" s="12">
        <f>IF('Données projet'!$A$114&gt;35,BY51+BX52-CG51,IF(A52&lt;'Données projet'!$A$114,$BV$205^A52,IF(A52='Données projet'!$A$114,'Données projet'!$B$114,BY51+BX52-CG51)))</f>
        <v>260.00000000000017</v>
      </c>
      <c r="BZ52" s="13">
        <f>BY52*VLOOKUP('Données projet'!$B$12,Paramètres!$A$1:$I$89,3,0)*VLOOKUP('Données projet'!$B$12,Paramètres!$A$1:$I$89,5,0)</f>
        <v>125.06000000000009</v>
      </c>
      <c r="CA52" s="13">
        <f t="shared" si="39"/>
        <v>32.852309422756733</v>
      </c>
      <c r="CB52" s="20">
        <f t="shared" si="10"/>
        <v>275.03060557796812</v>
      </c>
      <c r="CC52" s="59">
        <f t="shared" si="11"/>
        <v>568.36393891130137</v>
      </c>
      <c r="CD52" s="59">
        <f ca="1">AVERAGE(OFFSET($CC$3,0,0,'Données projet'!$E$12+1,1))-AVERAGE(OFFSET($H$3,0,0,'Données projet'!$E$12+1,1))</f>
        <v>304.15237106473313</v>
      </c>
      <c r="CE52" s="59">
        <f t="shared" si="40"/>
        <v>120.85458928724336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484.76923076923055</v>
      </c>
      <c r="O53" s="13">
        <f>N53*VLOOKUP('Données projet'!$B$9,Paramètres!$A$1:$I$89,3,0)*VLOOKUP('Données projet'!$B$9,Paramètres!$A$1:$I$89,5,0)</f>
        <v>270.98599999999988</v>
      </c>
      <c r="P53" s="13">
        <f t="shared" si="33"/>
        <v>65.058478958733772</v>
      </c>
      <c r="Q53" s="20">
        <f t="shared" si="53"/>
        <v>585.27746751979441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255.5374979188561</v>
      </c>
      <c r="T53" s="59">
        <f t="shared" si="34"/>
        <v>343.10418468620901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2.0794432853097184</v>
      </c>
      <c r="AA53" s="21">
        <f>EXP(-LN(2)/25)*AA52+(1-EXP(-LN(2)/25))/(LN(2)/25)*Calculateur!V53*Calculateur!X53*VLOOKUP('Données projet'!$B$9,Paramètres!$A$1:$I$89,3,0)*0.475*44/12</f>
        <v>9.1667617041326377</v>
      </c>
      <c r="AB53" s="21">
        <f>EXP(-LN(2)/2)*AB52+(1-EXP(-LN(2)/2))/(LN(2)/2)*V53*Y53*VLOOKUP('Données projet'!$B$9,Paramètres!$A$1:$I$89,3,0)*0.475*44/12</f>
        <v>1.6529805463418614E-3</v>
      </c>
      <c r="AC53" s="22">
        <f t="shared" si="3"/>
        <v>11.247857969988697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395</v>
      </c>
      <c r="AG53" s="12">
        <f>VLOOKUP(A53,'Données projet'!$A$61:$I$81,9,0)</f>
        <v>13.1</v>
      </c>
      <c r="AH53" s="12">
        <f t="array" ref="AH53">INDEX(AG:AG,MIN(IF(ISNUMBER(AG53:AG249),ROW(AG53:AG249),"")))</f>
        <v>13.1</v>
      </c>
      <c r="AI53" s="13">
        <f>IF('Données projet'!$A$62&gt;35,AI52+AH53-AQ52,IF(A53&lt;'Données projet'!$A$62,$AF$205^A53,IF(A53='Données projet'!$A$62,'Données projet'!$B$62,AI52+AH53-AQ52)))</f>
        <v>395.00000000000011</v>
      </c>
      <c r="AJ53" s="13">
        <f>AI53*VLOOKUP('Données projet'!$B$10,Paramètres!$A$1:$I$89,3,0)*VLOOKUP('Données projet'!$B$10,Paramètres!$A$1:$I$89,5,0)</f>
        <v>215.67000000000004</v>
      </c>
      <c r="AK53" s="13">
        <f t="shared" si="35"/>
        <v>53.17269561771495</v>
      </c>
      <c r="AL53" s="20">
        <f t="shared" si="4"/>
        <v>468.23436153418692</v>
      </c>
      <c r="AM53" s="59">
        <f t="shared" si="5"/>
        <v>761.56769486752023</v>
      </c>
      <c r="AN53" s="59">
        <f ca="1">AVERAGE(OFFSET($AM$3,0,0,'Données projet'!$E$10+1,1))-AVERAGE(OFFSET($H$3,0,0,'Données projet'!$E$10+1,1))</f>
        <v>248.1486444660062</v>
      </c>
      <c r="AO53" s="59">
        <f t="shared" si="36"/>
        <v>293.34458072322127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75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5.7320659763410875</v>
      </c>
      <c r="AV53" s="21">
        <f>EXP(-LN(2)/25)*AV52+(1-EXP(-LN(2)/25))/(LN(2)/25)*Calculateur!AQ53*Calculateur!AS53*VLOOKUP('Données projet'!$B$10,Paramètres!$A$1:$I$89,3,0)*0.475*44/12</f>
        <v>19.54954781876982</v>
      </c>
      <c r="AW53" s="21">
        <f>EXP(-LN(2)/2)*AW52+(1-EXP(-LN(2)/2))/(LN(2)/2)*AQ53*AT53*VLOOKUP('Données projet'!$B$10,Paramètres!$A$1:$I$89,3,0)*0.475*44/12</f>
        <v>2.4592213002799075E-2</v>
      </c>
      <c r="AX53" s="21">
        <f t="shared" si="6"/>
        <v>25.306206008113705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349</v>
      </c>
      <c r="BB53" s="12">
        <f>VLOOKUP(A53,'Données projet'!$A$87:$I$107,9,0)</f>
        <v>11.5</v>
      </c>
      <c r="BC53" s="12">
        <f t="array" ref="BC53">INDEX(BB:BB,MIN(IF(ISNUMBER(BB53:BB249),ROW(BB53:BB249),"")))</f>
        <v>11.5</v>
      </c>
      <c r="BD53" s="12">
        <f>IF('Données projet'!$A$88&gt;35,BD52+BC53-BL52,IF(A53&lt;'Données projet'!$A$88,$BA$205^A53,IF(A53='Données projet'!$A$88,'Données projet'!$B$88,BD52+BC53-BL52)))</f>
        <v>349.00000000000011</v>
      </c>
      <c r="BE53" s="13">
        <f>BD53*VLOOKUP('Données projet'!$B$11,Paramètres!$A$1:$I$89,3,0)*VLOOKUP('Données projet'!$B$11,Paramètres!$A$1:$I$89,5,0)</f>
        <v>190.55400000000006</v>
      </c>
      <c r="BF53" s="13">
        <f t="shared" si="37"/>
        <v>47.662413622948378</v>
      </c>
      <c r="BG53" s="20">
        <f t="shared" si="7"/>
        <v>414.89358705996847</v>
      </c>
      <c r="BH53" s="59">
        <f t="shared" si="8"/>
        <v>708.22692039330173</v>
      </c>
      <c r="BI53" s="59">
        <f ca="1">AVERAGE(OFFSET($BH$3,0,0,'Données projet'!$E$11+1,1))-AVERAGE(OFFSET($H$3,0,0,'Données projet'!$E$11+1,1))</f>
        <v>210.04871822652808</v>
      </c>
      <c r="BJ53" s="59">
        <f t="shared" si="38"/>
        <v>250.17540614049324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4.9131994082923605</v>
      </c>
      <c r="BQ53" s="21">
        <f>EXP(-LN(2)/25)*BQ52+(1-EXP(-LN(2)/25))/(LN(2)/25)*Calculateur!BL53*Calculateur!BN53*VLOOKUP('Données projet'!$B$11,Paramètres!$A$1:$I$89,3,0)*0.475*44/12</f>
        <v>15.984547456257639</v>
      </c>
      <c r="BR53" s="21">
        <f>EXP(-LN(2)/2)*BR52+(1-EXP(-LN(2)/2))/(LN(2)/2)*BL53*BO53*VLOOKUP('Données projet'!$B$11,Paramètres!$A$1:$I$89,3,0)*0.475*44/12</f>
        <v>2.1048719470069973E-2</v>
      </c>
      <c r="BS53" s="22">
        <f t="shared" si="9"/>
        <v>20.918795584020071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271.53846153846155</v>
      </c>
      <c r="BW53" s="12">
        <f>VLOOKUP(A53,'Données projet'!$A$113:$I$133,9,0)</f>
        <v>11.538461538461542</v>
      </c>
      <c r="BX53" s="12">
        <f t="array" ref="BX53">INDEX(BW:BW,MIN(IF(ISNUMBER(BW53:BW249),ROW(BW53:BW249),"")))</f>
        <v>11.538461538461542</v>
      </c>
      <c r="BY53" s="12">
        <f>IF('Données projet'!$A$114&gt;35,BY52+BX53-CG52,IF(A53&lt;'Données projet'!$A$114,$BV$205^A53,IF(A53='Données projet'!$A$114,'Données projet'!$B$114,BY52+BX53-CG52)))</f>
        <v>271.53846153846172</v>
      </c>
      <c r="BZ53" s="13">
        <f>BY53*VLOOKUP('Données projet'!$B$12,Paramètres!$A$1:$I$89,3,0)*VLOOKUP('Données projet'!$B$12,Paramètres!$A$1:$I$89,5,0)</f>
        <v>130.6100000000001</v>
      </c>
      <c r="CA53" s="13">
        <f t="shared" si="39"/>
        <v>34.137273996153461</v>
      </c>
      <c r="CB53" s="20">
        <f t="shared" si="10"/>
        <v>286.93483554330078</v>
      </c>
      <c r="CC53" s="59">
        <f t="shared" si="11"/>
        <v>580.26816887663404</v>
      </c>
      <c r="CD53" s="59">
        <f ca="1">AVERAGE(OFFSET($CC$3,0,0,'Données projet'!$E$12+1,1))-AVERAGE(OFFSET($H$3,0,0,'Données projet'!$E$12+1,1))</f>
        <v>304.15237106473313</v>
      </c>
      <c r="CE53" s="59">
        <f t="shared" si="40"/>
        <v>120.85458928724336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60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505.27692307692286</v>
      </c>
      <c r="O54" s="13">
        <f>N54*VLOOKUP('Données projet'!$B$9,Paramètres!$A$1:$I$89,3,0)*VLOOKUP('Données projet'!$B$9,Paramètres!$A$1:$I$89,5,0)</f>
        <v>282.44979999999987</v>
      </c>
      <c r="P54" s="13">
        <f t="shared" si="33"/>
        <v>67.484459274997945</v>
      </c>
      <c r="Q54" s="20">
        <f t="shared" si="53"/>
        <v>609.46883490395442</v>
      </c>
      <c r="R54" s="59">
        <f t="shared" si="0"/>
        <v>902.80216823728779</v>
      </c>
      <c r="S54" s="59">
        <f ca="1">AVERAGE(OFFSET($R$3,0,0,'Données projet'!$E$9+1,1))-AVERAGE(OFFSET($H$3,0,0,'Données projet'!$E$9+1,1))</f>
        <v>255.5374979188561</v>
      </c>
      <c r="T54" s="59">
        <f t="shared" si="34"/>
        <v>343.10418468620901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2.038666670819961</v>
      </c>
      <c r="AA54" s="21">
        <f>EXP(-LN(2)/25)*AA53+(1-EXP(-LN(2)/25))/(LN(2)/25)*Calculateur!V54*Calculateur!X54*VLOOKUP('Données projet'!$B$9,Paramètres!$A$1:$I$89,3,0)*0.475*44/12</f>
        <v>8.9160961232740839</v>
      </c>
      <c r="AB54" s="21">
        <f>EXP(-LN(2)/2)*AB53+(1-EXP(-LN(2)/2))/(LN(2)/2)*V54*Y54*VLOOKUP('Données projet'!$B$9,Paramètres!$A$1:$I$89,3,0)*0.475*44/12</f>
        <v>1.1688337534877743E-3</v>
      </c>
      <c r="AC54" s="22">
        <f t="shared" si="3"/>
        <v>10.955931627847532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11.3</v>
      </c>
      <c r="AI54" s="13">
        <f>IF('Données projet'!$A$62&gt;35,AI53+AH54-AQ53,IF(A54&lt;'Données projet'!$A$62,$AF$205^A54,IF(A54='Données projet'!$A$62,'Données projet'!$B$62,AI53+AH54-AQ53)))</f>
        <v>331.30000000000013</v>
      </c>
      <c r="AJ54" s="13">
        <f>AI54*VLOOKUP('Données projet'!$B$10,Paramètres!$A$1:$I$89,3,0)*VLOOKUP('Données projet'!$B$10,Paramètres!$A$1:$I$89,5,0)</f>
        <v>180.88980000000006</v>
      </c>
      <c r="AK54" s="13">
        <f t="shared" si="35"/>
        <v>45.520093422801835</v>
      </c>
      <c r="AL54" s="20">
        <f t="shared" si="4"/>
        <v>394.33056437804663</v>
      </c>
      <c r="AM54" s="59">
        <f t="shared" si="5"/>
        <v>687.66389771137995</v>
      </c>
      <c r="AN54" s="59">
        <f ca="1">AVERAGE(OFFSET($AM$3,0,0,'Données projet'!$E$10+1,1))-AVERAGE(OFFSET($H$3,0,0,'Données projet'!$E$10+1,1))</f>
        <v>248.1486444660062</v>
      </c>
      <c r="AO54" s="59">
        <f t="shared" si="36"/>
        <v>293.34458072322127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5.6196636587600617</v>
      </c>
      <c r="AV54" s="21">
        <f>EXP(-LN(2)/25)*AV53+(1-EXP(-LN(2)/25))/(LN(2)/25)*Calculateur!AQ54*Calculateur!AS54*VLOOKUP('Données projet'!$B$10,Paramètres!$A$1:$I$89,3,0)*0.475*44/12</f>
        <v>19.014964405599521</v>
      </c>
      <c r="AW54" s="21">
        <f>EXP(-LN(2)/2)*AW53+(1-EXP(-LN(2)/2))/(LN(2)/2)*AQ54*AT54*VLOOKUP('Données projet'!$B$10,Paramètres!$A$1:$I$89,3,0)*0.475*44/12</f>
        <v>1.7389320578663214E-2</v>
      </c>
      <c r="AX54" s="21">
        <f t="shared" si="6"/>
        <v>24.652017384938244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9.8000000000000007</v>
      </c>
      <c r="BD54" s="12">
        <f>IF('Données projet'!$A$88&gt;35,BD53+BC54-BL53,IF(A54&lt;'Données projet'!$A$88,$BA$205^A54,IF(A54='Données projet'!$A$88,'Données projet'!$B$88,BD53+BC54-BL53)))</f>
        <v>293.80000000000013</v>
      </c>
      <c r="BE54" s="13">
        <f>BD54*VLOOKUP('Données projet'!$B$11,Paramètres!$A$1:$I$89,3,0)*VLOOKUP('Données projet'!$B$11,Paramètres!$A$1:$I$89,5,0)</f>
        <v>160.41480000000007</v>
      </c>
      <c r="BF54" s="13">
        <f t="shared" si="37"/>
        <v>40.936060601587023</v>
      </c>
      <c r="BG54" s="20">
        <f t="shared" si="7"/>
        <v>350.68608221443083</v>
      </c>
      <c r="BH54" s="59">
        <f t="shared" si="8"/>
        <v>644.01941554776408</v>
      </c>
      <c r="BI54" s="59">
        <f ca="1">AVERAGE(OFFSET($BH$3,0,0,'Données projet'!$E$11+1,1))-AVERAGE(OFFSET($H$3,0,0,'Données projet'!$E$11+1,1))</f>
        <v>210.04871822652808</v>
      </c>
      <c r="BJ54" s="59">
        <f t="shared" si="38"/>
        <v>250.17540614049324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4.8168545646514813</v>
      </c>
      <c r="BQ54" s="21">
        <f>EXP(-LN(2)/25)*BQ53+(1-EXP(-LN(2)/25))/(LN(2)/25)*Calculateur!BL54*Calculateur!BN54*VLOOKUP('Données projet'!$B$11,Paramètres!$A$1:$I$89,3,0)*0.475*44/12</f>
        <v>15.547449165475456</v>
      </c>
      <c r="BR54" s="21">
        <f>EXP(-LN(2)/2)*BR53+(1-EXP(-LN(2)/2))/(LN(2)/2)*BL54*BO54*VLOOKUP('Données projet'!$B$11,Paramètres!$A$1:$I$89,3,0)*0.475*44/12</f>
        <v>1.4883692272579793E-2</v>
      </c>
      <c r="BS54" s="22">
        <f t="shared" si="9"/>
        <v>20.379187422399518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12.384615384615381</v>
      </c>
      <c r="BY54" s="12">
        <f>IF('Données projet'!$A$114&gt;35,BY53+BX54-CG53,IF(A54&lt;'Données projet'!$A$114,$BV$205^A54,IF(A54='Données projet'!$A$114,'Données projet'!$B$114,BY53+BX54-CG53)))</f>
        <v>223.92307692307708</v>
      </c>
      <c r="BZ54" s="13">
        <f>BY54*VLOOKUP('Données projet'!$B$12,Paramètres!$A$1:$I$89,3,0)*VLOOKUP('Données projet'!$B$12,Paramètres!$A$1:$I$89,5,0)</f>
        <v>107.70700000000006</v>
      </c>
      <c r="CA54" s="13">
        <f t="shared" si="39"/>
        <v>28.790075313971812</v>
      </c>
      <c r="CB54" s="20">
        <f t="shared" si="10"/>
        <v>237.73240617183436</v>
      </c>
      <c r="CC54" s="59">
        <f t="shared" si="11"/>
        <v>531.0657395051677</v>
      </c>
      <c r="CD54" s="59">
        <f ca="1">AVERAGE(OFFSET($CC$3,0,0,'Données projet'!$E$12+1,1))-AVERAGE(OFFSET($H$3,0,0,'Données projet'!$E$12+1,1))</f>
        <v>304.15237106473313</v>
      </c>
      <c r="CE54" s="59">
        <f t="shared" si="40"/>
        <v>120.85458928724336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525.78461538461511</v>
      </c>
      <c r="O55" s="13">
        <f>N55*VLOOKUP('Données projet'!$B$9,Paramètres!$A$1:$I$89,3,0)*VLOOKUP('Données projet'!$B$9,Paramètres!$A$1:$I$89,5,0)</f>
        <v>293.91359999999986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255.5374979188561</v>
      </c>
      <c r="T55" s="59">
        <f t="shared" si="34"/>
        <v>343.10418468620901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1.998689660869069</v>
      </c>
      <c r="AA55" s="21">
        <f>EXP(-LN(2)/25)*AA54+(1-EXP(-LN(2)/25))/(LN(2)/25)*Calculateur!V55*Calculateur!X55*VLOOKUP('Données projet'!$B$9,Paramètres!$A$1:$I$89,3,0)*0.475*44/12</f>
        <v>8.672285005906037</v>
      </c>
      <c r="AB55" s="21">
        <f>EXP(-LN(2)/2)*AB54+(1-EXP(-LN(2)/2))/(LN(2)/2)*V55*Y55*VLOOKUP('Données projet'!$B$9,Paramètres!$A$1:$I$89,3,0)*0.475*44/12</f>
        <v>8.2649027317093068E-4</v>
      </c>
      <c r="AC55" s="22">
        <f t="shared" si="3"/>
        <v>10.671801157048277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11.3</v>
      </c>
      <c r="AI55" s="13">
        <f>IF('Données projet'!$A$62&gt;35,AI54+AH55-AQ54,IF(A55&lt;'Données projet'!$A$62,$AF$205^A55,IF(A55='Données projet'!$A$62,'Données projet'!$B$62,AI54+AH55-AQ54)))</f>
        <v>342.60000000000014</v>
      </c>
      <c r="AJ55" s="13">
        <f>AI55*VLOOKUP('Données projet'!$B$10,Paramètres!$A$1:$I$89,3,0)*VLOOKUP('Données projet'!$B$10,Paramètres!$A$1:$I$89,5,0)</f>
        <v>187.05960000000007</v>
      </c>
      <c r="AK55" s="13">
        <f t="shared" si="35"/>
        <v>46.889283237928652</v>
      </c>
      <c r="AL55" s="20">
        <f t="shared" si="4"/>
        <v>407.46097163939248</v>
      </c>
      <c r="AM55" s="59">
        <f t="shared" si="5"/>
        <v>700.79430497272574</v>
      </c>
      <c r="AN55" s="59">
        <f ca="1">AVERAGE(OFFSET($AM$3,0,0,'Données projet'!$E$10+1,1))-AVERAGE(OFFSET($H$3,0,0,'Données projet'!$E$10+1,1))</f>
        <v>248.1486444660062</v>
      </c>
      <c r="AO55" s="59">
        <f t="shared" si="36"/>
        <v>293.34458072322127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5.5094654820681557</v>
      </c>
      <c r="AV55" s="21">
        <f>EXP(-LN(2)/25)*AV54+(1-EXP(-LN(2)/25))/(LN(2)/25)*Calculateur!AQ55*Calculateur!AS55*VLOOKUP('Données projet'!$B$10,Paramètres!$A$1:$I$89,3,0)*0.475*44/12</f>
        <v>18.494999203974885</v>
      </c>
      <c r="AW55" s="21">
        <f>EXP(-LN(2)/2)*AW54+(1-EXP(-LN(2)/2))/(LN(2)/2)*AQ55*AT55*VLOOKUP('Données projet'!$B$10,Paramètres!$A$1:$I$89,3,0)*0.475*44/12</f>
        <v>1.2296106501399538E-2</v>
      </c>
      <c r="AX55" s="21">
        <f t="shared" si="6"/>
        <v>24.016760792544439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9.8000000000000007</v>
      </c>
      <c r="BD55" s="12">
        <f>IF('Données projet'!$A$88&gt;35,BD54+BC55-BL54,IF(A55&lt;'Données projet'!$A$88,$BA$205^A55,IF(A55='Données projet'!$A$88,'Données projet'!$B$88,BD54+BC55-BL54)))</f>
        <v>303.60000000000014</v>
      </c>
      <c r="BE55" s="13">
        <f>BD55*VLOOKUP('Données projet'!$B$11,Paramètres!$A$1:$I$89,3,0)*VLOOKUP('Données projet'!$B$11,Paramètres!$A$1:$I$89,5,0)</f>
        <v>165.76560000000009</v>
      </c>
      <c r="BF55" s="13">
        <f t="shared" si="37"/>
        <v>42.140271125684301</v>
      </c>
      <c r="BG55" s="20">
        <f t="shared" si="7"/>
        <v>362.10272554390031</v>
      </c>
      <c r="BH55" s="59">
        <f t="shared" si="8"/>
        <v>655.43605887723356</v>
      </c>
      <c r="BI55" s="59">
        <f ca="1">AVERAGE(OFFSET($BH$3,0,0,'Données projet'!$E$11+1,1))-AVERAGE(OFFSET($H$3,0,0,'Données projet'!$E$11+1,1))</f>
        <v>210.04871822652808</v>
      </c>
      <c r="BJ55" s="59">
        <f t="shared" si="38"/>
        <v>250.17540614049324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4.722398984629848</v>
      </c>
      <c r="BQ55" s="21">
        <f>EXP(-LN(2)/25)*BQ54+(1-EXP(-LN(2)/25))/(LN(2)/25)*Calculateur!BL55*Calculateur!BN55*VLOOKUP('Données projet'!$B$11,Paramètres!$A$1:$I$89,3,0)*0.475*44/12</f>
        <v>15.122303350440712</v>
      </c>
      <c r="BR55" s="21">
        <f>EXP(-LN(2)/2)*BR54+(1-EXP(-LN(2)/2))/(LN(2)/2)*BL55*BO55*VLOOKUP('Données projet'!$B$11,Paramètres!$A$1:$I$89,3,0)*0.475*44/12</f>
        <v>1.0524359735034988E-2</v>
      </c>
      <c r="BS55" s="22">
        <f t="shared" si="9"/>
        <v>19.855226694805594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12.384615384615381</v>
      </c>
      <c r="BY55" s="12">
        <f>IF('Données projet'!$A$114&gt;35,BY54+BX55-CG54,IF(A55&lt;'Données projet'!$A$114,$BV$205^A55,IF(A55='Données projet'!$A$114,'Données projet'!$B$114,BY54+BX55-CG54)))</f>
        <v>236.30769230769246</v>
      </c>
      <c r="BZ55" s="13">
        <f>BY55*VLOOKUP('Données projet'!$B$12,Paramètres!$A$1:$I$89,3,0)*VLOOKUP('Données projet'!$B$12,Paramètres!$A$1:$I$89,5,0)</f>
        <v>113.66400000000007</v>
      </c>
      <c r="CA55" s="13">
        <f t="shared" si="39"/>
        <v>30.1925984165768</v>
      </c>
      <c r="CB55" s="20">
        <f t="shared" si="10"/>
        <v>250.55024224220472</v>
      </c>
      <c r="CC55" s="59">
        <f t="shared" si="11"/>
        <v>543.88357557553809</v>
      </c>
      <c r="CD55" s="59">
        <f ca="1">AVERAGE(OFFSET($CC$3,0,0,'Données projet'!$E$12+1,1))-AVERAGE(OFFSET($H$3,0,0,'Données projet'!$E$12+1,1))</f>
        <v>304.15237106473313</v>
      </c>
      <c r="CE55" s="59">
        <f t="shared" si="40"/>
        <v>120.85458928724336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546.29230769230742</v>
      </c>
      <c r="O56" s="13">
        <f>N56*VLOOKUP('Données projet'!$B$9,Paramètres!$A$1:$I$89,3,0)*VLOOKUP('Données projet'!$B$9,Paramètres!$A$1:$I$89,5,0)</f>
        <v>305.37739999999985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255.5374979188561</v>
      </c>
      <c r="T56" s="59">
        <f t="shared" si="34"/>
        <v>343.10418468620901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1.9594965756997456</v>
      </c>
      <c r="AA56" s="21">
        <f>EXP(-LN(2)/25)*AA55+(1-EXP(-LN(2)/25))/(LN(2)/25)*Calculateur!V56*Calculateur!X56*VLOOKUP('Données projet'!$B$9,Paramètres!$A$1:$I$89,3,0)*0.475*44/12</f>
        <v>8.4351409163638884</v>
      </c>
      <c r="AB56" s="21">
        <f>EXP(-LN(2)/2)*AB55+(1-EXP(-LN(2)/2))/(LN(2)/2)*V56*Y56*VLOOKUP('Données projet'!$B$9,Paramètres!$A$1:$I$89,3,0)*0.475*44/12</f>
        <v>5.8441687674388716E-4</v>
      </c>
      <c r="AC56" s="22">
        <f t="shared" si="3"/>
        <v>10.395221908940378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11.3</v>
      </c>
      <c r="AI56" s="13">
        <f>IF('Données projet'!$A$62&gt;35,AI55+AH56-AQ55,IF(A56&lt;'Données projet'!$A$62,$AF$205^A56,IF(A56='Données projet'!$A$62,'Données projet'!$B$62,AI55+AH56-AQ55)))</f>
        <v>353.90000000000015</v>
      </c>
      <c r="AJ56" s="13">
        <f>AI56*VLOOKUP('Données projet'!$B$10,Paramètres!$A$1:$I$89,3,0)*VLOOKUP('Données projet'!$B$10,Paramètres!$A$1:$I$89,5,0)</f>
        <v>193.22940000000008</v>
      </c>
      <c r="AK56" s="13">
        <f t="shared" si="35"/>
        <v>48.253225491879554</v>
      </c>
      <c r="AL56" s="20">
        <f t="shared" si="4"/>
        <v>420.5822393983571</v>
      </c>
      <c r="AM56" s="59">
        <f t="shared" si="5"/>
        <v>713.91557273169042</v>
      </c>
      <c r="AN56" s="59">
        <f ca="1">AVERAGE(OFFSET($AM$3,0,0,'Données projet'!$E$10+1,1))-AVERAGE(OFFSET($H$3,0,0,'Données projet'!$E$10+1,1))</f>
        <v>248.1486444660062</v>
      </c>
      <c r="AO56" s="59">
        <f t="shared" si="36"/>
        <v>293.34458072322127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5.4014282244069269</v>
      </c>
      <c r="AV56" s="21">
        <f>EXP(-LN(2)/25)*AV55+(1-EXP(-LN(2)/25))/(LN(2)/25)*Calculateur!AQ56*Calculateur!AS56*VLOOKUP('Données projet'!$B$10,Paramètres!$A$1:$I$89,3,0)*0.475*44/12</f>
        <v>17.989252478132453</v>
      </c>
      <c r="AW56" s="21">
        <f>EXP(-LN(2)/2)*AW55+(1-EXP(-LN(2)/2))/(LN(2)/2)*AQ56*AT56*VLOOKUP('Données projet'!$B$10,Paramètres!$A$1:$I$89,3,0)*0.475*44/12</f>
        <v>8.6946602893316072E-3</v>
      </c>
      <c r="AX56" s="21">
        <f t="shared" si="6"/>
        <v>23.399375362828714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9.8000000000000007</v>
      </c>
      <c r="BD56" s="12">
        <f>IF('Données projet'!$A$88&gt;35,BD55+BC56-BL55,IF(A56&lt;'Données projet'!$A$88,$BA$205^A56,IF(A56='Données projet'!$A$88,'Données projet'!$B$88,BD55+BC56-BL55)))</f>
        <v>313.40000000000015</v>
      </c>
      <c r="BE56" s="13">
        <f>BD56*VLOOKUP('Données projet'!$B$11,Paramètres!$A$1:$I$89,3,0)*VLOOKUP('Données projet'!$B$11,Paramètres!$A$1:$I$89,5,0)</f>
        <v>171.11640000000011</v>
      </c>
      <c r="BF56" s="13">
        <f t="shared" si="37"/>
        <v>43.339964715636555</v>
      </c>
      <c r="BG56" s="20">
        <f t="shared" si="7"/>
        <v>373.51150187973388</v>
      </c>
      <c r="BH56" s="59">
        <f t="shared" si="8"/>
        <v>666.8448352130672</v>
      </c>
      <c r="BI56" s="59">
        <f ca="1">AVERAGE(OFFSET($BH$3,0,0,'Données projet'!$E$11+1,1))-AVERAGE(OFFSET($H$3,0,0,'Données projet'!$E$11+1,1))</f>
        <v>210.04871822652808</v>
      </c>
      <c r="BJ56" s="59">
        <f t="shared" si="38"/>
        <v>250.17540614049324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4.6297956209202233</v>
      </c>
      <c r="BQ56" s="21">
        <f>EXP(-LN(2)/25)*BQ55+(1-EXP(-LN(2)/25))/(LN(2)/25)*Calculateur!BL56*Calculateur!BN56*VLOOKUP('Données projet'!$B$11,Paramètres!$A$1:$I$89,3,0)*0.475*44/12</f>
        <v>14.70878317007554</v>
      </c>
      <c r="BR56" s="21">
        <f>EXP(-LN(2)/2)*BR55+(1-EXP(-LN(2)/2))/(LN(2)/2)*BL56*BO56*VLOOKUP('Données projet'!$B$11,Paramètres!$A$1:$I$89,3,0)*0.475*44/12</f>
        <v>7.4418461362898971E-3</v>
      </c>
      <c r="BS56" s="22">
        <f t="shared" si="9"/>
        <v>19.34602063713205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12.384615384615381</v>
      </c>
      <c r="BY56" s="12">
        <f>IF('Données projet'!$A$114&gt;35,BY55+BX56-CG55,IF(A56&lt;'Données projet'!$A$114,$BV$205^A56,IF(A56='Données projet'!$A$114,'Données projet'!$B$114,BY55+BX56-CG55)))</f>
        <v>248.69230769230785</v>
      </c>
      <c r="BZ56" s="13">
        <f>BY56*VLOOKUP('Données projet'!$B$12,Paramètres!$A$1:$I$89,3,0)*VLOOKUP('Données projet'!$B$12,Paramètres!$A$1:$I$89,5,0)</f>
        <v>119.62100000000007</v>
      </c>
      <c r="CA56" s="13">
        <f t="shared" si="39"/>
        <v>31.586587500456886</v>
      </c>
      <c r="CB56" s="20">
        <f t="shared" si="10"/>
        <v>263.3532148966292</v>
      </c>
      <c r="CC56" s="59">
        <f t="shared" si="11"/>
        <v>556.68654822996245</v>
      </c>
      <c r="CD56" s="59">
        <f ca="1">AVERAGE(OFFSET($CC$3,0,0,'Données projet'!$E$12+1,1))-AVERAGE(OFFSET($H$3,0,0,'Données projet'!$E$12+1,1))</f>
        <v>304.15237106473313</v>
      </c>
      <c r="CE56" s="59">
        <f t="shared" si="40"/>
        <v>120.85458928724336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566.79999999999973</v>
      </c>
      <c r="O57" s="13">
        <f>N57*VLOOKUP('Données projet'!$B$9,Paramètres!$A$1:$I$89,3,0)*VLOOKUP('Données projet'!$B$9,Paramètres!$A$1:$I$89,5,0)</f>
        <v>316.84119999999984</v>
      </c>
      <c r="P57" s="13">
        <f t="shared" si="33"/>
        <v>74.695724902330795</v>
      </c>
      <c r="Q57" s="20">
        <f t="shared" si="53"/>
        <v>681.92681087155916</v>
      </c>
      <c r="R57" s="59">
        <f t="shared" si="0"/>
        <v>975.26014420489241</v>
      </c>
      <c r="S57" s="59">
        <f ca="1">AVERAGE(OFFSET($R$3,0,0,'Données projet'!$E$9+1,1))-AVERAGE(OFFSET($H$3,0,0,'Données projet'!$E$9+1,1))</f>
        <v>255.5374979188561</v>
      </c>
      <c r="T57" s="59">
        <f t="shared" si="34"/>
        <v>343.10418468620901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1.9210720430251711</v>
      </c>
      <c r="AA57" s="21">
        <f>EXP(-LN(2)/25)*AA56+(1-EXP(-LN(2)/25))/(LN(2)/25)*Calculateur!V57*Calculateur!X57*VLOOKUP('Données projet'!$B$9,Paramètres!$A$1:$I$89,3,0)*0.475*44/12</f>
        <v>8.2044815444211352</v>
      </c>
      <c r="AB57" s="21">
        <f>EXP(-LN(2)/2)*AB56+(1-EXP(-LN(2)/2))/(LN(2)/2)*V57*Y57*VLOOKUP('Données projet'!$B$9,Paramètres!$A$1:$I$89,3,0)*0.475*44/12</f>
        <v>4.1324513658546534E-4</v>
      </c>
      <c r="AC57" s="22">
        <f t="shared" si="3"/>
        <v>10.125966832582892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11.3</v>
      </c>
      <c r="AI57" s="13">
        <f>IF('Données projet'!$A$62&gt;35,AI56+AH57-AQ56,IF(A57&lt;'Données projet'!$A$62,$AF$205^A57,IF(A57='Données projet'!$A$62,'Données projet'!$B$62,AI56+AH57-AQ56)))</f>
        <v>365.20000000000016</v>
      </c>
      <c r="AJ57" s="13">
        <f>AI57*VLOOKUP('Données projet'!$B$10,Paramètres!$A$1:$I$89,3,0)*VLOOKUP('Données projet'!$B$10,Paramètres!$A$1:$I$89,5,0)</f>
        <v>199.39920000000009</v>
      </c>
      <c r="AK57" s="13">
        <f t="shared" si="35"/>
        <v>49.612106959430314</v>
      </c>
      <c r="AL57" s="20">
        <f t="shared" si="4"/>
        <v>433.69469295434129</v>
      </c>
      <c r="AM57" s="59">
        <f t="shared" si="5"/>
        <v>727.02802628767461</v>
      </c>
      <c r="AN57" s="59">
        <f ca="1">AVERAGE(OFFSET($AM$3,0,0,'Données projet'!$E$10+1,1))-AVERAGE(OFFSET($H$3,0,0,'Données projet'!$E$10+1,1))</f>
        <v>248.1486444660062</v>
      </c>
      <c r="AO57" s="59">
        <f t="shared" si="36"/>
        <v>293.34458072322127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5.2955095114722148</v>
      </c>
      <c r="AV57" s="21">
        <f>EXP(-LN(2)/25)*AV56+(1-EXP(-LN(2)/25))/(LN(2)/25)*Calculateur!AQ57*Calculateur!AS57*VLOOKUP('Données projet'!$B$10,Paramètres!$A$1:$I$89,3,0)*0.475*44/12</f>
        <v>17.49733542310425</v>
      </c>
      <c r="AW57" s="21">
        <f>EXP(-LN(2)/2)*AW56+(1-EXP(-LN(2)/2))/(LN(2)/2)*AQ57*AT57*VLOOKUP('Données projet'!$B$10,Paramètres!$A$1:$I$89,3,0)*0.475*44/12</f>
        <v>6.1480532506997688E-3</v>
      </c>
      <c r="AX57" s="21">
        <f t="shared" si="6"/>
        <v>22.798992987827166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9.8000000000000007</v>
      </c>
      <c r="BD57" s="12">
        <f>IF('Données projet'!$A$88&gt;35,BD56+BC57-BL56,IF(A57&lt;'Données projet'!$A$88,$BA$205^A57,IF(A57='Données projet'!$A$88,'Données projet'!$B$88,BD56+BC57-BL56)))</f>
        <v>323.20000000000016</v>
      </c>
      <c r="BE57" s="13">
        <f>BD57*VLOOKUP('Données projet'!$B$11,Paramètres!$A$1:$I$89,3,0)*VLOOKUP('Données projet'!$B$11,Paramètres!$A$1:$I$89,5,0)</f>
        <v>176.46720000000008</v>
      </c>
      <c r="BF57" s="13">
        <f t="shared" si="37"/>
        <v>44.535298821989436</v>
      </c>
      <c r="BG57" s="20">
        <f t="shared" si="7"/>
        <v>384.91268544829836</v>
      </c>
      <c r="BH57" s="59">
        <f t="shared" si="8"/>
        <v>678.24601878163162</v>
      </c>
      <c r="BI57" s="59">
        <f ca="1">AVERAGE(OFFSET($BH$3,0,0,'Données projet'!$E$11+1,1))-AVERAGE(OFFSET($H$3,0,0,'Données projet'!$E$11+1,1))</f>
        <v>210.04871822652808</v>
      </c>
      <c r="BJ57" s="59">
        <f t="shared" si="38"/>
        <v>250.17540614049324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4.53900815269047</v>
      </c>
      <c r="BQ57" s="21">
        <f>EXP(-LN(2)/25)*BQ56+(1-EXP(-LN(2)/25))/(LN(2)/25)*Calculateur!BL57*Calculateur!BN57*VLOOKUP('Données projet'!$B$11,Paramètres!$A$1:$I$89,3,0)*0.475*44/12</f>
        <v>14.306570720788535</v>
      </c>
      <c r="BR57" s="21">
        <f>EXP(-LN(2)/2)*BR56+(1-EXP(-LN(2)/2))/(LN(2)/2)*BL57*BO57*VLOOKUP('Données projet'!$B$11,Paramètres!$A$1:$I$89,3,0)*0.475*44/12</f>
        <v>5.262179867517495E-3</v>
      </c>
      <c r="BS57" s="22">
        <f t="shared" si="9"/>
        <v>18.850841053346524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12.384615384615381</v>
      </c>
      <c r="BY57" s="12">
        <f>IF('Données projet'!$A$114&gt;35,BY56+BX57-CG56,IF(A57&lt;'Données projet'!$A$114,$BV$205^A57,IF(A57='Données projet'!$A$114,'Données projet'!$B$114,BY56+BX57-CG56)))</f>
        <v>261.07692307692321</v>
      </c>
      <c r="BZ57" s="13">
        <f>BY57*VLOOKUP('Données projet'!$B$12,Paramètres!$A$1:$I$89,3,0)*VLOOKUP('Données projet'!$B$12,Paramètres!$A$1:$I$89,5,0)</f>
        <v>125.57800000000007</v>
      </c>
      <c r="CA57" s="13">
        <f t="shared" si="39"/>
        <v>32.972516047378349</v>
      </c>
      <c r="CB57" s="20">
        <f t="shared" si="10"/>
        <v>276.14214878251744</v>
      </c>
      <c r="CC57" s="59">
        <f t="shared" si="11"/>
        <v>569.47548211585081</v>
      </c>
      <c r="CD57" s="59">
        <f ca="1">AVERAGE(OFFSET($CC$3,0,0,'Données projet'!$E$12+1,1))-AVERAGE(OFFSET($H$3,0,0,'Données projet'!$E$12+1,1))</f>
        <v>304.15237106473313</v>
      </c>
      <c r="CE57" s="59">
        <f t="shared" si="40"/>
        <v>120.85458928724336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-1.2710188457276673E-13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255.5374979188561</v>
      </c>
      <c r="T58" s="59">
        <f t="shared" si="34"/>
        <v>343.10418468620901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1.8834009919996941</v>
      </c>
      <c r="AA58" s="21">
        <f>EXP(-LN(2)/25)*AA57+(1-EXP(-LN(2)/25))/(LN(2)/25)*Calculateur!V58*Calculateur!X58*VLOOKUP('Données projet'!$B$9,Paramètres!$A$1:$I$89,3,0)*0.475*44/12</f>
        <v>7.9801295651340061</v>
      </c>
      <c r="AB58" s="21">
        <f>EXP(-LN(2)/2)*AB57+(1-EXP(-LN(2)/2))/(LN(2)/2)*V58*Y58*VLOOKUP('Données projet'!$B$9,Paramètres!$A$1:$I$89,3,0)*0.475*44/12</f>
        <v>2.9220843837194358E-4</v>
      </c>
      <c r="AC58" s="22">
        <f t="shared" si="3"/>
        <v>9.8638227655720723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11.3</v>
      </c>
      <c r="AI58" s="13">
        <f>IF('Données projet'!$A$62&gt;35,AI57+AH58-AQ57,IF(A58&lt;'Données projet'!$A$62,$AF$205^A58,IF(A58='Données projet'!$A$62,'Données projet'!$B$62,AI57+AH58-AQ57)))</f>
        <v>376.50000000000017</v>
      </c>
      <c r="AJ58" s="13">
        <f>AI58*VLOOKUP('Données projet'!$B$10,Paramètres!$A$1:$I$89,3,0)*VLOOKUP('Données projet'!$B$10,Paramètres!$A$1:$I$89,5,0)</f>
        <v>205.56900000000007</v>
      </c>
      <c r="AK58" s="13">
        <f t="shared" si="35"/>
        <v>50.966102200396577</v>
      </c>
      <c r="AL58" s="20">
        <f t="shared" si="4"/>
        <v>446.79863633235749</v>
      </c>
      <c r="AM58" s="59">
        <f t="shared" si="5"/>
        <v>740.1319696656908</v>
      </c>
      <c r="AN58" s="59">
        <f ca="1">AVERAGE(OFFSET($AM$3,0,0,'Données projet'!$E$10+1,1))-AVERAGE(OFFSET($H$3,0,0,'Données projet'!$E$10+1,1))</f>
        <v>248.1486444660062</v>
      </c>
      <c r="AO58" s="59">
        <f t="shared" si="36"/>
        <v>293.34458072322127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5.1916677998941161</v>
      </c>
      <c r="AV58" s="21">
        <f>EXP(-LN(2)/25)*AV57+(1-EXP(-LN(2)/25))/(LN(2)/25)*Calculateur!AQ58*Calculateur!AS58*VLOOKUP('Données projet'!$B$10,Paramètres!$A$1:$I$89,3,0)*0.475*44/12</f>
        <v>17.018869865814587</v>
      </c>
      <c r="AW58" s="21">
        <f>EXP(-LN(2)/2)*AW57+(1-EXP(-LN(2)/2))/(LN(2)/2)*AQ58*AT58*VLOOKUP('Données projet'!$B$10,Paramètres!$A$1:$I$89,3,0)*0.475*44/12</f>
        <v>4.3473301446658036E-3</v>
      </c>
      <c r="AX58" s="21">
        <f t="shared" si="6"/>
        <v>22.214884995853367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9.8000000000000007</v>
      </c>
      <c r="BD58" s="12">
        <f>IF('Données projet'!$A$88&gt;35,BD57+BC58-BL57,IF(A58&lt;'Données projet'!$A$88,$BA$205^A58,IF(A58='Données projet'!$A$88,'Données projet'!$B$88,BD57+BC58-BL57)))</f>
        <v>333.00000000000017</v>
      </c>
      <c r="BE58" s="13">
        <f>BD58*VLOOKUP('Données projet'!$B$11,Paramètres!$A$1:$I$89,3,0)*VLOOKUP('Données projet'!$B$11,Paramètres!$A$1:$I$89,5,0)</f>
        <v>181.8180000000001</v>
      </c>
      <c r="BF58" s="13">
        <f t="shared" si="37"/>
        <v>45.726420804334332</v>
      </c>
      <c r="BG58" s="20">
        <f t="shared" si="7"/>
        <v>396.30653290088247</v>
      </c>
      <c r="BH58" s="59">
        <f t="shared" si="8"/>
        <v>689.63986623421579</v>
      </c>
      <c r="BI58" s="59">
        <f ca="1">AVERAGE(OFFSET($BH$3,0,0,'Données projet'!$E$11+1,1))-AVERAGE(OFFSET($H$3,0,0,'Données projet'!$E$11+1,1))</f>
        <v>210.04871822652808</v>
      </c>
      <c r="BJ58" s="59">
        <f t="shared" si="38"/>
        <v>250.17540614049324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4.4500009713378139</v>
      </c>
      <c r="BQ58" s="21">
        <f>EXP(-LN(2)/25)*BQ57+(1-EXP(-LN(2)/25))/(LN(2)/25)*Calculateur!BL58*Calculateur!BN58*VLOOKUP('Données projet'!$B$11,Paramètres!$A$1:$I$89,3,0)*0.475*44/12</f>
        <v>13.915356792078716</v>
      </c>
      <c r="BR58" s="21">
        <f>EXP(-LN(2)/2)*BR57+(1-EXP(-LN(2)/2))/(LN(2)/2)*BL58*BO58*VLOOKUP('Données projet'!$B$11,Paramètres!$A$1:$I$89,3,0)*0.475*44/12</f>
        <v>3.7209230681449494E-3</v>
      </c>
      <c r="BS58" s="22">
        <f t="shared" si="9"/>
        <v>18.369078686484674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12.384615384615381</v>
      </c>
      <c r="BY58" s="12">
        <f>IF('Données projet'!$A$114&gt;35,BY57+BX58-CG57,IF(A58&lt;'Données projet'!$A$114,$BV$205^A58,IF(A58='Données projet'!$A$114,'Données projet'!$B$114,BY57+BX58-CG57)))</f>
        <v>273.46153846153857</v>
      </c>
      <c r="BZ58" s="13">
        <f>BY58*VLOOKUP('Données projet'!$B$12,Paramètres!$A$1:$I$89,3,0)*VLOOKUP('Données projet'!$B$12,Paramètres!$A$1:$I$89,5,0)</f>
        <v>131.53500000000005</v>
      </c>
      <c r="CA58" s="13">
        <f t="shared" si="39"/>
        <v>34.350810079981514</v>
      </c>
      <c r="CB58" s="20">
        <f t="shared" si="10"/>
        <v>288.91778588930123</v>
      </c>
      <c r="CC58" s="59">
        <f t="shared" si="11"/>
        <v>582.25111922263454</v>
      </c>
      <c r="CD58" s="59">
        <f ca="1">AVERAGE(OFFSET($CC$3,0,0,'Données projet'!$E$12+1,1))-AVERAGE(OFFSET($H$3,0,0,'Données projet'!$E$12+1,1))</f>
        <v>304.15237106473313</v>
      </c>
      <c r="CE58" s="59">
        <f t="shared" si="40"/>
        <v>120.85458928724336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-1.2710188457276673E-13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255.5374979188561</v>
      </c>
      <c r="T59" s="59">
        <f t="shared" si="34"/>
        <v>343.10418468620901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1.8464686473077545</v>
      </c>
      <c r="AA59" s="21">
        <f>EXP(-LN(2)/25)*AA58+(1-EXP(-LN(2)/25))/(LN(2)/25)*Calculateur!V59*Calculateur!X59*VLOOKUP('Données projet'!$B$9,Paramètres!$A$1:$I$89,3,0)*0.475*44/12</f>
        <v>7.7619125025186415</v>
      </c>
      <c r="AB59" s="21">
        <f>EXP(-LN(2)/2)*AB58+(1-EXP(-LN(2)/2))/(LN(2)/2)*V59*Y59*VLOOKUP('Données projet'!$B$9,Paramètres!$A$1:$I$89,3,0)*0.475*44/12</f>
        <v>2.0662256829273267E-4</v>
      </c>
      <c r="AC59" s="22">
        <f t="shared" si="3"/>
        <v>9.6085877723946886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11.3</v>
      </c>
      <c r="AI59" s="13">
        <f>IF('Données projet'!$A$62&gt;35,AI58+AH59-AQ58,IF(A59&lt;'Données projet'!$A$62,$AF$205^A59,IF(A59='Données projet'!$A$62,'Données projet'!$B$62,AI58+AH59-AQ58)))</f>
        <v>387.80000000000018</v>
      </c>
      <c r="AJ59" s="13">
        <f>AI59*VLOOKUP('Données projet'!$B$10,Paramètres!$A$1:$I$89,3,0)*VLOOKUP('Données projet'!$B$10,Paramètres!$A$1:$I$89,5,0)</f>
        <v>211.73880000000008</v>
      </c>
      <c r="AK59" s="13">
        <f t="shared" si="35"/>
        <v>52.315374700843918</v>
      </c>
      <c r="AL59" s="20">
        <f t="shared" si="4"/>
        <v>459.89435427063654</v>
      </c>
      <c r="AM59" s="59">
        <f t="shared" si="5"/>
        <v>753.2276876039698</v>
      </c>
      <c r="AN59" s="59">
        <f ca="1">AVERAGE(OFFSET($AM$3,0,0,'Données projet'!$E$10+1,1))-AVERAGE(OFFSET($H$3,0,0,'Données projet'!$E$10+1,1))</f>
        <v>248.1486444660062</v>
      </c>
      <c r="AO59" s="59">
        <f t="shared" si="36"/>
        <v>293.34458072322127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5.0898623609428739</v>
      </c>
      <c r="AV59" s="21">
        <f>EXP(-LN(2)/25)*AV58+(1-EXP(-LN(2)/25))/(LN(2)/25)*Calculateur!AQ59*Calculateur!AS59*VLOOKUP('Données projet'!$B$10,Paramètres!$A$1:$I$89,3,0)*0.475*44/12</f>
        <v>16.553487974350418</v>
      </c>
      <c r="AW59" s="21">
        <f>EXP(-LN(2)/2)*AW58+(1-EXP(-LN(2)/2))/(LN(2)/2)*AQ59*AT59*VLOOKUP('Données projet'!$B$10,Paramètres!$A$1:$I$89,3,0)*0.475*44/12</f>
        <v>3.0740266253498844E-3</v>
      </c>
      <c r="AX59" s="21">
        <f t="shared" si="6"/>
        <v>21.64642436191864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9.8000000000000007</v>
      </c>
      <c r="BD59" s="12">
        <f>IF('Données projet'!$A$88&gt;35,BD58+BC59-BL58,IF(A59&lt;'Données projet'!$A$88,$BA$205^A59,IF(A59='Données projet'!$A$88,'Données projet'!$B$88,BD58+BC59-BL58)))</f>
        <v>342.80000000000018</v>
      </c>
      <c r="BE59" s="13">
        <f>BD59*VLOOKUP('Données projet'!$B$11,Paramètres!$A$1:$I$89,3,0)*VLOOKUP('Données projet'!$B$11,Paramètres!$A$1:$I$89,5,0)</f>
        <v>187.16880000000012</v>
      </c>
      <c r="BF59" s="13">
        <f t="shared" si="37"/>
        <v>46.913468855747631</v>
      </c>
      <c r="BG59" s="20">
        <f t="shared" si="7"/>
        <v>407.6932849237607</v>
      </c>
      <c r="BH59" s="59">
        <f t="shared" si="8"/>
        <v>701.02661825709401</v>
      </c>
      <c r="BI59" s="59">
        <f ca="1">AVERAGE(OFFSET($BH$3,0,0,'Données projet'!$E$11+1,1))-AVERAGE(OFFSET($H$3,0,0,'Données projet'!$E$11+1,1))</f>
        <v>210.04871822652808</v>
      </c>
      <c r="BJ59" s="59">
        <f t="shared" si="38"/>
        <v>250.17540614049324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4.3627391665224637</v>
      </c>
      <c r="BQ59" s="21">
        <f>EXP(-LN(2)/25)*BQ58+(1-EXP(-LN(2)/25))/(LN(2)/25)*Calculateur!BL59*Calculateur!BN59*VLOOKUP('Données projet'!$B$11,Paramètres!$A$1:$I$89,3,0)*0.475*44/12</f>
        <v>13.534840628822515</v>
      </c>
      <c r="BR59" s="21">
        <f>EXP(-LN(2)/2)*BR58+(1-EXP(-LN(2)/2))/(LN(2)/2)*BL59*BO59*VLOOKUP('Données projet'!$B$11,Paramètres!$A$1:$I$89,3,0)*0.475*44/12</f>
        <v>2.6310899337587479E-3</v>
      </c>
      <c r="BS59" s="22">
        <f t="shared" si="9"/>
        <v>17.900210885278735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12.384615384615381</v>
      </c>
      <c r="BY59" s="12">
        <f>IF('Données projet'!$A$114&gt;35,BY58+BX59-CG58,IF(A59&lt;'Données projet'!$A$114,$BV$205^A59,IF(A59='Données projet'!$A$114,'Données projet'!$B$114,BY58+BX59-CG58)))</f>
        <v>285.84615384615392</v>
      </c>
      <c r="BZ59" s="13">
        <f>BY59*VLOOKUP('Données projet'!$B$12,Paramètres!$A$1:$I$89,3,0)*VLOOKUP('Données projet'!$B$12,Paramètres!$A$1:$I$89,5,0)</f>
        <v>137.49200000000005</v>
      </c>
      <c r="CA59" s="13">
        <f t="shared" si="39"/>
        <v>35.721854851912902</v>
      </c>
      <c r="CB59" s="20">
        <f t="shared" si="10"/>
        <v>301.68079720041504</v>
      </c>
      <c r="CC59" s="59">
        <f t="shared" si="11"/>
        <v>595.01413053374836</v>
      </c>
      <c r="CD59" s="59">
        <f ca="1">AVERAGE(OFFSET($CC$3,0,0,'Données projet'!$E$12+1,1))-AVERAGE(OFFSET($H$3,0,0,'Données projet'!$E$12+1,1))</f>
        <v>304.15237106473313</v>
      </c>
      <c r="CE59" s="59">
        <f t="shared" si="40"/>
        <v>120.85458928724336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-1.2710188457276673E-13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255.5374979188561</v>
      </c>
      <c r="T60" s="59">
        <f t="shared" si="34"/>
        <v>343.10418468620901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1.8102605233687179</v>
      </c>
      <c r="AA60" s="21">
        <f>EXP(-LN(2)/25)*AA59+(1-EXP(-LN(2)/25))/(LN(2)/25)*Calculateur!V60*Calculateur!X60*VLOOKUP('Données projet'!$B$9,Paramètres!$A$1:$I$89,3,0)*0.475*44/12</f>
        <v>7.5496625969560309</v>
      </c>
      <c r="AB60" s="21">
        <f>EXP(-LN(2)/2)*AB59+(1-EXP(-LN(2)/2))/(LN(2)/2)*V60*Y60*VLOOKUP('Données projet'!$B$9,Paramètres!$A$1:$I$89,3,0)*0.475*44/12</f>
        <v>1.4610421918597179E-4</v>
      </c>
      <c r="AC60" s="22">
        <f t="shared" si="3"/>
        <v>9.3600692245439348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11.3</v>
      </c>
      <c r="AI60" s="13">
        <f>IF('Données projet'!$A$62&gt;35,AI59+AH60-AQ59,IF(A60&lt;'Données projet'!$A$62,$AF$205^A60,IF(A60='Données projet'!$A$62,'Données projet'!$B$62,AI59+AH60-AQ59)))</f>
        <v>399.10000000000019</v>
      </c>
      <c r="AJ60" s="13">
        <f>AI60*VLOOKUP('Données projet'!$B$10,Paramètres!$A$1:$I$89,3,0)*VLOOKUP('Données projet'!$B$10,Paramètres!$A$1:$I$89,5,0)</f>
        <v>217.90860000000009</v>
      </c>
      <c r="AK60" s="13">
        <f t="shared" si="35"/>
        <v>53.660077877545731</v>
      </c>
      <c r="AL60" s="20">
        <f t="shared" si="4"/>
        <v>472.98211397005889</v>
      </c>
      <c r="AM60" s="59">
        <f t="shared" si="5"/>
        <v>766.31544730339215</v>
      </c>
      <c r="AN60" s="59">
        <f ca="1">AVERAGE(OFFSET($AM$3,0,0,'Données projet'!$E$10+1,1))-AVERAGE(OFFSET($H$3,0,0,'Données projet'!$E$10+1,1))</f>
        <v>248.1486444660062</v>
      </c>
      <c r="AO60" s="59">
        <f t="shared" si="36"/>
        <v>293.34458072322127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4.9900532645542794</v>
      </c>
      <c r="AV60" s="21">
        <f>EXP(-LN(2)/25)*AV59+(1-EXP(-LN(2)/25))/(LN(2)/25)*Calculateur!AQ60*Calculateur!AS60*VLOOKUP('Données projet'!$B$10,Paramètres!$A$1:$I$89,3,0)*0.475*44/12</f>
        <v>16.100831975181706</v>
      </c>
      <c r="AW60" s="21">
        <f>EXP(-LN(2)/2)*AW59+(1-EXP(-LN(2)/2))/(LN(2)/2)*AQ60*AT60*VLOOKUP('Données projet'!$B$10,Paramètres!$A$1:$I$89,3,0)*0.475*44/12</f>
        <v>2.1736650723329018E-3</v>
      </c>
      <c r="AX60" s="21">
        <f t="shared" si="6"/>
        <v>21.09305890480832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9.8000000000000007</v>
      </c>
      <c r="BD60" s="12">
        <f>IF('Données projet'!$A$88&gt;35,BD59+BC60-BL59,IF(A60&lt;'Données projet'!$A$88,$BA$205^A60,IF(A60='Données projet'!$A$88,'Données projet'!$B$88,BD59+BC60-BL59)))</f>
        <v>352.60000000000019</v>
      </c>
      <c r="BE60" s="13">
        <f>BD60*VLOOKUP('Données projet'!$B$11,Paramètres!$A$1:$I$89,3,0)*VLOOKUP('Données projet'!$B$11,Paramètres!$A$1:$I$89,5,0)</f>
        <v>192.51960000000011</v>
      </c>
      <c r="BF60" s="13">
        <f t="shared" si="37"/>
        <v>48.096572818546932</v>
      </c>
      <c r="BG60" s="20">
        <f t="shared" si="7"/>
        <v>419.0731676589694</v>
      </c>
      <c r="BH60" s="59">
        <f t="shared" si="8"/>
        <v>712.40650099230265</v>
      </c>
      <c r="BI60" s="59">
        <f ca="1">AVERAGE(OFFSET($BH$3,0,0,'Données projet'!$E$11+1,1))-AVERAGE(OFFSET($H$3,0,0,'Données projet'!$E$11+1,1))</f>
        <v>210.04871822652808</v>
      </c>
      <c r="BJ60" s="59">
        <f t="shared" si="38"/>
        <v>250.17540614049324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4.2771885124750968</v>
      </c>
      <c r="BQ60" s="21">
        <f>EXP(-LN(2)/25)*BQ59+(1-EXP(-LN(2)/25))/(LN(2)/25)*Calculateur!BL60*Calculateur!BN60*VLOOKUP('Données projet'!$B$11,Paramètres!$A$1:$I$89,3,0)*0.475*44/12</f>
        <v>13.164729700061029</v>
      </c>
      <c r="BR60" s="21">
        <f>EXP(-LN(2)/2)*BR59+(1-EXP(-LN(2)/2))/(LN(2)/2)*BL60*BO60*VLOOKUP('Données projet'!$B$11,Paramètres!$A$1:$I$89,3,0)*0.475*44/12</f>
        <v>1.8604615340724749E-3</v>
      </c>
      <c r="BS60" s="22">
        <f t="shared" si="9"/>
        <v>17.443778674070199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12.384615384615381</v>
      </c>
      <c r="BY60" s="12">
        <f>IF('Données projet'!$A$114&gt;35,BY59+BX60-CG59,IF(A60&lt;'Données projet'!$A$114,$BV$205^A60,IF(A60='Données projet'!$A$114,'Données projet'!$B$114,BY59+BX60-CG59)))</f>
        <v>298.23076923076928</v>
      </c>
      <c r="BZ60" s="13">
        <f>BY60*VLOOKUP('Données projet'!$B$12,Paramètres!$A$1:$I$89,3,0)*VLOOKUP('Données projet'!$B$12,Paramètres!$A$1:$I$89,5,0)</f>
        <v>143.44900000000001</v>
      </c>
      <c r="CA60" s="13">
        <f t="shared" si="39"/>
        <v>37.086000345814433</v>
      </c>
      <c r="CB60" s="20">
        <f t="shared" si="10"/>
        <v>314.43179226896012</v>
      </c>
      <c r="CC60" s="59">
        <f t="shared" si="11"/>
        <v>607.76512560229344</v>
      </c>
      <c r="CD60" s="59">
        <f ca="1">AVERAGE(OFFSET($CC$3,0,0,'Données projet'!$E$12+1,1))-AVERAGE(OFFSET($H$3,0,0,'Données projet'!$E$12+1,1))</f>
        <v>304.15237106473313</v>
      </c>
      <c r="CE60" s="59">
        <f t="shared" si="40"/>
        <v>120.85458928724336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-1.2710188457276673E-13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255.5374979188561</v>
      </c>
      <c r="T61" s="59">
        <f t="shared" si="34"/>
        <v>343.10418468620901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1.7747624186553508</v>
      </c>
      <c r="AA61" s="21">
        <f>EXP(-LN(2)/25)*AA60+(1-EXP(-LN(2)/25))/(LN(2)/25)*Calculateur!V61*Calculateur!X61*VLOOKUP('Données projet'!$B$9,Paramètres!$A$1:$I$89,3,0)*0.475*44/12</f>
        <v>7.3432166762227675</v>
      </c>
      <c r="AB61" s="21">
        <f>EXP(-LN(2)/2)*AB60+(1-EXP(-LN(2)/2))/(LN(2)/2)*V61*Y61*VLOOKUP('Données projet'!$B$9,Paramètres!$A$1:$I$89,3,0)*0.475*44/12</f>
        <v>1.0331128414636634E-4</v>
      </c>
      <c r="AC61" s="22">
        <f t="shared" si="3"/>
        <v>9.1180824061622641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11.3</v>
      </c>
      <c r="AI61" s="13">
        <f>IF('Données projet'!$A$62&gt;35,AI60+AH61-AQ60,IF(A61&lt;'Données projet'!$A$62,$AF$205^A61,IF(A61='Données projet'!$A$62,'Données projet'!$B$62,AI60+AH61-AQ60)))</f>
        <v>410.4000000000002</v>
      </c>
      <c r="AJ61" s="13">
        <f>AI61*VLOOKUP('Données projet'!$B$10,Paramètres!$A$1:$I$89,3,0)*VLOOKUP('Données projet'!$B$10,Paramètres!$A$1:$I$89,5,0)</f>
        <v>224.0784000000001</v>
      </c>
      <c r="AK61" s="13">
        <f t="shared" si="35"/>
        <v>55.000355965484125</v>
      </c>
      <c r="AL61" s="20">
        <f t="shared" si="4"/>
        <v>486.06216663988494</v>
      </c>
      <c r="AM61" s="59">
        <f t="shared" si="5"/>
        <v>779.39549997321819</v>
      </c>
      <c r="AN61" s="59">
        <f ca="1">AVERAGE(OFFSET($AM$3,0,0,'Données projet'!$E$10+1,1))-AVERAGE(OFFSET($H$3,0,0,'Données projet'!$E$10+1,1))</f>
        <v>248.1486444660062</v>
      </c>
      <c r="AO61" s="59">
        <f t="shared" si="36"/>
        <v>293.34458072322127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4.8922013636683275</v>
      </c>
      <c r="AV61" s="21">
        <f>EXP(-LN(2)/25)*AV60+(1-EXP(-LN(2)/25))/(LN(2)/25)*Calculateur!AQ61*Calculateur!AS61*VLOOKUP('Données projet'!$B$10,Paramètres!$A$1:$I$89,3,0)*0.475*44/12</f>
        <v>15.660553878114408</v>
      </c>
      <c r="AW61" s="21">
        <f>EXP(-LN(2)/2)*AW60+(1-EXP(-LN(2)/2))/(LN(2)/2)*AQ61*AT61*VLOOKUP('Données projet'!$B$10,Paramètres!$A$1:$I$89,3,0)*0.475*44/12</f>
        <v>1.5370133126749422E-3</v>
      </c>
      <c r="AX61" s="21">
        <f t="shared" si="6"/>
        <v>20.554292255095408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9.8000000000000007</v>
      </c>
      <c r="BD61" s="12">
        <f>IF('Données projet'!$A$88&gt;35,BD60+BC61-BL60,IF(A61&lt;'Données projet'!$A$88,$BA$205^A61,IF(A61='Données projet'!$A$88,'Données projet'!$B$88,BD60+BC61-BL60)))</f>
        <v>362.4000000000002</v>
      </c>
      <c r="BE61" s="13">
        <f>BD61*VLOOKUP('Données projet'!$B$11,Paramètres!$A$1:$I$89,3,0)*VLOOKUP('Données projet'!$B$11,Paramètres!$A$1:$I$89,5,0)</f>
        <v>197.8704000000001</v>
      </c>
      <c r="BF61" s="13">
        <f t="shared" si="37"/>
        <v>49.275854906806309</v>
      </c>
      <c r="BG61" s="20">
        <f t="shared" si="7"/>
        <v>430.44639396268781</v>
      </c>
      <c r="BH61" s="59">
        <f t="shared" si="8"/>
        <v>723.77972729602106</v>
      </c>
      <c r="BI61" s="59">
        <f ca="1">AVERAGE(OFFSET($BH$3,0,0,'Données projet'!$E$11+1,1))-AVERAGE(OFFSET($H$3,0,0,'Données projet'!$E$11+1,1))</f>
        <v>210.04871822652808</v>
      </c>
      <c r="BJ61" s="59">
        <f t="shared" si="38"/>
        <v>250.17540614049324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4.1933154545728524</v>
      </c>
      <c r="BQ61" s="21">
        <f>EXP(-LN(2)/25)*BQ60+(1-EXP(-LN(2)/25))/(LN(2)/25)*Calculateur!BL61*Calculateur!BN61*VLOOKUP('Données projet'!$B$11,Paramètres!$A$1:$I$89,3,0)*0.475*44/12</f>
        <v>12.804739474109814</v>
      </c>
      <c r="BR61" s="21">
        <f>EXP(-LN(2)/2)*BR60+(1-EXP(-LN(2)/2))/(LN(2)/2)*BL61*BO61*VLOOKUP('Données projet'!$B$11,Paramètres!$A$1:$I$89,3,0)*0.475*44/12</f>
        <v>1.3155449668793742E-3</v>
      </c>
      <c r="BS61" s="22">
        <f t="shared" si="9"/>
        <v>16.999370473649545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12.384615384615381</v>
      </c>
      <c r="BY61" s="12">
        <f>IF('Données projet'!$A$114&gt;35,BY60+BX61-CG60,IF(A61&lt;'Données projet'!$A$114,$BV$205^A61,IF(A61='Données projet'!$A$114,'Données projet'!$B$114,BY60+BX61-CG60)))</f>
        <v>310.61538461538464</v>
      </c>
      <c r="BZ61" s="13">
        <f>BY61*VLOOKUP('Données projet'!$B$12,Paramètres!$A$1:$I$89,3,0)*VLOOKUP('Données projet'!$B$12,Paramètres!$A$1:$I$89,5,0)</f>
        <v>149.40600000000001</v>
      </c>
      <c r="CA61" s="13">
        <f t="shared" si="39"/>
        <v>38.443565832322541</v>
      </c>
      <c r="CB61" s="20">
        <f t="shared" si="10"/>
        <v>327.1713271579618</v>
      </c>
      <c r="CC61" s="59">
        <f t="shared" si="11"/>
        <v>620.50466049129511</v>
      </c>
      <c r="CD61" s="59">
        <f ca="1">AVERAGE(OFFSET($CC$3,0,0,'Données projet'!$E$12+1,1))-AVERAGE(OFFSET($H$3,0,0,'Données projet'!$E$12+1,1))</f>
        <v>304.15237106473313</v>
      </c>
      <c r="CE61" s="59">
        <f t="shared" si="40"/>
        <v>120.85458928724336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-1.2710188457276673E-13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255.5374979188561</v>
      </c>
      <c r="T62" s="59">
        <f t="shared" si="34"/>
        <v>343.10418468620901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1.7399604101237069</v>
      </c>
      <c r="AA62" s="21">
        <f>EXP(-LN(2)/25)*AA61+(1-EXP(-LN(2)/25))/(LN(2)/25)*Calculateur!V62*Calculateur!X62*VLOOKUP('Données projet'!$B$9,Paramètres!$A$1:$I$89,3,0)*0.475*44/12</f>
        <v>7.1424160300484738</v>
      </c>
      <c r="AB62" s="21">
        <f>EXP(-LN(2)/2)*AB61+(1-EXP(-LN(2)/2))/(LN(2)/2)*V62*Y62*VLOOKUP('Données projet'!$B$9,Paramètres!$A$1:$I$89,3,0)*0.475*44/12</f>
        <v>7.3052109592985895E-5</v>
      </c>
      <c r="AC62" s="22">
        <f t="shared" si="3"/>
        <v>8.8824494922817738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11.3</v>
      </c>
      <c r="AI62" s="13">
        <f>IF('Données projet'!$A$62&gt;35,AI61+AH62-AQ61,IF(A62&lt;'Données projet'!$A$62,$AF$205^A62,IF(A62='Données projet'!$A$62,'Données projet'!$B$62,AI61+AH62-AQ61)))</f>
        <v>421.70000000000022</v>
      </c>
      <c r="AJ62" s="13">
        <f>AI62*VLOOKUP('Données projet'!$B$10,Paramètres!$A$1:$I$89,3,0)*VLOOKUP('Données projet'!$B$10,Paramètres!$A$1:$I$89,5,0)</f>
        <v>230.24820000000011</v>
      </c>
      <c r="AK62" s="13">
        <f t="shared" si="35"/>
        <v>56.336344804856289</v>
      </c>
      <c r="AL62" s="20">
        <f t="shared" si="4"/>
        <v>499.13474886845819</v>
      </c>
      <c r="AM62" s="59">
        <f t="shared" si="5"/>
        <v>792.4680822017915</v>
      </c>
      <c r="AN62" s="59">
        <f ca="1">AVERAGE(OFFSET($AM$3,0,0,'Données projet'!$E$10+1,1))-AVERAGE(OFFSET($H$3,0,0,'Données projet'!$E$10+1,1))</f>
        <v>248.1486444660062</v>
      </c>
      <c r="AO62" s="59">
        <f t="shared" si="36"/>
        <v>293.34458072322127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4.7962682788749831</v>
      </c>
      <c r="AV62" s="21">
        <f>EXP(-LN(2)/25)*AV61+(1-EXP(-LN(2)/25))/(LN(2)/25)*Calculateur!AQ62*Calculateur!AS62*VLOOKUP('Données projet'!$B$10,Paramètres!$A$1:$I$89,3,0)*0.475*44/12</f>
        <v>15.232315208764634</v>
      </c>
      <c r="AW62" s="21">
        <f>EXP(-LN(2)/2)*AW61+(1-EXP(-LN(2)/2))/(LN(2)/2)*AQ62*AT62*VLOOKUP('Données projet'!$B$10,Paramètres!$A$1:$I$89,3,0)*0.475*44/12</f>
        <v>1.0868325361664509E-3</v>
      </c>
      <c r="AX62" s="21">
        <f t="shared" si="6"/>
        <v>20.029670320175782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9.8000000000000007</v>
      </c>
      <c r="BD62" s="12">
        <f>IF('Données projet'!$A$88&gt;35,BD61+BC62-BL61,IF(A62&lt;'Données projet'!$A$88,$BA$205^A62,IF(A62='Données projet'!$A$88,'Données projet'!$B$88,BD61+BC62-BL61)))</f>
        <v>372.20000000000022</v>
      </c>
      <c r="BE62" s="13">
        <f>BD62*VLOOKUP('Données projet'!$B$11,Paramètres!$A$1:$I$89,3,0)*VLOOKUP('Données projet'!$B$11,Paramètres!$A$1:$I$89,5,0)</f>
        <v>203.22120000000012</v>
      </c>
      <c r="BF62" s="13">
        <f t="shared" si="37"/>
        <v>50.451430348521406</v>
      </c>
      <c r="BG62" s="20">
        <f t="shared" si="7"/>
        <v>441.81316452367497</v>
      </c>
      <c r="BH62" s="59">
        <f t="shared" si="8"/>
        <v>735.14649785700828</v>
      </c>
      <c r="BI62" s="59">
        <f ca="1">AVERAGE(OFFSET($BH$3,0,0,'Données projet'!$E$11+1,1))-AVERAGE(OFFSET($H$3,0,0,'Données projet'!$E$11+1,1))</f>
        <v>210.04871822652808</v>
      </c>
      <c r="BJ62" s="59">
        <f t="shared" si="38"/>
        <v>250.17540614049324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4.1110870961785571</v>
      </c>
      <c r="BQ62" s="21">
        <f>EXP(-LN(2)/25)*BQ61+(1-EXP(-LN(2)/25))/(LN(2)/25)*Calculateur!BL62*Calculateur!BN62*VLOOKUP('Données projet'!$B$11,Paramètres!$A$1:$I$89,3,0)*0.475*44/12</f>
        <v>12.454593199818298</v>
      </c>
      <c r="BR62" s="21">
        <f>EXP(-LN(2)/2)*BR61+(1-EXP(-LN(2)/2))/(LN(2)/2)*BL62*BO62*VLOOKUP('Données projet'!$B$11,Paramètres!$A$1:$I$89,3,0)*0.475*44/12</f>
        <v>9.3023076703623757E-4</v>
      </c>
      <c r="BS62" s="22">
        <f t="shared" si="9"/>
        <v>16.566610526763892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12.384615384615381</v>
      </c>
      <c r="BY62" s="12">
        <f>IF('Données projet'!$A$114&gt;35,BY61+BX62-CG61,IF(A62&lt;'Données projet'!$A$114,$BV$205^A62,IF(A62='Données projet'!$A$114,'Données projet'!$B$114,BY61+BX62-CG61)))</f>
        <v>323</v>
      </c>
      <c r="BZ62" s="13">
        <f>BY62*VLOOKUP('Données projet'!$B$12,Paramètres!$A$1:$I$89,3,0)*VLOOKUP('Données projet'!$B$12,Paramètres!$A$1:$I$89,5,0)</f>
        <v>155.363</v>
      </c>
      <c r="CA62" s="13">
        <f t="shared" si="39"/>
        <v>39.794843681510258</v>
      </c>
      <c r="CB62" s="20">
        <f t="shared" si="10"/>
        <v>339.89991107863034</v>
      </c>
      <c r="CC62" s="59">
        <f t="shared" si="11"/>
        <v>633.2332444119636</v>
      </c>
      <c r="CD62" s="59">
        <f ca="1">AVERAGE(OFFSET($CC$3,0,0,'Données projet'!$E$12+1,1))-AVERAGE(OFFSET($H$3,0,0,'Données projet'!$E$12+1,1))</f>
        <v>304.15237106473313</v>
      </c>
      <c r="CE62" s="59">
        <f t="shared" si="40"/>
        <v>120.85458928724336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-1.2710188457276673E-13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255.5374979188561</v>
      </c>
      <c r="T63" s="59">
        <f t="shared" si="34"/>
        <v>343.10418468620901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1.7058408477522393</v>
      </c>
      <c r="AA63" s="21">
        <f>EXP(-LN(2)/25)*AA62+(1-EXP(-LN(2)/25))/(LN(2)/25)*Calculateur!V63*Calculateur!X63*VLOOKUP('Données projet'!$B$9,Paramètres!$A$1:$I$89,3,0)*0.475*44/12</f>
        <v>6.9471062881034635</v>
      </c>
      <c r="AB63" s="21">
        <f>EXP(-LN(2)/2)*AB62+(1-EXP(-LN(2)/2))/(LN(2)/2)*V63*Y63*VLOOKUP('Données projet'!$B$9,Paramètres!$A$1:$I$89,3,0)*0.475*44/12</f>
        <v>5.1655642073183168E-5</v>
      </c>
      <c r="AC63" s="22">
        <f t="shared" si="3"/>
        <v>8.652998791497776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433</v>
      </c>
      <c r="AG63" s="12">
        <f>VLOOKUP(A63,'Données projet'!$A$61:$I$81,9,0)</f>
        <v>11.3</v>
      </c>
      <c r="AH63" s="12">
        <f t="array" ref="AH63">INDEX(AG:AG,MIN(IF(ISNUMBER(AG63:AG259),ROW(AG63:AG259),"")))</f>
        <v>11.3</v>
      </c>
      <c r="AI63" s="13">
        <f>IF('Données projet'!$A$62&gt;35,AI62+AH63-AQ62,IF(A63&lt;'Données projet'!$A$62,$AF$205^A63,IF(A63='Données projet'!$A$62,'Données projet'!$B$62,AI62+AH63-AQ62)))</f>
        <v>433.00000000000023</v>
      </c>
      <c r="AJ63" s="13">
        <f>AI63*VLOOKUP('Données projet'!$B$10,Paramètres!$A$1:$I$89,3,0)*VLOOKUP('Données projet'!$B$10,Paramètres!$A$1:$I$89,5,0)</f>
        <v>236.41800000000015</v>
      </c>
      <c r="AK63" s="13">
        <f t="shared" si="35"/>
        <v>57.668172541352803</v>
      </c>
      <c r="AL63" s="20">
        <f t="shared" si="4"/>
        <v>512.20008384285632</v>
      </c>
      <c r="AM63" s="59">
        <f t="shared" si="5"/>
        <v>805.53341717618969</v>
      </c>
      <c r="AN63" s="59">
        <f ca="1">AVERAGE(OFFSET($AM$3,0,0,'Données projet'!$E$10+1,1))-AVERAGE(OFFSET($H$3,0,0,'Données projet'!$E$10+1,1))</f>
        <v>248.1486444660062</v>
      </c>
      <c r="AO63" s="59">
        <f t="shared" si="36"/>
        <v>293.34458072322127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67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4.7022163833610318</v>
      </c>
      <c r="AV63" s="21">
        <f>EXP(-LN(2)/25)*AV62+(1-EXP(-LN(2)/25))/(LN(2)/25)*Calculateur!AQ63*Calculateur!AS63*VLOOKUP('Données projet'!$B$10,Paramètres!$A$1:$I$89,3,0)*0.475*44/12</f>
        <v>14.815786748348321</v>
      </c>
      <c r="AW63" s="21">
        <f>EXP(-LN(2)/2)*AW62+(1-EXP(-LN(2)/2))/(LN(2)/2)*AQ63*AT63*VLOOKUP('Données projet'!$B$10,Paramètres!$A$1:$I$89,3,0)*0.475*44/12</f>
        <v>7.685066563374711E-4</v>
      </c>
      <c r="AX63" s="21">
        <f t="shared" si="6"/>
        <v>19.518771638365692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382</v>
      </c>
      <c r="BB63" s="12">
        <f>VLOOKUP(A63,'Données projet'!$A$87:$I$107,9,0)</f>
        <v>9.8000000000000007</v>
      </c>
      <c r="BC63" s="12">
        <f t="array" ref="BC63">INDEX(BB:BB,MIN(IF(ISNUMBER(BB63:BB259),ROW(BB63:BB259),"")))</f>
        <v>9.8000000000000007</v>
      </c>
      <c r="BD63" s="12">
        <f>IF('Données projet'!$A$88&gt;35,BD62+BC63-BL62,IF(A63&lt;'Données projet'!$A$88,$BA$205^A63,IF(A63='Données projet'!$A$88,'Données projet'!$B$88,BD62+BC63-BL62)))</f>
        <v>382.00000000000023</v>
      </c>
      <c r="BE63" s="13">
        <f>BD63*VLOOKUP('Données projet'!$B$11,Paramètres!$A$1:$I$89,3,0)*VLOOKUP('Données projet'!$B$11,Paramètres!$A$1:$I$89,5,0)</f>
        <v>208.57200000000012</v>
      </c>
      <c r="BF63" s="13">
        <f t="shared" si="37"/>
        <v>51.623407958239042</v>
      </c>
      <c r="BG63" s="20">
        <f t="shared" si="7"/>
        <v>453.17366886059989</v>
      </c>
      <c r="BH63" s="59">
        <f t="shared" si="8"/>
        <v>746.5070021939332</v>
      </c>
      <c r="BI63" s="59">
        <f ca="1">AVERAGE(OFFSET($BH$3,0,0,'Données projet'!$E$11+1,1))-AVERAGE(OFFSET($H$3,0,0,'Données projet'!$E$11+1,1))</f>
        <v>210.04871822652808</v>
      </c>
      <c r="BJ63" s="59">
        <f t="shared" si="38"/>
        <v>250.17540614049324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4.030471185738028</v>
      </c>
      <c r="BQ63" s="21">
        <f>EXP(-LN(2)/25)*BQ62+(1-EXP(-LN(2)/25))/(LN(2)/25)*Calculateur!BL63*Calculateur!BN63*VLOOKUP('Données projet'!$B$11,Paramètres!$A$1:$I$89,3,0)*0.475*44/12</f>
        <v>12.114021693810676</v>
      </c>
      <c r="BR63" s="21">
        <f>EXP(-LN(2)/2)*BR62+(1-EXP(-LN(2)/2))/(LN(2)/2)*BL63*BO63*VLOOKUP('Données projet'!$B$11,Paramètres!$A$1:$I$89,3,0)*0.475*44/12</f>
        <v>6.577724834396872E-4</v>
      </c>
      <c r="BS63" s="22">
        <f t="shared" si="9"/>
        <v>16.145150652032143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335.38461538461536</v>
      </c>
      <c r="BW63" s="12">
        <f>VLOOKUP(A63,'Données projet'!$A$113:$I$133,9,0)</f>
        <v>12.384615384615381</v>
      </c>
      <c r="BX63" s="12">
        <f t="array" ref="BX63">INDEX(BW:BW,MIN(IF(ISNUMBER(BW63:BW259),ROW(BW63:BW259),"")))</f>
        <v>12.384615384615381</v>
      </c>
      <c r="BY63" s="12">
        <f>IF('Données projet'!$A$114&gt;35,BY62+BX63-CG62,IF(A63&lt;'Données projet'!$A$114,$BV$205^A63,IF(A63='Données projet'!$A$114,'Données projet'!$B$114,BY62+BX63-CG62)))</f>
        <v>335.38461538461536</v>
      </c>
      <c r="BZ63" s="13">
        <f>BY63*VLOOKUP('Données projet'!$B$12,Paramètres!$A$1:$I$89,3,0)*VLOOKUP('Données projet'!$B$12,Paramètres!$A$1:$I$89,5,0)</f>
        <v>161.32</v>
      </c>
      <c r="CA63" s="13">
        <f t="shared" si="39"/>
        <v>41.140102573327844</v>
      </c>
      <c r="CB63" s="20">
        <f t="shared" si="10"/>
        <v>352.61801198187936</v>
      </c>
      <c r="CC63" s="59">
        <f t="shared" si="11"/>
        <v>645.95134531521262</v>
      </c>
      <c r="CD63" s="59">
        <f ca="1">AVERAGE(OFFSET($CC$3,0,0,'Données projet'!$E$12+1,1))-AVERAGE(OFFSET($H$3,0,0,'Données projet'!$E$12+1,1))</f>
        <v>304.15237106473313</v>
      </c>
      <c r="CE63" s="59">
        <f t="shared" si="40"/>
        <v>120.85458928724336</v>
      </c>
      <c r="CF63" s="15">
        <f>IF(ISNA(VLOOKUP(A63,'Données projet'!$A$113:$I$133,3,0)),0,VLOOKUP(A63,'Données projet'!$A$113:$I$133,3,0))</f>
        <v>3</v>
      </c>
      <c r="CG63" s="15">
        <f>IF(ISNA(VLOOKUP(A63,'Données projet'!$A$113:$I$133,4,0)),0,VLOOKUP(A63,'Données projet'!$A$113:$I$133,4,0))</f>
        <v>50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255.5374979188561</v>
      </c>
      <c r="T64" s="59">
        <f t="shared" si="34"/>
        <v>343.10418468620901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1.6723903491879981</v>
      </c>
      <c r="AA64" s="21">
        <f>EXP(-LN(2)/25)*AA63+(1-EXP(-LN(2)/25))/(LN(2)/25)*Calculateur!V64*Calculateur!X64*VLOOKUP('Données projet'!$B$9,Paramètres!$A$1:$I$89,3,0)*0.475*44/12</f>
        <v>6.7571373013228326</v>
      </c>
      <c r="AB64" s="21">
        <f>EXP(-LN(2)/2)*AB63+(1-EXP(-LN(2)/2))/(LN(2)/2)*V64*Y64*VLOOKUP('Données projet'!$B$9,Paramètres!$A$1:$I$89,3,0)*0.475*44/12</f>
        <v>3.6526054796492948E-5</v>
      </c>
      <c r="AC64" s="22">
        <f t="shared" si="3"/>
        <v>8.4295641765656271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9.8000000000000007</v>
      </c>
      <c r="AI64" s="13">
        <f>IF('Données projet'!$A$62&gt;35,AI63+AH64-AQ63,IF(A64&lt;'Données projet'!$A$62,$AF$205^A64,IF(A64='Données projet'!$A$62,'Données projet'!$B$62,AI63+AH64-AQ63)))</f>
        <v>375.80000000000024</v>
      </c>
      <c r="AJ64" s="13">
        <f>AI64*VLOOKUP('Données projet'!$B$10,Paramètres!$A$1:$I$89,3,0)*VLOOKUP('Données projet'!$B$10,Paramètres!$A$1:$I$89,5,0)</f>
        <v>205.18680000000015</v>
      </c>
      <c r="AK64" s="13">
        <f t="shared" si="35"/>
        <v>50.882365236333044</v>
      </c>
      <c r="AL64" s="20">
        <f t="shared" si="4"/>
        <v>445.98712945328037</v>
      </c>
      <c r="AM64" s="59">
        <f t="shared" si="5"/>
        <v>739.32046278661369</v>
      </c>
      <c r="AN64" s="59">
        <f ca="1">AVERAGE(OFFSET($AM$3,0,0,'Données projet'!$E$10+1,1))-AVERAGE(OFFSET($H$3,0,0,'Données projet'!$E$10+1,1))</f>
        <v>248.1486444660062</v>
      </c>
      <c r="AO64" s="59">
        <f t="shared" si="36"/>
        <v>293.34458072322127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4.6100087881521175</v>
      </c>
      <c r="AV64" s="21">
        <f>EXP(-LN(2)/25)*AV63+(1-EXP(-LN(2)/25))/(LN(2)/25)*Calculateur!AQ64*Calculateur!AS64*VLOOKUP('Données projet'!$B$10,Paramètres!$A$1:$I$89,3,0)*0.475*44/12</f>
        <v>14.410648280586374</v>
      </c>
      <c r="AW64" s="21">
        <f>EXP(-LN(2)/2)*AW63+(1-EXP(-LN(2)/2))/(LN(2)/2)*AQ64*AT64*VLOOKUP('Données projet'!$B$10,Paramètres!$A$1:$I$89,3,0)*0.475*44/12</f>
        <v>5.4341626808322545E-4</v>
      </c>
      <c r="AX64" s="21">
        <f t="shared" si="6"/>
        <v>19.021200485006574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</v>
      </c>
      <c r="BD64" s="12">
        <f>IF('Données projet'!$A$88&gt;35,BD63+BC64-BL63,IF(A64&lt;'Données projet'!$A$88,$BA$205^A64,IF(A64='Données projet'!$A$88,'Données projet'!$B$88,BD63+BC64-BL63)))</f>
        <v>334.50000000000023</v>
      </c>
      <c r="BE64" s="13">
        <f>BD64*VLOOKUP('Données projet'!$B$11,Paramètres!$A$1:$I$89,3,0)*VLOOKUP('Données projet'!$B$11,Paramètres!$A$1:$I$89,5,0)</f>
        <v>182.63700000000014</v>
      </c>
      <c r="BF64" s="13">
        <f t="shared" si="37"/>
        <v>45.908372564566413</v>
      </c>
      <c r="BG64" s="20">
        <f t="shared" si="7"/>
        <v>398.04985721662001</v>
      </c>
      <c r="BH64" s="59">
        <f t="shared" si="8"/>
        <v>691.38319054995327</v>
      </c>
      <c r="BI64" s="59">
        <f ca="1">AVERAGE(OFFSET($BH$3,0,0,'Données projet'!$E$11+1,1))-AVERAGE(OFFSET($H$3,0,0,'Données projet'!$E$11+1,1))</f>
        <v>210.04871822652808</v>
      </c>
      <c r="BJ64" s="59">
        <f t="shared" si="38"/>
        <v>250.17540614049324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3.9514361041303872</v>
      </c>
      <c r="BQ64" s="21">
        <f>EXP(-LN(2)/25)*BQ63+(1-EXP(-LN(2)/25))/(LN(2)/25)*Calculateur!BL64*Calculateur!BN64*VLOOKUP('Données projet'!$B$11,Paramètres!$A$1:$I$89,3,0)*0.475*44/12</f>
        <v>11.782763133544709</v>
      </c>
      <c r="BR64" s="21">
        <f>EXP(-LN(2)/2)*BR63+(1-EXP(-LN(2)/2))/(LN(2)/2)*BL64*BO64*VLOOKUP('Données projet'!$B$11,Paramètres!$A$1:$I$89,3,0)*0.475*44/12</f>
        <v>4.651153835181189E-4</v>
      </c>
      <c r="BS64" s="22">
        <f t="shared" si="9"/>
        <v>15.734664353058614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14</v>
      </c>
      <c r="BY64" s="12">
        <f>IF('Données projet'!$A$114&gt;35,BY63+BX64-CG63,IF(A64&lt;'Données projet'!$A$114,$BV$205^A64,IF(A64='Données projet'!$A$114,'Données projet'!$B$114,BY63+BX64-CG63)))</f>
        <v>299.38461538461536</v>
      </c>
      <c r="BZ64" s="13">
        <f>BY64*VLOOKUP('Données projet'!$B$12,Paramètres!$A$1:$I$89,3,0)*VLOOKUP('Données projet'!$B$12,Paramètres!$A$1:$I$89,5,0)</f>
        <v>144.00399999999999</v>
      </c>
      <c r="CA64" s="13">
        <f t="shared" si="39"/>
        <v>37.21275487922167</v>
      </c>
      <c r="CB64" s="20">
        <f t="shared" si="10"/>
        <v>315.6191814146444</v>
      </c>
      <c r="CC64" s="59">
        <f t="shared" si="11"/>
        <v>608.95251474797772</v>
      </c>
      <c r="CD64" s="59">
        <f ca="1">AVERAGE(OFFSET($CC$3,0,0,'Données projet'!$E$12+1,1))-AVERAGE(OFFSET($H$3,0,0,'Données projet'!$E$12+1,1))</f>
        <v>304.15237106473313</v>
      </c>
      <c r="CE64" s="59">
        <f t="shared" si="40"/>
        <v>120.85458928724336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255.5374979188561</v>
      </c>
      <c r="T65" s="59">
        <f t="shared" si="34"/>
        <v>343.10418468620901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1.6395957944978121</v>
      </c>
      <c r="AA65" s="21">
        <f>EXP(-LN(2)/25)*AA64+(1-EXP(-LN(2)/25))/(LN(2)/25)*Calculateur!V65*Calculateur!X65*VLOOKUP('Données projet'!$B$9,Paramètres!$A$1:$I$89,3,0)*0.475*44/12</f>
        <v>6.5723630264757524</v>
      </c>
      <c r="AB65" s="21">
        <f>EXP(-LN(2)/2)*AB64+(1-EXP(-LN(2)/2))/(LN(2)/2)*V65*Y65*VLOOKUP('Données projet'!$B$9,Paramètres!$A$1:$I$89,3,0)*0.475*44/12</f>
        <v>2.5827821036591584E-5</v>
      </c>
      <c r="AC65" s="22">
        <f t="shared" si="3"/>
        <v>8.2119846487946013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9.8000000000000007</v>
      </c>
      <c r="AI65" s="13">
        <f>IF('Données projet'!$A$62&gt;35,AI64+AH65-AQ64,IF(A65&lt;'Données projet'!$A$62,$AF$205^A65,IF(A65='Données projet'!$A$62,'Données projet'!$B$62,AI64+AH65-AQ64)))</f>
        <v>385.60000000000025</v>
      </c>
      <c r="AJ65" s="13">
        <f>AI65*VLOOKUP('Données projet'!$B$10,Paramètres!$A$1:$I$89,3,0)*VLOOKUP('Données projet'!$B$10,Paramètres!$A$1:$I$89,5,0)</f>
        <v>210.53760000000014</v>
      </c>
      <c r="AK65" s="13">
        <f t="shared" si="35"/>
        <v>52.053047337322276</v>
      </c>
      <c r="AL65" s="20">
        <f t="shared" si="4"/>
        <v>457.3453774458365</v>
      </c>
      <c r="AM65" s="59">
        <f t="shared" si="5"/>
        <v>750.67871077916982</v>
      </c>
      <c r="AN65" s="59">
        <f ca="1">AVERAGE(OFFSET($AM$3,0,0,'Données projet'!$E$10+1,1))-AVERAGE(OFFSET($H$3,0,0,'Données projet'!$E$10+1,1))</f>
        <v>248.1486444660062</v>
      </c>
      <c r="AO65" s="59">
        <f t="shared" si="36"/>
        <v>293.34458072322127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4.5196093276441704</v>
      </c>
      <c r="AV65" s="21">
        <f>EXP(-LN(2)/25)*AV64+(1-EXP(-LN(2)/25))/(LN(2)/25)*Calculateur!AQ65*Calculateur!AS65*VLOOKUP('Données projet'!$B$10,Paramètres!$A$1:$I$89,3,0)*0.475*44/12</f>
        <v>14.016588345530682</v>
      </c>
      <c r="AW65" s="21">
        <f>EXP(-LN(2)/2)*AW64+(1-EXP(-LN(2)/2))/(LN(2)/2)*AQ65*AT65*VLOOKUP('Données projet'!$B$10,Paramètres!$A$1:$I$89,3,0)*0.475*44/12</f>
        <v>3.8425332816873555E-4</v>
      </c>
      <c r="AX65" s="21">
        <f t="shared" si="6"/>
        <v>18.536581926503022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</v>
      </c>
      <c r="BD65" s="12">
        <f>IF('Données projet'!$A$88&gt;35,BD64+BC65-BL64,IF(A65&lt;'Données projet'!$A$88,$BA$205^A65,IF(A65='Données projet'!$A$88,'Données projet'!$B$88,BD64+BC65-BL64)))</f>
        <v>343.00000000000023</v>
      </c>
      <c r="BE65" s="13">
        <f>BD65*VLOOKUP('Données projet'!$B$11,Paramètres!$A$1:$I$89,3,0)*VLOOKUP('Données projet'!$B$11,Paramètres!$A$1:$I$89,5,0)</f>
        <v>187.27800000000013</v>
      </c>
      <c r="BF65" s="13">
        <f t="shared" si="37"/>
        <v>46.937652831145158</v>
      </c>
      <c r="BG65" s="20">
        <f t="shared" si="7"/>
        <v>407.92559534757805</v>
      </c>
      <c r="BH65" s="59">
        <f t="shared" si="8"/>
        <v>701.25892868091137</v>
      </c>
      <c r="BI65" s="59">
        <f ca="1">AVERAGE(OFFSET($BH$3,0,0,'Données projet'!$E$11+1,1))-AVERAGE(OFFSET($H$3,0,0,'Données projet'!$E$11+1,1))</f>
        <v>210.04871822652808</v>
      </c>
      <c r="BJ65" s="59">
        <f t="shared" si="38"/>
        <v>250.17540614049324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3.8739508522664323</v>
      </c>
      <c r="BQ65" s="21">
        <f>EXP(-LN(2)/25)*BQ64+(1-EXP(-LN(2)/25))/(LN(2)/25)*Calculateur!BL65*Calculateur!BN65*VLOOKUP('Données projet'!$B$11,Paramètres!$A$1:$I$89,3,0)*0.475*44/12</f>
        <v>11.460562856029345</v>
      </c>
      <c r="BR65" s="21">
        <f>EXP(-LN(2)/2)*BR64+(1-EXP(-LN(2)/2))/(LN(2)/2)*BL65*BO65*VLOOKUP('Données projet'!$B$11,Paramètres!$A$1:$I$89,3,0)*0.475*44/12</f>
        <v>3.2888624171984365E-4</v>
      </c>
      <c r="BS65" s="22">
        <f t="shared" si="9"/>
        <v>15.334842594537497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14</v>
      </c>
      <c r="BY65" s="12">
        <f>IF('Données projet'!$A$114&gt;35,BY64+BX65-CG64,IF(A65&lt;'Données projet'!$A$114,$BV$205^A65,IF(A65='Données projet'!$A$114,'Données projet'!$B$114,BY64+BX65-CG64)))</f>
        <v>313.38461538461536</v>
      </c>
      <c r="BZ65" s="13">
        <f>BY65*VLOOKUP('Données projet'!$B$12,Paramètres!$A$1:$I$89,3,0)*VLOOKUP('Données projet'!$B$12,Paramètres!$A$1:$I$89,5,0)</f>
        <v>150.738</v>
      </c>
      <c r="CA65" s="13">
        <f t="shared" si="39"/>
        <v>38.746250833110665</v>
      </c>
      <c r="CB65" s="20">
        <f t="shared" si="10"/>
        <v>330.01840353433437</v>
      </c>
      <c r="CC65" s="59">
        <f t="shared" si="11"/>
        <v>623.35173686766768</v>
      </c>
      <c r="CD65" s="59">
        <f ca="1">AVERAGE(OFFSET($CC$3,0,0,'Données projet'!$E$12+1,1))-AVERAGE(OFFSET($H$3,0,0,'Données projet'!$E$12+1,1))</f>
        <v>304.15237106473313</v>
      </c>
      <c r="CE65" s="59">
        <f t="shared" si="40"/>
        <v>120.85458928724336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255.5374979188561</v>
      </c>
      <c r="T66" s="59">
        <f t="shared" si="34"/>
        <v>343.10418468620901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1.6074443210223974</v>
      </c>
      <c r="AA66" s="21">
        <f>EXP(-LN(2)/25)*AA65+(1-EXP(-LN(2)/25))/(LN(2)/25)*Calculateur!V66*Calculateur!X66*VLOOKUP('Données projet'!$B$9,Paramètres!$A$1:$I$89,3,0)*0.475*44/12</f>
        <v>6.3926414138912229</v>
      </c>
      <c r="AB66" s="21">
        <f>EXP(-LN(2)/2)*AB65+(1-EXP(-LN(2)/2))/(LN(2)/2)*V66*Y66*VLOOKUP('Données projet'!$B$9,Paramètres!$A$1:$I$89,3,0)*0.475*44/12</f>
        <v>1.8263027398246474E-5</v>
      </c>
      <c r="AC66" s="22">
        <f t="shared" si="3"/>
        <v>8.000103997941018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9.8000000000000007</v>
      </c>
      <c r="AI66" s="13">
        <f>IF('Données projet'!$A$62&gt;35,AI65+AH66-AQ65,IF(A66&lt;'Données projet'!$A$62,$AF$205^A66,IF(A66='Données projet'!$A$62,'Données projet'!$B$62,AI65+AH66-AQ65)))</f>
        <v>395.40000000000026</v>
      </c>
      <c r="AJ66" s="13">
        <f>AI66*VLOOKUP('Données projet'!$B$10,Paramètres!$A$1:$I$89,3,0)*VLOOKUP('Données projet'!$B$10,Paramètres!$A$1:$I$89,5,0)</f>
        <v>215.88840000000013</v>
      </c>
      <c r="AK66" s="13">
        <f t="shared" si="35"/>
        <v>53.220270935025496</v>
      </c>
      <c r="AL66" s="20">
        <f t="shared" si="4"/>
        <v>468.69760187850301</v>
      </c>
      <c r="AM66" s="59">
        <f t="shared" si="5"/>
        <v>762.03093521183632</v>
      </c>
      <c r="AN66" s="59">
        <f ca="1">AVERAGE(OFFSET($AM$3,0,0,'Données projet'!$E$10+1,1))-AVERAGE(OFFSET($H$3,0,0,'Données projet'!$E$10+1,1))</f>
        <v>248.1486444660062</v>
      </c>
      <c r="AO66" s="59">
        <f t="shared" si="36"/>
        <v>293.34458072322127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4.4309825454185576</v>
      </c>
      <c r="AV66" s="21">
        <f>EXP(-LN(2)/25)*AV65+(1-EXP(-LN(2)/25))/(LN(2)/25)*Calculateur!AQ66*Calculateur!AS66*VLOOKUP('Données projet'!$B$10,Paramètres!$A$1:$I$89,3,0)*0.475*44/12</f>
        <v>13.6333040001218</v>
      </c>
      <c r="AW66" s="21">
        <f>EXP(-LN(2)/2)*AW65+(1-EXP(-LN(2)/2))/(LN(2)/2)*AQ66*AT66*VLOOKUP('Données projet'!$B$10,Paramètres!$A$1:$I$89,3,0)*0.475*44/12</f>
        <v>2.7170813404161272E-4</v>
      </c>
      <c r="AX66" s="21">
        <f t="shared" si="6"/>
        <v>18.064558253674399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</v>
      </c>
      <c r="BD66" s="12">
        <f>IF('Données projet'!$A$88&gt;35,BD65+BC66-BL65,IF(A66&lt;'Données projet'!$A$88,$BA$205^A66,IF(A66='Données projet'!$A$88,'Données projet'!$B$88,BD65+BC66-BL65)))</f>
        <v>351.50000000000023</v>
      </c>
      <c r="BE66" s="13">
        <f>BD66*VLOOKUP('Données projet'!$B$11,Paramètres!$A$1:$I$89,3,0)*VLOOKUP('Données projet'!$B$11,Paramètres!$A$1:$I$89,5,0)</f>
        <v>191.91900000000012</v>
      </c>
      <c r="BF66" s="13">
        <f t="shared" si="37"/>
        <v>47.963968046563231</v>
      </c>
      <c r="BG66" s="20">
        <f t="shared" si="7"/>
        <v>417.79616934776453</v>
      </c>
      <c r="BH66" s="59">
        <f t="shared" si="8"/>
        <v>711.12950268109785</v>
      </c>
      <c r="BI66" s="59">
        <f ca="1">AVERAGE(OFFSET($BH$3,0,0,'Données projet'!$E$11+1,1))-AVERAGE(OFFSET($H$3,0,0,'Données projet'!$E$11+1,1))</f>
        <v>210.04871822652808</v>
      </c>
      <c r="BJ66" s="59">
        <f t="shared" si="38"/>
        <v>250.17540614049324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3.7979850389301926</v>
      </c>
      <c r="BQ66" s="21">
        <f>EXP(-LN(2)/25)*BQ65+(1-EXP(-LN(2)/25))/(LN(2)/25)*Calculateur!BL66*Calculateur!BN66*VLOOKUP('Données projet'!$B$11,Paramètres!$A$1:$I$89,3,0)*0.475*44/12</f>
        <v>11.147173162046416</v>
      </c>
      <c r="BR66" s="21">
        <f>EXP(-LN(2)/2)*BR65+(1-EXP(-LN(2)/2))/(LN(2)/2)*BL66*BO66*VLOOKUP('Données projet'!$B$11,Paramètres!$A$1:$I$89,3,0)*0.475*44/12</f>
        <v>2.3255769175905947E-4</v>
      </c>
      <c r="BS66" s="22">
        <f t="shared" si="9"/>
        <v>14.945390758668369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14</v>
      </c>
      <c r="BY66" s="12">
        <f>IF('Données projet'!$A$114&gt;35,BY65+BX66-CG65,IF(A66&lt;'Données projet'!$A$114,$BV$205^A66,IF(A66='Données projet'!$A$114,'Données projet'!$B$114,BY65+BX66-CG65)))</f>
        <v>327.38461538461536</v>
      </c>
      <c r="BZ66" s="13">
        <f>BY66*VLOOKUP('Données projet'!$B$12,Paramètres!$A$1:$I$89,3,0)*VLOOKUP('Données projet'!$B$12,Paramètres!$A$1:$I$89,5,0)</f>
        <v>157.47199999999998</v>
      </c>
      <c r="CA66" s="13">
        <f t="shared" si="39"/>
        <v>40.271790510491527</v>
      </c>
      <c r="CB66" s="20">
        <f t="shared" si="10"/>
        <v>344.40376847243942</v>
      </c>
      <c r="CC66" s="59">
        <f t="shared" si="11"/>
        <v>637.73710180577268</v>
      </c>
      <c r="CD66" s="59">
        <f ca="1">AVERAGE(OFFSET($CC$3,0,0,'Données projet'!$E$12+1,1))-AVERAGE(OFFSET($H$3,0,0,'Données projet'!$E$12+1,1))</f>
        <v>304.15237106473313</v>
      </c>
      <c r="CE66" s="59">
        <f t="shared" si="40"/>
        <v>120.85458928724336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255.5374979188561</v>
      </c>
      <c r="T67" s="59">
        <f t="shared" si="34"/>
        <v>343.10418468620901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1.5759233183313732</v>
      </c>
      <c r="AA67" s="21">
        <f>EXP(-LN(2)/25)*AA66+(1-EXP(-LN(2)/25))/(LN(2)/25)*Calculateur!V67*Calculateur!X67*VLOOKUP('Données projet'!$B$9,Paramètres!$A$1:$I$89,3,0)*0.475*44/12</f>
        <v>6.2178342982539663</v>
      </c>
      <c r="AB67" s="21">
        <f>EXP(-LN(2)/2)*AB66+(1-EXP(-LN(2)/2))/(LN(2)/2)*V67*Y67*VLOOKUP('Données projet'!$B$9,Paramètres!$A$1:$I$89,3,0)*0.475*44/12</f>
        <v>1.2913910518295792E-5</v>
      </c>
      <c r="AC67" s="22">
        <f t="shared" si="3"/>
        <v>7.7937705304958582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9.8000000000000007</v>
      </c>
      <c r="AI67" s="13">
        <f>IF('Données projet'!$A$62&gt;35,AI66+AH67-AQ66,IF(A67&lt;'Données projet'!$A$62,$AF$205^A67,IF(A67='Données projet'!$A$62,'Données projet'!$B$62,AI66+AH67-AQ66)))</f>
        <v>405.20000000000027</v>
      </c>
      <c r="AJ67" s="13">
        <f>AI67*VLOOKUP('Données projet'!$B$10,Paramètres!$A$1:$I$89,3,0)*VLOOKUP('Données projet'!$B$10,Paramètres!$A$1:$I$89,5,0)</f>
        <v>221.23920000000015</v>
      </c>
      <c r="AK67" s="13">
        <f t="shared" si="35"/>
        <v>54.384131608131625</v>
      </c>
      <c r="AL67" s="20">
        <f t="shared" si="4"/>
        <v>480.04396921749617</v>
      </c>
      <c r="AM67" s="59">
        <f t="shared" si="5"/>
        <v>773.37730255082943</v>
      </c>
      <c r="AN67" s="59">
        <f ca="1">AVERAGE(OFFSET($AM$3,0,0,'Données projet'!$E$10+1,1))-AVERAGE(OFFSET($H$3,0,0,'Données projet'!$E$10+1,1))</f>
        <v>248.1486444660062</v>
      </c>
      <c r="AO67" s="59">
        <f t="shared" si="36"/>
        <v>293.34458072322127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4.3440936803353898</v>
      </c>
      <c r="AV67" s="21">
        <f>EXP(-LN(2)/25)*AV66+(1-EXP(-LN(2)/25))/(LN(2)/25)*Calculateur!AQ67*Calculateur!AS67*VLOOKUP('Données projet'!$B$10,Paramètres!$A$1:$I$89,3,0)*0.475*44/12</f>
        <v>13.260500585294171</v>
      </c>
      <c r="AW67" s="21">
        <f>EXP(-LN(2)/2)*AW66+(1-EXP(-LN(2)/2))/(LN(2)/2)*AQ67*AT67*VLOOKUP('Données projet'!$B$10,Paramètres!$A$1:$I$89,3,0)*0.475*44/12</f>
        <v>1.9212666408436777E-4</v>
      </c>
      <c r="AX67" s="21">
        <f t="shared" si="6"/>
        <v>17.604786392293647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</v>
      </c>
      <c r="BD67" s="12">
        <f>IF('Données projet'!$A$88&gt;35,BD66+BC67-BL66,IF(A67&lt;'Données projet'!$A$88,$BA$205^A67,IF(A67='Données projet'!$A$88,'Données projet'!$B$88,BD66+BC67-BL66)))</f>
        <v>360.00000000000023</v>
      </c>
      <c r="BE67" s="13">
        <f>BD67*VLOOKUP('Données projet'!$B$11,Paramètres!$A$1:$I$89,3,0)*VLOOKUP('Données projet'!$B$11,Paramètres!$A$1:$I$89,5,0)</f>
        <v>196.56000000000014</v>
      </c>
      <c r="BF67" s="13">
        <f t="shared" si="37"/>
        <v>48.987398161128134</v>
      </c>
      <c r="BG67" s="20">
        <f t="shared" si="7"/>
        <v>427.66171846396509</v>
      </c>
      <c r="BH67" s="59">
        <f t="shared" si="8"/>
        <v>720.9950517972984</v>
      </c>
      <c r="BI67" s="59">
        <f ca="1">AVERAGE(OFFSET($BH$3,0,0,'Données projet'!$E$11+1,1))-AVERAGE(OFFSET($H$3,0,0,'Données projet'!$E$11+1,1))</f>
        <v>210.04871822652808</v>
      </c>
      <c r="BJ67" s="59">
        <f t="shared" si="38"/>
        <v>250.17540614049324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3.7235088688589055</v>
      </c>
      <c r="BQ67" s="21">
        <f>EXP(-LN(2)/25)*BQ66+(1-EXP(-LN(2)/25))/(LN(2)/25)*Calculateur!BL67*Calculateur!BN67*VLOOKUP('Données projet'!$B$11,Paramètres!$A$1:$I$89,3,0)*0.475*44/12</f>
        <v>10.842353125725896</v>
      </c>
      <c r="BR67" s="21">
        <f>EXP(-LN(2)/2)*BR66+(1-EXP(-LN(2)/2))/(LN(2)/2)*BL67*BO67*VLOOKUP('Données projet'!$B$11,Paramètres!$A$1:$I$89,3,0)*0.475*44/12</f>
        <v>1.6444312085992185E-4</v>
      </c>
      <c r="BS67" s="22">
        <f t="shared" si="9"/>
        <v>14.566026437705663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14</v>
      </c>
      <c r="BY67" s="12">
        <f>IF('Données projet'!$A$114&gt;35,BY66+BX67-CG66,IF(A67&lt;'Données projet'!$A$114,$BV$205^A67,IF(A67='Données projet'!$A$114,'Données projet'!$B$114,BY66+BX67-CG66)))</f>
        <v>341.38461538461536</v>
      </c>
      <c r="BZ67" s="13">
        <f>BY67*VLOOKUP('Données projet'!$B$12,Paramètres!$A$1:$I$89,3,0)*VLOOKUP('Données projet'!$B$12,Paramètres!$A$1:$I$89,5,0)</f>
        <v>164.20599999999999</v>
      </c>
      <c r="CA67" s="13">
        <f t="shared" si="39"/>
        <v>41.789753042306963</v>
      </c>
      <c r="CB67" s="20">
        <f t="shared" si="10"/>
        <v>358.77593654868457</v>
      </c>
      <c r="CC67" s="59">
        <f t="shared" si="11"/>
        <v>652.10926988201788</v>
      </c>
      <c r="CD67" s="59">
        <f ca="1">AVERAGE(OFFSET($CC$3,0,0,'Données projet'!$E$12+1,1))-AVERAGE(OFFSET($H$3,0,0,'Données projet'!$E$12+1,1))</f>
        <v>304.15237106473313</v>
      </c>
      <c r="CE67" s="59">
        <f t="shared" si="40"/>
        <v>120.85458928724336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255.5374979188561</v>
      </c>
      <c r="T68" s="59">
        <f t="shared" si="34"/>
        <v>343.10418468620901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1.5450204232772067</v>
      </c>
      <c r="AA68" s="21">
        <f>EXP(-LN(2)/25)*AA67+(1-EXP(-LN(2)/25))/(LN(2)/25)*Calculateur!V68*Calculateur!X68*VLOOKUP('Données projet'!$B$9,Paramètres!$A$1:$I$89,3,0)*0.475*44/12</f>
        <v>6.0478072923865165</v>
      </c>
      <c r="AB68" s="21">
        <f>EXP(-LN(2)/2)*AB67+(1-EXP(-LN(2)/2))/(LN(2)/2)*V68*Y68*VLOOKUP('Données projet'!$B$9,Paramètres!$A$1:$I$89,3,0)*0.475*44/12</f>
        <v>9.1315136991232369E-6</v>
      </c>
      <c r="AC68" s="22">
        <f t="shared" ref="AC68:AC131" si="57">SUM(Z68:AB68)</f>
        <v>7.5928368471774226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9.8000000000000007</v>
      </c>
      <c r="AI68" s="13">
        <f>IF('Données projet'!$A$62&gt;35,AI67+AH68-AQ67,IF(A68&lt;'Données projet'!$A$62,$AF$205^A68,IF(A68='Données projet'!$A$62,'Données projet'!$B$62,AI67+AH68-AQ67)))</f>
        <v>415.00000000000028</v>
      </c>
      <c r="AJ68" s="13">
        <f>AI68*VLOOKUP('Données projet'!$B$10,Paramètres!$A$1:$I$89,3,0)*VLOOKUP('Données projet'!$B$10,Paramètres!$A$1:$I$89,5,0)</f>
        <v>226.59000000000017</v>
      </c>
      <c r="AK68" s="13">
        <f t="shared" si="35"/>
        <v>55.544720048447758</v>
      </c>
      <c r="AL68" s="20">
        <f t="shared" ref="AL68:AL131" si="58">(AJ68+AK68)*0.475*44/12</f>
        <v>491.38463741771352</v>
      </c>
      <c r="AM68" s="59">
        <f t="shared" ref="AM68:AM131" si="59">AL68+(AD68+AE68)*44/12</f>
        <v>784.71797075104678</v>
      </c>
      <c r="AN68" s="59">
        <f ca="1">AVERAGE(OFFSET($AM$3,0,0,'Données projet'!$E$10+1,1))-AVERAGE(OFFSET($H$3,0,0,'Données projet'!$E$10+1,1))</f>
        <v>248.1486444660062</v>
      </c>
      <c r="AO68" s="59">
        <f t="shared" si="36"/>
        <v>293.34458072322127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4.2589086528995281</v>
      </c>
      <c r="AV68" s="21">
        <f>EXP(-LN(2)/25)*AV67+(1-EXP(-LN(2)/25))/(LN(2)/25)*Calculateur!AQ68*Calculateur!AS68*VLOOKUP('Données projet'!$B$10,Paramètres!$A$1:$I$89,3,0)*0.475*44/12</f>
        <v>12.897891499449884</v>
      </c>
      <c r="AW68" s="21">
        <f>EXP(-LN(2)/2)*AW67+(1-EXP(-LN(2)/2))/(LN(2)/2)*AQ68*AT68*VLOOKUP('Données projet'!$B$10,Paramètres!$A$1:$I$89,3,0)*0.475*44/12</f>
        <v>1.3585406702080636E-4</v>
      </c>
      <c r="AX68" s="21">
        <f t="shared" ref="AX68:AX131" si="60">SUM(AU68:AW68)</f>
        <v>17.156936006416434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</v>
      </c>
      <c r="BD68" s="12">
        <f>IF('Données projet'!$A$88&gt;35,BD67+BC68-BL67,IF(A68&lt;'Données projet'!$A$88,$BA$205^A68,IF(A68='Données projet'!$A$88,'Données projet'!$B$88,BD67+BC68-BL67)))</f>
        <v>368.50000000000023</v>
      </c>
      <c r="BE68" s="13">
        <f>BD68*VLOOKUP('Données projet'!$B$11,Paramètres!$A$1:$I$89,3,0)*VLOOKUP('Données projet'!$B$11,Paramètres!$A$1:$I$89,5,0)</f>
        <v>201.20100000000014</v>
      </c>
      <c r="BF68" s="13">
        <f t="shared" si="37"/>
        <v>50.008019134354747</v>
      </c>
      <c r="BG68" s="20">
        <f t="shared" ref="BG68:BG131" si="61">(BE68+BF68)*0.475*44/12</f>
        <v>437.52237499233479</v>
      </c>
      <c r="BH68" s="59">
        <f t="shared" ref="BH68:BH131" si="62">BG68+(AY68+AZ68)*44/12</f>
        <v>730.85570832566805</v>
      </c>
      <c r="BI68" s="59">
        <f ca="1">AVERAGE(OFFSET($BH$3,0,0,'Données projet'!$E$11+1,1))-AVERAGE(OFFSET($H$3,0,0,'Données projet'!$E$11+1,1))</f>
        <v>210.04871822652808</v>
      </c>
      <c r="BJ68" s="59">
        <f t="shared" si="38"/>
        <v>250.17540614049324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3.6504931310567383</v>
      </c>
      <c r="BQ68" s="21">
        <f>EXP(-LN(2)/25)*BQ67+(1-EXP(-LN(2)/25))/(LN(2)/25)*Calculateur!BL68*Calculateur!BN68*VLOOKUP('Données projet'!$B$11,Paramètres!$A$1:$I$89,3,0)*0.475*44/12</f>
        <v>10.545868409328351</v>
      </c>
      <c r="BR68" s="21">
        <f>EXP(-LN(2)/2)*BR67+(1-EXP(-LN(2)/2))/(LN(2)/2)*BL68*BO68*VLOOKUP('Données projet'!$B$11,Paramètres!$A$1:$I$89,3,0)*0.475*44/12</f>
        <v>1.1627884587952976E-4</v>
      </c>
      <c r="BS68" s="22">
        <f t="shared" ref="BS68:BS131" si="63">SUM(BP68:BR68)</f>
        <v>14.196477819230969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14</v>
      </c>
      <c r="BY68" s="12">
        <f>IF('Données projet'!$A$114&gt;35,BY67+BX68-CG67,IF(A68&lt;'Données projet'!$A$114,$BV$205^A68,IF(A68='Données projet'!$A$114,'Données projet'!$B$114,BY67+BX68-CG67)))</f>
        <v>355.38461538461536</v>
      </c>
      <c r="BZ68" s="13">
        <f>BY68*VLOOKUP('Données projet'!$B$12,Paramètres!$A$1:$I$89,3,0)*VLOOKUP('Données projet'!$B$12,Paramètres!$A$1:$I$89,5,0)</f>
        <v>170.94</v>
      </c>
      <c r="CA68" s="13">
        <f t="shared" si="39"/>
        <v>43.300484703984118</v>
      </c>
      <c r="CB68" s="20">
        <f t="shared" ref="CB68:CB131" si="64">(BZ68+CA68)*0.475*44/12</f>
        <v>373.13551085943897</v>
      </c>
      <c r="CC68" s="59">
        <f t="shared" ref="CC68:CC131" si="65">CB68+(BT68+BU68)*44/12</f>
        <v>666.46884419277228</v>
      </c>
      <c r="CD68" s="59">
        <f ca="1">AVERAGE(OFFSET($CC$3,0,0,'Données projet'!$E$12+1,1))-AVERAGE(OFFSET($H$3,0,0,'Données projet'!$E$12+1,1))</f>
        <v>304.15237106473313</v>
      </c>
      <c r="CE68" s="59">
        <f t="shared" si="40"/>
        <v>120.85458928724336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255.5374979188561</v>
      </c>
      <c r="T69" s="59">
        <f t="shared" ref="T69:T132" si="88">$T$3</f>
        <v>343.10418468620901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1.5147235151461476</v>
      </c>
      <c r="AA69" s="21">
        <f>EXP(-LN(2)/25)*AA68+(1-EXP(-LN(2)/25))/(LN(2)/25)*Calculateur!V69*Calculateur!X69*VLOOKUP('Données projet'!$B$9,Paramètres!$A$1:$I$89,3,0)*0.475*44/12</f>
        <v>5.8824296839358441</v>
      </c>
      <c r="AB69" s="21">
        <f>EXP(-LN(2)/2)*AB68+(1-EXP(-LN(2)/2))/(LN(2)/2)*V69*Y69*VLOOKUP('Données projet'!$B$9,Paramètres!$A$1:$I$89,3,0)*0.475*44/12</f>
        <v>6.456955259147896E-6</v>
      </c>
      <c r="AC69" s="22">
        <f t="shared" si="57"/>
        <v>7.3971596560372506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9.8000000000000007</v>
      </c>
      <c r="AI69" s="13">
        <f>IF('Données projet'!$A$62&gt;35,AI68+AH69-AQ68,IF(A69&lt;'Données projet'!$A$62,$AF$205^A69,IF(A69='Données projet'!$A$62,'Données projet'!$B$62,AI68+AH69-AQ68)))</f>
        <v>424.8000000000003</v>
      </c>
      <c r="AJ69" s="13">
        <f>AI69*VLOOKUP('Données projet'!$B$10,Paramètres!$A$1:$I$89,3,0)*VLOOKUP('Données projet'!$B$10,Paramètres!$A$1:$I$89,5,0)</f>
        <v>231.94080000000014</v>
      </c>
      <c r="AK69" s="13">
        <f t="shared" ref="AK69:AK132" si="89">EXP(-1.0587+0.8836*LN(AJ69)+0.284)</f>
        <v>56.702122420175506</v>
      </c>
      <c r="AL69" s="20">
        <f t="shared" si="58"/>
        <v>502.71975654847256</v>
      </c>
      <c r="AM69" s="59">
        <f t="shared" si="59"/>
        <v>796.05308988180582</v>
      </c>
      <c r="AN69" s="59">
        <f ca="1">AVERAGE(OFFSET($AM$3,0,0,'Données projet'!$E$10+1,1))-AVERAGE(OFFSET($H$3,0,0,'Données projet'!$E$10+1,1))</f>
        <v>248.1486444660062</v>
      </c>
      <c r="AO69" s="59">
        <f t="shared" ref="AO69:AO132" si="90">$AO$3</f>
        <v>293.34458072322127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4.1753940518939476</v>
      </c>
      <c r="AV69" s="21">
        <f>EXP(-LN(2)/25)*AV68+(1-EXP(-LN(2)/25))/(LN(2)/25)*Calculateur!AQ69*Calculateur!AS69*VLOOKUP('Données projet'!$B$10,Paramètres!$A$1:$I$89,3,0)*0.475*44/12</f>
        <v>12.545197978126792</v>
      </c>
      <c r="AW69" s="21">
        <f>EXP(-LN(2)/2)*AW68+(1-EXP(-LN(2)/2))/(LN(2)/2)*AQ69*AT69*VLOOKUP('Données projet'!$B$10,Paramètres!$A$1:$I$89,3,0)*0.475*44/12</f>
        <v>9.6063332042183887E-5</v>
      </c>
      <c r="AX69" s="21">
        <f t="shared" si="60"/>
        <v>16.720688093352781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</v>
      </c>
      <c r="BD69" s="12">
        <f>IF('Données projet'!$A$88&gt;35,BD68+BC69-BL68,IF(A69&lt;'Données projet'!$A$88,$BA$205^A69,IF(A69='Données projet'!$A$88,'Données projet'!$B$88,BD68+BC69-BL68)))</f>
        <v>377.00000000000023</v>
      </c>
      <c r="BE69" s="13">
        <f>BD69*VLOOKUP('Données projet'!$B$11,Paramètres!$A$1:$I$89,3,0)*VLOOKUP('Données projet'!$B$11,Paramètres!$A$1:$I$89,5,0)</f>
        <v>205.84200000000013</v>
      </c>
      <c r="BF69" s="13">
        <f t="shared" ref="BF69:BF132" si="91">EXP(-1.0587+0.8836*LN(BE69)+0.284)</f>
        <v>51.02590322155848</v>
      </c>
      <c r="BG69" s="20">
        <f t="shared" si="61"/>
        <v>447.37826477754788</v>
      </c>
      <c r="BH69" s="59">
        <f t="shared" si="62"/>
        <v>740.71159811088114</v>
      </c>
      <c r="BI69" s="59">
        <f ca="1">AVERAGE(OFFSET($BH$3,0,0,'Données projet'!$E$11+1,1))-AVERAGE(OFFSET($H$3,0,0,'Données projet'!$E$11+1,1))</f>
        <v>210.04871822652808</v>
      </c>
      <c r="BJ69" s="59">
        <f t="shared" ref="BJ69:BJ132" si="92">$BJ$3</f>
        <v>250.17540614049324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3.5789091873376688</v>
      </c>
      <c r="BQ69" s="21">
        <f>EXP(-LN(2)/25)*BQ68+(1-EXP(-LN(2)/25))/(LN(2)/25)*Calculateur!BL69*Calculateur!BN69*VLOOKUP('Données projet'!$B$11,Paramètres!$A$1:$I$89,3,0)*0.475*44/12</f>
        <v>10.25749108309215</v>
      </c>
      <c r="BR69" s="21">
        <f>EXP(-LN(2)/2)*BR68+(1-EXP(-LN(2)/2))/(LN(2)/2)*BL69*BO69*VLOOKUP('Données projet'!$B$11,Paramètres!$A$1:$I$89,3,0)*0.475*44/12</f>
        <v>8.222156042996094E-5</v>
      </c>
      <c r="BS69" s="22">
        <f t="shared" si="63"/>
        <v>13.836482491990248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14</v>
      </c>
      <c r="BY69" s="12">
        <f>IF('Données projet'!$A$114&gt;35,BY68+BX69-CG68,IF(A69&lt;'Données projet'!$A$114,$BV$205^A69,IF(A69='Données projet'!$A$114,'Données projet'!$B$114,BY68+BX69-CG68)))</f>
        <v>369.38461538461536</v>
      </c>
      <c r="BZ69" s="13">
        <f>BY69*VLOOKUP('Données projet'!$B$12,Paramètres!$A$1:$I$89,3,0)*VLOOKUP('Données projet'!$B$12,Paramètres!$A$1:$I$89,5,0)</f>
        <v>177.67399999999998</v>
      </c>
      <c r="CA69" s="13">
        <f t="shared" ref="CA69:CA132" si="93">EXP(-1.0587+0.8836*LN(BZ69)+0.284)</f>
        <v>44.804302944085329</v>
      </c>
      <c r="CB69" s="20">
        <f t="shared" si="64"/>
        <v>387.48304429428185</v>
      </c>
      <c r="CC69" s="59">
        <f t="shared" si="65"/>
        <v>680.81637762761511</v>
      </c>
      <c r="CD69" s="59">
        <f ca="1">AVERAGE(OFFSET($CC$3,0,0,'Données projet'!$E$12+1,1))-AVERAGE(OFFSET($H$3,0,0,'Données projet'!$E$12+1,1))</f>
        <v>304.15237106473313</v>
      </c>
      <c r="CE69" s="59">
        <f t="shared" ref="CE69:CE132" si="94">$CE$3</f>
        <v>120.85458928724336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255.5374979188561</v>
      </c>
      <c r="T70" s="59">
        <f t="shared" si="88"/>
        <v>343.10418468620901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1.4850207109042493</v>
      </c>
      <c r="AA70" s="21">
        <f>EXP(-LN(2)/25)*AA69+(1-EXP(-LN(2)/25))/(LN(2)/25)*Calculateur!V70*Calculateur!X70*VLOOKUP('Données projet'!$B$9,Paramètres!$A$1:$I$89,3,0)*0.475*44/12</f>
        <v>5.7215743348850863</v>
      </c>
      <c r="AB70" s="21">
        <f>EXP(-LN(2)/2)*AB69+(1-EXP(-LN(2)/2))/(LN(2)/2)*V70*Y70*VLOOKUP('Données projet'!$B$9,Paramètres!$A$1:$I$89,3,0)*0.475*44/12</f>
        <v>4.5657568495616185E-6</v>
      </c>
      <c r="AC70" s="22">
        <f t="shared" si="57"/>
        <v>7.206599611546185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9.8000000000000007</v>
      </c>
      <c r="AI70" s="13">
        <f>IF('Données projet'!$A$62&gt;35,AI69+AH70-AQ69,IF(A70&lt;'Données projet'!$A$62,$AF$205^A70,IF(A70='Données projet'!$A$62,'Données projet'!$B$62,AI69+AH70-AQ69)))</f>
        <v>434.60000000000031</v>
      </c>
      <c r="AJ70" s="13">
        <f>AI70*VLOOKUP('Données projet'!$B$10,Paramètres!$A$1:$I$89,3,0)*VLOOKUP('Données projet'!$B$10,Paramètres!$A$1:$I$89,5,0)</f>
        <v>237.29160000000016</v>
      </c>
      <c r="AK70" s="13">
        <f t="shared" si="89"/>
        <v>57.856420685099636</v>
      </c>
      <c r="AL70" s="20">
        <f t="shared" si="58"/>
        <v>514.04946935988221</v>
      </c>
      <c r="AM70" s="59">
        <f t="shared" si="59"/>
        <v>807.38280269321558</v>
      </c>
      <c r="AN70" s="59">
        <f ca="1">AVERAGE(OFFSET($AM$3,0,0,'Données projet'!$E$10+1,1))-AVERAGE(OFFSET($H$3,0,0,'Données projet'!$E$10+1,1))</f>
        <v>248.1486444660062</v>
      </c>
      <c r="AO70" s="59">
        <f t="shared" si="90"/>
        <v>293.34458072322127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4.0935171212752097</v>
      </c>
      <c r="AV70" s="21">
        <f>EXP(-LN(2)/25)*AV69+(1-EXP(-LN(2)/25))/(LN(2)/25)*Calculateur!AQ70*Calculateur!AS70*VLOOKUP('Données projet'!$B$10,Paramètres!$A$1:$I$89,3,0)*0.475*44/12</f>
        <v>12.202148879691626</v>
      </c>
      <c r="AW70" s="21">
        <f>EXP(-LN(2)/2)*AW69+(1-EXP(-LN(2)/2))/(LN(2)/2)*AQ70*AT70*VLOOKUP('Données projet'!$B$10,Paramètres!$A$1:$I$89,3,0)*0.475*44/12</f>
        <v>6.7927033510403181E-5</v>
      </c>
      <c r="AX70" s="21">
        <f t="shared" si="60"/>
        <v>16.295733928000345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8.5</v>
      </c>
      <c r="BD70" s="12">
        <f>IF('Données projet'!$A$88&gt;35,BD69+BC70-BL69,IF(A70&lt;'Données projet'!$A$88,$BA$205^A70,IF(A70='Données projet'!$A$88,'Données projet'!$B$88,BD69+BC70-BL69)))</f>
        <v>385.50000000000023</v>
      </c>
      <c r="BE70" s="13">
        <f>BD70*VLOOKUP('Données projet'!$B$11,Paramètres!$A$1:$I$89,3,0)*VLOOKUP('Données projet'!$B$11,Paramètres!$A$1:$I$89,5,0)</f>
        <v>210.48300000000012</v>
      </c>
      <c r="BF70" s="13">
        <f t="shared" si="91"/>
        <v>52.041119233873296</v>
      </c>
      <c r="BG70" s="20">
        <f t="shared" si="61"/>
        <v>457.22950766566288</v>
      </c>
      <c r="BH70" s="59">
        <f t="shared" si="62"/>
        <v>750.56284099899619</v>
      </c>
      <c r="BI70" s="59">
        <f ca="1">AVERAGE(OFFSET($BH$3,0,0,'Données projet'!$E$11+1,1))-AVERAGE(OFFSET($H$3,0,0,'Données projet'!$E$11+1,1))</f>
        <v>210.04871822652808</v>
      </c>
      <c r="BJ70" s="59">
        <f t="shared" si="92"/>
        <v>250.17540614049324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3.5087289610930359</v>
      </c>
      <c r="BQ70" s="21">
        <f>EXP(-LN(2)/25)*BQ69+(1-EXP(-LN(2)/25))/(LN(2)/25)*Calculateur!BL70*Calculateur!BN70*VLOOKUP('Données projet'!$B$11,Paramètres!$A$1:$I$89,3,0)*0.475*44/12</f>
        <v>9.9769994500069821</v>
      </c>
      <c r="BR70" s="21">
        <f>EXP(-LN(2)/2)*BR69+(1-EXP(-LN(2)/2))/(LN(2)/2)*BL70*BO70*VLOOKUP('Données projet'!$B$11,Paramètres!$A$1:$I$89,3,0)*0.475*44/12</f>
        <v>5.8139422939764889E-5</v>
      </c>
      <c r="BS70" s="22">
        <f t="shared" si="63"/>
        <v>13.485786550522958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14</v>
      </c>
      <c r="BY70" s="12">
        <f>IF('Données projet'!$A$114&gt;35,BY69+BX70-CG69,IF(A70&lt;'Données projet'!$A$114,$BV$205^A70,IF(A70='Données projet'!$A$114,'Données projet'!$B$114,BY69+BX70-CG69)))</f>
        <v>383.38461538461536</v>
      </c>
      <c r="BZ70" s="13">
        <f>BY70*VLOOKUP('Données projet'!$B$12,Paramètres!$A$1:$I$89,3,0)*VLOOKUP('Données projet'!$B$12,Paramètres!$A$1:$I$89,5,0)</f>
        <v>184.40799999999999</v>
      </c>
      <c r="CA70" s="13">
        <f t="shared" si="93"/>
        <v>46.301499785027048</v>
      </c>
      <c r="CB70" s="20">
        <f t="shared" si="64"/>
        <v>401.81904545892212</v>
      </c>
      <c r="CC70" s="59">
        <f t="shared" si="65"/>
        <v>695.15237879225538</v>
      </c>
      <c r="CD70" s="59">
        <f ca="1">AVERAGE(OFFSET($CC$3,0,0,'Données projet'!$E$12+1,1))-AVERAGE(OFFSET($H$3,0,0,'Données projet'!$E$12+1,1))</f>
        <v>304.15237106473313</v>
      </c>
      <c r="CE70" s="59">
        <f t="shared" si="94"/>
        <v>120.85458928724336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255.5374979188561</v>
      </c>
      <c r="T71" s="59">
        <f t="shared" si="88"/>
        <v>343.10418468620901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1.455900360536613</v>
      </c>
      <c r="AA71" s="21">
        <f>EXP(-LN(2)/25)*AA70+(1-EXP(-LN(2)/25))/(LN(2)/25)*Calculateur!V71*Calculateur!X71*VLOOKUP('Données projet'!$B$9,Paramètres!$A$1:$I$89,3,0)*0.475*44/12</f>
        <v>5.5651175838131364</v>
      </c>
      <c r="AB71" s="21">
        <f>EXP(-LN(2)/2)*AB70+(1-EXP(-LN(2)/2))/(LN(2)/2)*V71*Y71*VLOOKUP('Données projet'!$B$9,Paramètres!$A$1:$I$89,3,0)*0.475*44/12</f>
        <v>3.228477629573948E-6</v>
      </c>
      <c r="AC71" s="22">
        <f t="shared" si="57"/>
        <v>7.0210211728273784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9.8000000000000007</v>
      </c>
      <c r="AI71" s="13">
        <f>IF('Données projet'!$A$62&gt;35,AI70+AH71-AQ70,IF(A71&lt;'Données projet'!$A$62,$AF$205^A71,IF(A71='Données projet'!$A$62,'Données projet'!$B$62,AI70+AH71-AQ70)))</f>
        <v>444.40000000000032</v>
      </c>
      <c r="AJ71" s="13">
        <f>AI71*VLOOKUP('Données projet'!$B$10,Paramètres!$A$1:$I$89,3,0)*VLOOKUP('Données projet'!$B$10,Paramètres!$A$1:$I$89,5,0)</f>
        <v>242.64240000000018</v>
      </c>
      <c r="AK71" s="13">
        <f t="shared" si="89"/>
        <v>59.007692897618305</v>
      </c>
      <c r="AL71" s="20">
        <f t="shared" si="58"/>
        <v>525.37391179668555</v>
      </c>
      <c r="AM71" s="59">
        <f t="shared" si="59"/>
        <v>818.70724513001892</v>
      </c>
      <c r="AN71" s="59">
        <f ca="1">AVERAGE(OFFSET($AM$3,0,0,'Données projet'!$E$10+1,1))-AVERAGE(OFFSET($H$3,0,0,'Données projet'!$E$10+1,1))</f>
        <v>248.1486444660062</v>
      </c>
      <c r="AO71" s="59">
        <f t="shared" si="90"/>
        <v>293.34458072322127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4.0132457473259082</v>
      </c>
      <c r="AV71" s="21">
        <f>EXP(-LN(2)/25)*AV70+(1-EXP(-LN(2)/25))/(LN(2)/25)*Calculateur!AQ71*Calculateur!AS71*VLOOKUP('Données projet'!$B$10,Paramètres!$A$1:$I$89,3,0)*0.475*44/12</f>
        <v>11.868480476893337</v>
      </c>
      <c r="AW71" s="21">
        <f>EXP(-LN(2)/2)*AW70+(1-EXP(-LN(2)/2))/(LN(2)/2)*AQ71*AT71*VLOOKUP('Données projet'!$B$10,Paramètres!$A$1:$I$89,3,0)*0.475*44/12</f>
        <v>4.8031666021091944E-5</v>
      </c>
      <c r="AX71" s="21">
        <f t="shared" si="60"/>
        <v>15.881774255885267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8.5</v>
      </c>
      <c r="BD71" s="12">
        <f>IF('Données projet'!$A$88&gt;35,BD70+BC71-BL70,IF(A71&lt;'Données projet'!$A$88,$BA$205^A71,IF(A71='Données projet'!$A$88,'Données projet'!$B$88,BD70+BC71-BL70)))</f>
        <v>394.00000000000023</v>
      </c>
      <c r="BE71" s="13">
        <f>BD71*VLOOKUP('Données projet'!$B$11,Paramètres!$A$1:$I$89,3,0)*VLOOKUP('Données projet'!$B$11,Paramètres!$A$1:$I$89,5,0)</f>
        <v>215.12400000000014</v>
      </c>
      <c r="BF71" s="13">
        <f t="shared" si="91"/>
        <v>53.053732774689799</v>
      </c>
      <c r="BG71" s="20">
        <f t="shared" si="61"/>
        <v>467.07621791591828</v>
      </c>
      <c r="BH71" s="59">
        <f t="shared" si="62"/>
        <v>760.40955124925154</v>
      </c>
      <c r="BI71" s="59">
        <f ca="1">AVERAGE(OFFSET($BH$3,0,0,'Données projet'!$E$11+1,1))-AVERAGE(OFFSET($H$3,0,0,'Données projet'!$E$11+1,1))</f>
        <v>210.04871822652808</v>
      </c>
      <c r="BJ71" s="59">
        <f t="shared" si="92"/>
        <v>250.17540614049324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3.4399249262793492</v>
      </c>
      <c r="BQ71" s="21">
        <f>EXP(-LN(2)/25)*BQ70+(1-EXP(-LN(2)/25))/(LN(2)/25)*Calculateur!BL71*Calculateur!BN71*VLOOKUP('Données projet'!$B$11,Paramètres!$A$1:$I$89,3,0)*0.475*44/12</f>
        <v>9.7041778753789423</v>
      </c>
      <c r="BR71" s="21">
        <f>EXP(-LN(2)/2)*BR70+(1-EXP(-LN(2)/2))/(LN(2)/2)*BL71*BO71*VLOOKUP('Données projet'!$B$11,Paramètres!$A$1:$I$89,3,0)*0.475*44/12</f>
        <v>4.1110780214980477E-5</v>
      </c>
      <c r="BS71" s="22">
        <f t="shared" si="63"/>
        <v>13.144143912438507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14</v>
      </c>
      <c r="BY71" s="12">
        <f>IF('Données projet'!$A$114&gt;35,BY70+BX71-CG70,IF(A71&lt;'Données projet'!$A$114,$BV$205^A71,IF(A71='Données projet'!$A$114,'Données projet'!$B$114,BY70+BX71-CG70)))</f>
        <v>397.38461538461536</v>
      </c>
      <c r="BZ71" s="13">
        <f>BY71*VLOOKUP('Données projet'!$B$12,Paramètres!$A$1:$I$89,3,0)*VLOOKUP('Données projet'!$B$12,Paramètres!$A$1:$I$89,5,0)</f>
        <v>191.142</v>
      </c>
      <c r="CA71" s="13">
        <f t="shared" si="93"/>
        <v>47.792344713101969</v>
      </c>
      <c r="CB71" s="20">
        <f t="shared" si="64"/>
        <v>416.14398370865251</v>
      </c>
      <c r="CC71" s="59">
        <f t="shared" si="65"/>
        <v>709.47731704198577</v>
      </c>
      <c r="CD71" s="59">
        <f ca="1">AVERAGE(OFFSET($CC$3,0,0,'Données projet'!$E$12+1,1))-AVERAGE(OFFSET($H$3,0,0,'Données projet'!$E$12+1,1))</f>
        <v>304.15237106473313</v>
      </c>
      <c r="CE71" s="59">
        <f t="shared" si="94"/>
        <v>120.85458928724336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255.5374979188561</v>
      </c>
      <c r="T72" s="59">
        <f t="shared" si="88"/>
        <v>343.10418468620901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1.427351042478026</v>
      </c>
      <c r="AA72" s="21">
        <f>EXP(-LN(2)/25)*AA71+(1-EXP(-LN(2)/25))/(LN(2)/25)*Calculateur!V72*Calculateur!X72*VLOOKUP('Données projet'!$B$9,Paramètres!$A$1:$I$89,3,0)*0.475*44/12</f>
        <v>5.4129391508269515</v>
      </c>
      <c r="AB72" s="21">
        <f>EXP(-LN(2)/2)*AB71+(1-EXP(-LN(2)/2))/(LN(2)/2)*V72*Y72*VLOOKUP('Données projet'!$B$9,Paramètres!$A$1:$I$89,3,0)*0.475*44/12</f>
        <v>2.2828784247808092E-6</v>
      </c>
      <c r="AC72" s="22">
        <f t="shared" si="57"/>
        <v>6.8402924761834027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9.8000000000000007</v>
      </c>
      <c r="AI72" s="13">
        <f>IF('Données projet'!$A$62&gt;35,AI71+AH72-AQ71,IF(A72&lt;'Données projet'!$A$62,$AF$205^A72,IF(A72='Données projet'!$A$62,'Données projet'!$B$62,AI71+AH72-AQ71)))</f>
        <v>454.20000000000033</v>
      </c>
      <c r="AJ72" s="13">
        <f>AI72*VLOOKUP('Données projet'!$B$10,Paramètres!$A$1:$I$89,3,0)*VLOOKUP('Données projet'!$B$10,Paramètres!$A$1:$I$89,5,0)</f>
        <v>247.99320000000017</v>
      </c>
      <c r="AK72" s="13">
        <f t="shared" si="89"/>
        <v>60.15601347301552</v>
      </c>
      <c r="AL72" s="20">
        <f t="shared" si="58"/>
        <v>536.69321346550237</v>
      </c>
      <c r="AM72" s="59">
        <f t="shared" si="59"/>
        <v>830.02654679883562</v>
      </c>
      <c r="AN72" s="59">
        <f ca="1">AVERAGE(OFFSET($AM$3,0,0,'Données projet'!$E$10+1,1))-AVERAGE(OFFSET($H$3,0,0,'Données projet'!$E$10+1,1))</f>
        <v>248.1486444660062</v>
      </c>
      <c r="AO72" s="59">
        <f t="shared" si="90"/>
        <v>293.34458072322127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3.9345484460590492</v>
      </c>
      <c r="AV72" s="21">
        <f>EXP(-LN(2)/25)*AV71+(1-EXP(-LN(2)/25))/(LN(2)/25)*Calculateur!AQ72*Calculateur!AS72*VLOOKUP('Données projet'!$B$10,Paramètres!$A$1:$I$89,3,0)*0.475*44/12</f>
        <v>11.543936254116426</v>
      </c>
      <c r="AW72" s="21">
        <f>EXP(-LN(2)/2)*AW71+(1-EXP(-LN(2)/2))/(LN(2)/2)*AQ72*AT72*VLOOKUP('Données projet'!$B$10,Paramètres!$A$1:$I$89,3,0)*0.475*44/12</f>
        <v>3.3963516755201591E-5</v>
      </c>
      <c r="AX72" s="21">
        <f t="shared" si="60"/>
        <v>15.478518663692229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8.5</v>
      </c>
      <c r="BD72" s="12">
        <f>IF('Données projet'!$A$88&gt;35,BD71+BC72-BL71,IF(A72&lt;'Données projet'!$A$88,$BA$205^A72,IF(A72='Données projet'!$A$88,'Données projet'!$B$88,BD71+BC72-BL71)))</f>
        <v>402.50000000000023</v>
      </c>
      <c r="BE72" s="13">
        <f>BD72*VLOOKUP('Données projet'!$B$11,Paramètres!$A$1:$I$89,3,0)*VLOOKUP('Données projet'!$B$11,Paramètres!$A$1:$I$89,5,0)</f>
        <v>219.76500000000013</v>
      </c>
      <c r="BF72" s="13">
        <f t="shared" si="91"/>
        <v>54.063806455114872</v>
      </c>
      <c r="BG72" s="20">
        <f t="shared" si="61"/>
        <v>476.91850457599202</v>
      </c>
      <c r="BH72" s="59">
        <f t="shared" si="62"/>
        <v>770.25183790932533</v>
      </c>
      <c r="BI72" s="59">
        <f ca="1">AVERAGE(OFFSET($BH$3,0,0,'Données projet'!$E$11+1,1))-AVERAGE(OFFSET($H$3,0,0,'Données projet'!$E$11+1,1))</f>
        <v>210.04871822652808</v>
      </c>
      <c r="BJ72" s="59">
        <f t="shared" si="92"/>
        <v>250.17540614049324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3.3724700966220413</v>
      </c>
      <c r="BQ72" s="21">
        <f>EXP(-LN(2)/25)*BQ71+(1-EXP(-LN(2)/25))/(LN(2)/25)*Calculateur!BL72*Calculateur!BN72*VLOOKUP('Données projet'!$B$11,Paramètres!$A$1:$I$89,3,0)*0.475*44/12</f>
        <v>9.4388166210561693</v>
      </c>
      <c r="BR72" s="21">
        <f>EXP(-LN(2)/2)*BR71+(1-EXP(-LN(2)/2))/(LN(2)/2)*BL72*BO72*VLOOKUP('Données projet'!$B$11,Paramètres!$A$1:$I$89,3,0)*0.475*44/12</f>
        <v>2.9069711469882448E-5</v>
      </c>
      <c r="BS72" s="22">
        <f t="shared" si="63"/>
        <v>12.811315787389681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14</v>
      </c>
      <c r="BY72" s="12">
        <f>IF('Données projet'!$A$114&gt;35,BY71+BX72-CG71,IF(A72&lt;'Données projet'!$A$114,$BV$205^A72,IF(A72='Données projet'!$A$114,'Données projet'!$B$114,BY71+BX72-CG71)))</f>
        <v>411.38461538461536</v>
      </c>
      <c r="BZ72" s="13">
        <f>BY72*VLOOKUP('Données projet'!$B$12,Paramètres!$A$1:$I$89,3,0)*VLOOKUP('Données projet'!$B$12,Paramètres!$A$1:$I$89,5,0)</f>
        <v>197.876</v>
      </c>
      <c r="CA72" s="13">
        <f t="shared" si="93"/>
        <v>49.277087149792649</v>
      </c>
      <c r="CB72" s="20">
        <f t="shared" si="64"/>
        <v>430.45829345255555</v>
      </c>
      <c r="CC72" s="59">
        <f t="shared" si="65"/>
        <v>723.79162678588887</v>
      </c>
      <c r="CD72" s="59">
        <f ca="1">AVERAGE(OFFSET($CC$3,0,0,'Données projet'!$E$12+1,1))-AVERAGE(OFFSET($H$3,0,0,'Données projet'!$E$12+1,1))</f>
        <v>304.15237106473313</v>
      </c>
      <c r="CE72" s="59">
        <f t="shared" si="94"/>
        <v>120.85458928724336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255.5374979188561</v>
      </c>
      <c r="T73" s="59">
        <f t="shared" si="88"/>
        <v>343.10418468620901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1.3993615591332034</v>
      </c>
      <c r="AA73" s="21">
        <f>EXP(-LN(2)/25)*AA72+(1-EXP(-LN(2)/25))/(LN(2)/25)*Calculateur!V73*Calculateur!X73*VLOOKUP('Données projet'!$B$9,Paramètres!$A$1:$I$89,3,0)*0.475*44/12</f>
        <v>5.2649220450934902</v>
      </c>
      <c r="AB73" s="21">
        <f>EXP(-LN(2)/2)*AB72+(1-EXP(-LN(2)/2))/(LN(2)/2)*V73*Y73*VLOOKUP('Données projet'!$B$9,Paramètres!$A$1:$I$89,3,0)*0.475*44/12</f>
        <v>1.614238814786974E-6</v>
      </c>
      <c r="AC73" s="22">
        <f t="shared" si="57"/>
        <v>6.6642852184655084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464</v>
      </c>
      <c r="AG73" s="12">
        <f>VLOOKUP(A73,'Données projet'!$A$61:$I$81,9,0)</f>
        <v>9.8000000000000007</v>
      </c>
      <c r="AH73" s="12">
        <f t="array" ref="AH73">INDEX(AG:AG,MIN(IF(ISNUMBER(AG73:AG269),ROW(AG73:AG269),"")))</f>
        <v>9.8000000000000007</v>
      </c>
      <c r="AI73" s="13">
        <f>IF('Données projet'!$A$62&gt;35,AI72+AH73-AQ72,IF(A73&lt;'Données projet'!$A$62,$AF$205^A73,IF(A73='Données projet'!$A$62,'Données projet'!$B$62,AI72+AH73-AQ72)))</f>
        <v>464.00000000000034</v>
      </c>
      <c r="AJ73" s="13">
        <f>AI73*VLOOKUP('Données projet'!$B$10,Paramètres!$A$1:$I$89,3,0)*VLOOKUP('Données projet'!$B$10,Paramètres!$A$1:$I$89,5,0)</f>
        <v>253.34400000000019</v>
      </c>
      <c r="AK73" s="13">
        <f t="shared" si="89"/>
        <v>61.301453431926305</v>
      </c>
      <c r="AL73" s="20">
        <f t="shared" si="58"/>
        <v>548.00749806060537</v>
      </c>
      <c r="AM73" s="59">
        <f t="shared" si="59"/>
        <v>841.34083139393874</v>
      </c>
      <c r="AN73" s="59">
        <f ca="1">AVERAGE(OFFSET($AM$3,0,0,'Données projet'!$E$10+1,1))-AVERAGE(OFFSET($H$3,0,0,'Données projet'!$E$10+1,1))</f>
        <v>248.1486444660062</v>
      </c>
      <c r="AO73" s="59">
        <f t="shared" si="90"/>
        <v>293.34458072322127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63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3.8573943508694191</v>
      </c>
      <c r="AV73" s="21">
        <f>EXP(-LN(2)/25)*AV72+(1-EXP(-LN(2)/25))/(LN(2)/25)*Calculateur!AQ73*Calculateur!AS73*VLOOKUP('Données projet'!$B$10,Paramètres!$A$1:$I$89,3,0)*0.475*44/12</f>
        <v>11.228266710178389</v>
      </c>
      <c r="AW73" s="21">
        <f>EXP(-LN(2)/2)*AW72+(1-EXP(-LN(2)/2))/(LN(2)/2)*AQ73*AT73*VLOOKUP('Données projet'!$B$10,Paramètres!$A$1:$I$89,3,0)*0.475*44/12</f>
        <v>2.4015833010545972E-5</v>
      </c>
      <c r="AX73" s="21">
        <f t="shared" si="60"/>
        <v>15.08568507688082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411</v>
      </c>
      <c r="BB73" s="12">
        <f>VLOOKUP(A73,'Données projet'!$A$87:$I$107,9,0)</f>
        <v>8.5</v>
      </c>
      <c r="BC73" s="12">
        <f t="array" ref="BC73">INDEX(BB:BB,MIN(IF(ISNUMBER(BB73:BB269),ROW(BB73:BB269),"")))</f>
        <v>8.5</v>
      </c>
      <c r="BD73" s="12">
        <f>IF('Données projet'!$A$88&gt;35,BD72+BC73-BL72,IF(A73&lt;'Données projet'!$A$88,$BA$205^A73,IF(A73='Données projet'!$A$88,'Données projet'!$B$88,BD72+BC73-BL72)))</f>
        <v>411.00000000000023</v>
      </c>
      <c r="BE73" s="13">
        <f>BD73*VLOOKUP('Données projet'!$B$11,Paramètres!$A$1:$I$89,3,0)*VLOOKUP('Données projet'!$B$11,Paramètres!$A$1:$I$89,5,0)</f>
        <v>224.40600000000012</v>
      </c>
      <c r="BF73" s="13">
        <f t="shared" si="91"/>
        <v>55.071400090717127</v>
      </c>
      <c r="BG73" s="20">
        <f t="shared" si="61"/>
        <v>486.75647182466588</v>
      </c>
      <c r="BH73" s="59">
        <f t="shared" si="62"/>
        <v>780.08980515799919</v>
      </c>
      <c r="BI73" s="59">
        <f ca="1">AVERAGE(OFFSET($BH$3,0,0,'Données projet'!$E$11+1,1))-AVERAGE(OFFSET($H$3,0,0,'Données projet'!$E$11+1,1))</f>
        <v>210.04871822652808</v>
      </c>
      <c r="BJ73" s="59">
        <f t="shared" si="92"/>
        <v>250.17540614049324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52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3.3063380150309296</v>
      </c>
      <c r="BQ73" s="21">
        <f>EXP(-LN(2)/25)*BQ72+(1-EXP(-LN(2)/25))/(LN(2)/25)*Calculateur!BL73*Calculateur!BN73*VLOOKUP('Données projet'!$B$11,Paramètres!$A$1:$I$89,3,0)*0.475*44/12</f>
        <v>9.1807116841875942</v>
      </c>
      <c r="BR73" s="21">
        <f>EXP(-LN(2)/2)*BR72+(1-EXP(-LN(2)/2))/(LN(2)/2)*BL73*BO73*VLOOKUP('Données projet'!$B$11,Paramètres!$A$1:$I$89,3,0)*0.475*44/12</f>
        <v>2.0555390107490242E-5</v>
      </c>
      <c r="BS73" s="22">
        <f t="shared" si="63"/>
        <v>12.487070254608632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425.38461538461536</v>
      </c>
      <c r="BW73" s="12">
        <f>VLOOKUP(A73,'Données projet'!$A$113:$I$133,9,0)</f>
        <v>14</v>
      </c>
      <c r="BX73" s="12">
        <f t="array" ref="BX73">INDEX(BW:BW,MIN(IF(ISNUMBER(BW73:BW269),ROW(BW73:BW269),"")))</f>
        <v>14</v>
      </c>
      <c r="BY73" s="12">
        <f>IF('Données projet'!$A$114&gt;35,BY72+BX73-CG72,IF(A73&lt;'Données projet'!$A$114,$BV$205^A73,IF(A73='Données projet'!$A$114,'Données projet'!$B$114,BY72+BX73-CG72)))</f>
        <v>425.38461538461536</v>
      </c>
      <c r="BZ73" s="13">
        <f>BY73*VLOOKUP('Données projet'!$B$12,Paramètres!$A$1:$I$89,3,0)*VLOOKUP('Données projet'!$B$12,Paramètres!$A$1:$I$89,5,0)</f>
        <v>204.60999999999999</v>
      </c>
      <c r="CA73" s="13">
        <f t="shared" si="93"/>
        <v>50.755958577224398</v>
      </c>
      <c r="CB73" s="20">
        <f t="shared" si="64"/>
        <v>444.76237785533249</v>
      </c>
      <c r="CC73" s="59">
        <f t="shared" si="65"/>
        <v>738.09571118866575</v>
      </c>
      <c r="CD73" s="59">
        <f ca="1">AVERAGE(OFFSET($CC$3,0,0,'Données projet'!$E$12+1,1))-AVERAGE(OFFSET($H$3,0,0,'Données projet'!$E$12+1,1))</f>
        <v>304.15237106473313</v>
      </c>
      <c r="CE73" s="59">
        <f t="shared" si="94"/>
        <v>120.85458928724336</v>
      </c>
      <c r="CF73" s="15">
        <f>IF(ISNA(VLOOKUP(A73,'Données projet'!$A$113:$I$133,3,0)),0,VLOOKUP(A73,'Données projet'!$A$113:$I$133,3,0))</f>
        <v>4</v>
      </c>
      <c r="CG73" s="15">
        <f>IF(ISNA(VLOOKUP(A73,'Données projet'!$A$113:$I$133,4,0)),0,VLOOKUP(A73,'Données projet'!$A$113:$I$133,4,0))</f>
        <v>40.769230769230766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255.5374979188561</v>
      </c>
      <c r="T74" s="59">
        <f t="shared" si="88"/>
        <v>343.10418468620901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1.3719209324848736</v>
      </c>
      <c r="AA74" s="21">
        <f>EXP(-LN(2)/25)*AA73+(1-EXP(-LN(2)/25))/(LN(2)/25)*Calculateur!V74*Calculateur!X74*VLOOKUP('Données projet'!$B$9,Paramètres!$A$1:$I$89,3,0)*0.475*44/12</f>
        <v>5.1209524749001911</v>
      </c>
      <c r="AB74" s="21">
        <f>EXP(-LN(2)/2)*AB73+(1-EXP(-LN(2)/2))/(LN(2)/2)*V74*Y74*VLOOKUP('Données projet'!$B$9,Paramètres!$A$1:$I$89,3,0)*0.475*44/12</f>
        <v>1.1414392123904046E-6</v>
      </c>
      <c r="AC74" s="22">
        <f t="shared" si="57"/>
        <v>6.4928745488242772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8.6</v>
      </c>
      <c r="AI74" s="13">
        <f>IF('Données projet'!$A$62&gt;35,AI73+AH74-AQ73,IF(A74&lt;'Données projet'!$A$62,$AF$205^A74,IF(A74='Données projet'!$A$62,'Données projet'!$B$62,AI73+AH74-AQ73)))</f>
        <v>409.60000000000036</v>
      </c>
      <c r="AJ74" s="13">
        <f>AI74*VLOOKUP('Données projet'!$B$10,Paramètres!$A$1:$I$89,3,0)*VLOOKUP('Données projet'!$B$10,Paramètres!$A$1:$I$89,5,0)</f>
        <v>223.64160000000021</v>
      </c>
      <c r="AK74" s="13">
        <f t="shared" si="89"/>
        <v>54.905611653539268</v>
      </c>
      <c r="AL74" s="20">
        <f t="shared" si="58"/>
        <v>485.13639362991449</v>
      </c>
      <c r="AM74" s="59">
        <f t="shared" si="59"/>
        <v>778.46972696324781</v>
      </c>
      <c r="AN74" s="59">
        <f ca="1">AVERAGE(OFFSET($AM$3,0,0,'Données projet'!$E$10+1,1))-AVERAGE(OFFSET($H$3,0,0,'Données projet'!$E$10+1,1))</f>
        <v>248.1486444660062</v>
      </c>
      <c r="AO74" s="59">
        <f t="shared" si="90"/>
        <v>293.34458072322127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3.7817532004271062</v>
      </c>
      <c r="AV74" s="21">
        <f>EXP(-LN(2)/25)*AV73+(1-EXP(-LN(2)/25))/(LN(2)/25)*Calculateur!AQ74*Calculateur!AS74*VLOOKUP('Données projet'!$B$10,Paramètres!$A$1:$I$89,3,0)*0.475*44/12</f>
        <v>10.921229166519677</v>
      </c>
      <c r="AW74" s="21">
        <f>EXP(-LN(2)/2)*AW73+(1-EXP(-LN(2)/2))/(LN(2)/2)*AQ74*AT74*VLOOKUP('Données projet'!$B$10,Paramètres!$A$1:$I$89,3,0)*0.475*44/12</f>
        <v>1.6981758377600795E-5</v>
      </c>
      <c r="AX74" s="21">
        <f t="shared" si="60"/>
        <v>14.702999348705161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7.4</v>
      </c>
      <c r="BD74" s="12">
        <f>IF('Données projet'!$A$88&gt;35,BD73+BC74-BL73,IF(A74&lt;'Données projet'!$A$88,$BA$205^A74,IF(A74='Données projet'!$A$88,'Données projet'!$B$88,BD73+BC74-BL73)))</f>
        <v>366.4000000000002</v>
      </c>
      <c r="BE74" s="13">
        <f>BD74*VLOOKUP('Données projet'!$B$11,Paramètres!$A$1:$I$89,3,0)*VLOOKUP('Données projet'!$B$11,Paramètres!$A$1:$I$89,5,0)</f>
        <v>200.05440000000013</v>
      </c>
      <c r="BF74" s="13">
        <f t="shared" si="91"/>
        <v>49.756123009618236</v>
      </c>
      <c r="BG74" s="20">
        <f t="shared" si="61"/>
        <v>435.08666090841865</v>
      </c>
      <c r="BH74" s="59">
        <f t="shared" si="62"/>
        <v>728.41999424175197</v>
      </c>
      <c r="BI74" s="59">
        <f ca="1">AVERAGE(OFFSET($BH$3,0,0,'Données projet'!$E$11+1,1))-AVERAGE(OFFSET($H$3,0,0,'Données projet'!$E$11+1,1))</f>
        <v>210.04871822652808</v>
      </c>
      <c r="BJ74" s="59">
        <f t="shared" si="92"/>
        <v>250.17540614049324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3.2415027432232328</v>
      </c>
      <c r="BQ74" s="21">
        <f>EXP(-LN(2)/25)*BQ73+(1-EXP(-LN(2)/25))/(LN(2)/25)*Calculateur!BL74*Calculateur!BN74*VLOOKUP('Données projet'!$B$11,Paramètres!$A$1:$I$89,3,0)*0.475*44/12</f>
        <v>8.9296646403908397</v>
      </c>
      <c r="BR74" s="21">
        <f>EXP(-LN(2)/2)*BR73+(1-EXP(-LN(2)/2))/(LN(2)/2)*BL74*BO74*VLOOKUP('Données projet'!$B$11,Paramètres!$A$1:$I$89,3,0)*0.475*44/12</f>
        <v>1.4534855734941227E-5</v>
      </c>
      <c r="BS74" s="22">
        <f t="shared" si="63"/>
        <v>12.171181918469808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16.923076923076923</v>
      </c>
      <c r="BY74" s="12">
        <f>IF('Données projet'!$A$114&gt;35,BY73+BX74-CG73,IF(A74&lt;'Données projet'!$A$114,$BV$205^A74,IF(A74='Données projet'!$A$114,'Données projet'!$B$114,BY73+BX74-CG73)))</f>
        <v>401.53846153846149</v>
      </c>
      <c r="BZ74" s="13">
        <f>BY74*VLOOKUP('Données projet'!$B$12,Paramètres!$A$1:$I$89,3,0)*VLOOKUP('Données projet'!$B$12,Paramètres!$A$1:$I$89,5,0)</f>
        <v>193.14</v>
      </c>
      <c r="CA74" s="13">
        <f t="shared" si="93"/>
        <v>48.233498627182172</v>
      </c>
      <c r="CB74" s="20">
        <f t="shared" si="64"/>
        <v>420.39217677567558</v>
      </c>
      <c r="CC74" s="59">
        <f t="shared" si="65"/>
        <v>713.72551010900884</v>
      </c>
      <c r="CD74" s="59">
        <f ca="1">AVERAGE(OFFSET($CC$3,0,0,'Données projet'!$E$12+1,1))-AVERAGE(OFFSET($H$3,0,0,'Données projet'!$E$12+1,1))</f>
        <v>304.15237106473313</v>
      </c>
      <c r="CE74" s="59">
        <f t="shared" si="94"/>
        <v>120.85458928724336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255.5374979188561</v>
      </c>
      <c r="T75" s="59">
        <f t="shared" si="88"/>
        <v>343.10418468620901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1.3450183997879879</v>
      </c>
      <c r="AA75" s="21">
        <f>EXP(-LN(2)/25)*AA74+(1-EXP(-LN(2)/25))/(LN(2)/25)*Calculateur!V75*Calculateur!X75*VLOOKUP('Données projet'!$B$9,Paramètres!$A$1:$I$89,3,0)*0.475*44/12</f>
        <v>4.9809197601748592</v>
      </c>
      <c r="AB75" s="21">
        <f>EXP(-LN(2)/2)*AB74+(1-EXP(-LN(2)/2))/(LN(2)/2)*V75*Y75*VLOOKUP('Données projet'!$B$9,Paramètres!$A$1:$I$89,3,0)*0.475*44/12</f>
        <v>8.07119407393487E-7</v>
      </c>
      <c r="AC75" s="22">
        <f t="shared" si="57"/>
        <v>6.325938967082255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8.6</v>
      </c>
      <c r="AI75" s="13">
        <f>IF('Données projet'!$A$62&gt;35,AI74+AH75-AQ74,IF(A75&lt;'Données projet'!$A$62,$AF$205^A75,IF(A75='Données projet'!$A$62,'Données projet'!$B$62,AI74+AH75-AQ74)))</f>
        <v>418.20000000000039</v>
      </c>
      <c r="AJ75" s="13">
        <f>AI75*VLOOKUP('Données projet'!$B$10,Paramètres!$A$1:$I$89,3,0)*VLOOKUP('Données projet'!$B$10,Paramètres!$A$1:$I$89,5,0)</f>
        <v>228.33720000000019</v>
      </c>
      <c r="AK75" s="13">
        <f t="shared" si="89"/>
        <v>55.922993607595103</v>
      </c>
      <c r="AL75" s="20">
        <f t="shared" si="58"/>
        <v>495.08650386656171</v>
      </c>
      <c r="AM75" s="59">
        <f t="shared" si="59"/>
        <v>788.41983719989503</v>
      </c>
      <c r="AN75" s="59">
        <f ca="1">AVERAGE(OFFSET($AM$3,0,0,'Données projet'!$E$10+1,1))-AVERAGE(OFFSET($H$3,0,0,'Données projet'!$E$10+1,1))</f>
        <v>248.1486444660062</v>
      </c>
      <c r="AO75" s="59">
        <f t="shared" si="90"/>
        <v>293.34458072322127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3.7075953268084207</v>
      </c>
      <c r="AV75" s="21">
        <f>EXP(-LN(2)/25)*AV74+(1-EXP(-LN(2)/25))/(LN(2)/25)*Calculateur!AQ75*Calculateur!AS75*VLOOKUP('Données projet'!$B$10,Paramètres!$A$1:$I$89,3,0)*0.475*44/12</f>
        <v>10.622587580638715</v>
      </c>
      <c r="AW75" s="21">
        <f>EXP(-LN(2)/2)*AW74+(1-EXP(-LN(2)/2))/(LN(2)/2)*AQ75*AT75*VLOOKUP('Données projet'!$B$10,Paramètres!$A$1:$I$89,3,0)*0.475*44/12</f>
        <v>1.2007916505272986E-5</v>
      </c>
      <c r="AX75" s="21">
        <f t="shared" si="60"/>
        <v>14.33019491536364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7.4</v>
      </c>
      <c r="BD75" s="12">
        <f>IF('Données projet'!$A$88&gt;35,BD74+BC75-BL74,IF(A75&lt;'Données projet'!$A$88,$BA$205^A75,IF(A75='Données projet'!$A$88,'Données projet'!$B$88,BD74+BC75-BL74)))</f>
        <v>373.80000000000018</v>
      </c>
      <c r="BE75" s="13">
        <f>BD75*VLOOKUP('Données projet'!$B$11,Paramètres!$A$1:$I$89,3,0)*VLOOKUP('Données projet'!$B$11,Paramètres!$A$1:$I$89,5,0)</f>
        <v>204.09480000000011</v>
      </c>
      <c r="BF75" s="13">
        <f t="shared" si="91"/>
        <v>50.643016586252969</v>
      </c>
      <c r="BG75" s="20">
        <f t="shared" si="61"/>
        <v>443.66836388772407</v>
      </c>
      <c r="BH75" s="59">
        <f t="shared" si="62"/>
        <v>737.00169722105738</v>
      </c>
      <c r="BI75" s="59">
        <f ca="1">AVERAGE(OFFSET($BH$3,0,0,'Données projet'!$E$11+1,1))-AVERAGE(OFFSET($H$3,0,0,'Données projet'!$E$11+1,1))</f>
        <v>210.04871822652808</v>
      </c>
      <c r="BJ75" s="59">
        <f t="shared" si="92"/>
        <v>250.17540614049324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3.1779388515500742</v>
      </c>
      <c r="BQ75" s="21">
        <f>EXP(-LN(2)/25)*BQ74+(1-EXP(-LN(2)/25))/(LN(2)/25)*Calculateur!BL75*Calculateur!BN75*VLOOKUP('Données projet'!$B$11,Paramètres!$A$1:$I$89,3,0)*0.475*44/12</f>
        <v>8.6854824912086972</v>
      </c>
      <c r="BR75" s="21">
        <f>EXP(-LN(2)/2)*BR74+(1-EXP(-LN(2)/2))/(LN(2)/2)*BL75*BO75*VLOOKUP('Données projet'!$B$11,Paramètres!$A$1:$I$89,3,0)*0.475*44/12</f>
        <v>1.0277695053745123E-5</v>
      </c>
      <c r="BS75" s="22">
        <f t="shared" si="63"/>
        <v>11.863431620453825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16.923076923076923</v>
      </c>
      <c r="BY75" s="12">
        <f>IF('Données projet'!$A$114&gt;35,BY74+BX75-CG74,IF(A75&lt;'Données projet'!$A$114,$BV$205^A75,IF(A75='Données projet'!$A$114,'Données projet'!$B$114,BY74+BX75-CG74)))</f>
        <v>418.4615384615384</v>
      </c>
      <c r="BZ75" s="13">
        <f>BY75*VLOOKUP('Données projet'!$B$12,Paramètres!$A$1:$I$89,3,0)*VLOOKUP('Données projet'!$B$12,Paramètres!$A$1:$I$89,5,0)</f>
        <v>201.27999999999994</v>
      </c>
      <c r="CA75" s="13">
        <f t="shared" si="93"/>
        <v>50.025368451763654</v>
      </c>
      <c r="CB75" s="20">
        <f t="shared" si="64"/>
        <v>437.69018338682162</v>
      </c>
      <c r="CC75" s="59">
        <f t="shared" si="65"/>
        <v>731.02351672015493</v>
      </c>
      <c r="CD75" s="59">
        <f ca="1">AVERAGE(OFFSET($CC$3,0,0,'Données projet'!$E$12+1,1))-AVERAGE(OFFSET($H$3,0,0,'Données projet'!$E$12+1,1))</f>
        <v>304.15237106473313</v>
      </c>
      <c r="CE75" s="59">
        <f t="shared" si="94"/>
        <v>120.85458928724336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255.5374979188561</v>
      </c>
      <c r="T76" s="59">
        <f t="shared" si="88"/>
        <v>343.10418468620901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1.3186434093483634</v>
      </c>
      <c r="AA76" s="21">
        <f>EXP(-LN(2)/25)*AA75+(1-EXP(-LN(2)/25))/(LN(2)/25)*Calculateur!V76*Calculateur!X76*VLOOKUP('Données projet'!$B$9,Paramètres!$A$1:$I$89,3,0)*0.475*44/12</f>
        <v>4.8447162473976917</v>
      </c>
      <c r="AB76" s="21">
        <f>EXP(-LN(2)/2)*AB75+(1-EXP(-LN(2)/2))/(LN(2)/2)*V76*Y76*VLOOKUP('Données projet'!$B$9,Paramètres!$A$1:$I$89,3,0)*0.475*44/12</f>
        <v>5.7071960619520231E-7</v>
      </c>
      <c r="AC76" s="22">
        <f t="shared" si="57"/>
        <v>6.1633602274656605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8.6</v>
      </c>
      <c r="AI76" s="13">
        <f>IF('Données projet'!$A$62&gt;35,AI75+AH76-AQ75,IF(A76&lt;'Données projet'!$A$62,$AF$205^A76,IF(A76='Données projet'!$A$62,'Données projet'!$B$62,AI75+AH76-AQ75)))</f>
        <v>426.80000000000041</v>
      </c>
      <c r="AJ76" s="13">
        <f>AI76*VLOOKUP('Données projet'!$B$10,Paramètres!$A$1:$I$89,3,0)*VLOOKUP('Données projet'!$B$10,Paramètres!$A$1:$I$89,5,0)</f>
        <v>233.03280000000024</v>
      </c>
      <c r="AK76" s="13">
        <f t="shared" si="89"/>
        <v>56.937942998569035</v>
      </c>
      <c r="AL76" s="20">
        <f t="shared" si="58"/>
        <v>505.03237738917477</v>
      </c>
      <c r="AM76" s="59">
        <f t="shared" si="59"/>
        <v>798.36571072250808</v>
      </c>
      <c r="AN76" s="59">
        <f ca="1">AVERAGE(OFFSET($AM$3,0,0,'Données projet'!$E$10+1,1))-AVERAGE(OFFSET($H$3,0,0,'Données projet'!$E$10+1,1))</f>
        <v>248.1486444660062</v>
      </c>
      <c r="AO76" s="59">
        <f t="shared" si="90"/>
        <v>293.34458072322127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3.6348916438595613</v>
      </c>
      <c r="AV76" s="21">
        <f>EXP(-LN(2)/25)*AV75+(1-EXP(-LN(2)/25))/(LN(2)/25)*Calculateur!AQ76*Calculateur!AS76*VLOOKUP('Données projet'!$B$10,Paramètres!$A$1:$I$89,3,0)*0.475*44/12</f>
        <v>10.332112364628546</v>
      </c>
      <c r="AW76" s="21">
        <f>EXP(-LN(2)/2)*AW75+(1-EXP(-LN(2)/2))/(LN(2)/2)*AQ76*AT76*VLOOKUP('Données projet'!$B$10,Paramètres!$A$1:$I$89,3,0)*0.475*44/12</f>
        <v>8.4908791888003976E-6</v>
      </c>
      <c r="AX76" s="21">
        <f t="shared" si="60"/>
        <v>13.967012499367296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7.4</v>
      </c>
      <c r="BD76" s="12">
        <f>IF('Données projet'!$A$88&gt;35,BD75+BC76-BL75,IF(A76&lt;'Données projet'!$A$88,$BA$205^A76,IF(A76='Données projet'!$A$88,'Données projet'!$B$88,BD75+BC76-BL75)))</f>
        <v>381.20000000000016</v>
      </c>
      <c r="BE76" s="13">
        <f>BD76*VLOOKUP('Données projet'!$B$11,Paramètres!$A$1:$I$89,3,0)*VLOOKUP('Données projet'!$B$11,Paramètres!$A$1:$I$89,5,0)</f>
        <v>208.13520000000011</v>
      </c>
      <c r="BF76" s="13">
        <f t="shared" si="91"/>
        <v>51.527868675898425</v>
      </c>
      <c r="BG76" s="20">
        <f t="shared" si="61"/>
        <v>452.24651127718994</v>
      </c>
      <c r="BH76" s="59">
        <f t="shared" si="62"/>
        <v>745.5798446105232</v>
      </c>
      <c r="BI76" s="59">
        <f ca="1">AVERAGE(OFFSET($BH$3,0,0,'Données projet'!$E$11+1,1))-AVERAGE(OFFSET($H$3,0,0,'Données projet'!$E$11+1,1))</f>
        <v>210.04871822652808</v>
      </c>
      <c r="BJ76" s="59">
        <f t="shared" si="92"/>
        <v>250.17540614049324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3.1156214090224803</v>
      </c>
      <c r="BQ76" s="21">
        <f>EXP(-LN(2)/25)*BQ75+(1-EXP(-LN(2)/25))/(LN(2)/25)*Calculateur!BL76*Calculateur!BN76*VLOOKUP('Données projet'!$B$11,Paramètres!$A$1:$I$89,3,0)*0.475*44/12</f>
        <v>8.4479775157369215</v>
      </c>
      <c r="BR76" s="21">
        <f>EXP(-LN(2)/2)*BR75+(1-EXP(-LN(2)/2))/(LN(2)/2)*BL76*BO76*VLOOKUP('Données projet'!$B$11,Paramètres!$A$1:$I$89,3,0)*0.475*44/12</f>
        <v>7.2674278674706145E-6</v>
      </c>
      <c r="BS76" s="22">
        <f t="shared" si="63"/>
        <v>11.563606192187269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16.923076923076923</v>
      </c>
      <c r="BY76" s="12">
        <f>IF('Données projet'!$A$114&gt;35,BY75+BX76-CG75,IF(A76&lt;'Données projet'!$A$114,$BV$205^A76,IF(A76='Données projet'!$A$114,'Données projet'!$B$114,BY75+BX76-CG75)))</f>
        <v>435.3846153846153</v>
      </c>
      <c r="BZ76" s="13">
        <f>BY76*VLOOKUP('Données projet'!$B$12,Paramètres!$A$1:$I$89,3,0)*VLOOKUP('Données projet'!$B$12,Paramètres!$A$1:$I$89,5,0)</f>
        <v>209.41999999999996</v>
      </c>
      <c r="CA76" s="13">
        <f t="shared" si="93"/>
        <v>51.808820711455354</v>
      </c>
      <c r="CB76" s="20">
        <f t="shared" si="64"/>
        <v>454.97352940578475</v>
      </c>
      <c r="CC76" s="59">
        <f t="shared" si="65"/>
        <v>748.30686273911806</v>
      </c>
      <c r="CD76" s="59">
        <f ca="1">AVERAGE(OFFSET($CC$3,0,0,'Données projet'!$E$12+1,1))-AVERAGE(OFFSET($H$3,0,0,'Données projet'!$E$12+1,1))</f>
        <v>304.15237106473313</v>
      </c>
      <c r="CE76" s="59">
        <f t="shared" si="94"/>
        <v>120.85458928724336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255.5374979188561</v>
      </c>
      <c r="T77" s="59">
        <f t="shared" si="88"/>
        <v>343.10418468620901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1.2927856163841045</v>
      </c>
      <c r="AA77" s="21">
        <f>EXP(-LN(2)/25)*AA76+(1-EXP(-LN(2)/25))/(LN(2)/25)*Calculateur!V77*Calculateur!X77*VLOOKUP('Données projet'!$B$9,Paramètres!$A$1:$I$89,3,0)*0.475*44/12</f>
        <v>4.7122372268400472</v>
      </c>
      <c r="AB77" s="21">
        <f>EXP(-LN(2)/2)*AB76+(1-EXP(-LN(2)/2))/(LN(2)/2)*V77*Y77*VLOOKUP('Données projet'!$B$9,Paramètres!$A$1:$I$89,3,0)*0.475*44/12</f>
        <v>4.035597036967435E-7</v>
      </c>
      <c r="AC77" s="22">
        <f t="shared" si="57"/>
        <v>6.005023246783856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8.6</v>
      </c>
      <c r="AI77" s="13">
        <f>IF('Données projet'!$A$62&gt;35,AI76+AH77-AQ76,IF(A77&lt;'Données projet'!$A$62,$AF$205^A77,IF(A77='Données projet'!$A$62,'Données projet'!$B$62,AI76+AH77-AQ76)))</f>
        <v>435.40000000000043</v>
      </c>
      <c r="AJ77" s="13">
        <f>AI77*VLOOKUP('Données projet'!$B$10,Paramètres!$A$1:$I$89,3,0)*VLOOKUP('Données projet'!$B$10,Paramètres!$A$1:$I$89,5,0)</f>
        <v>237.72840000000022</v>
      </c>
      <c r="AK77" s="13">
        <f t="shared" si="89"/>
        <v>57.950514491302194</v>
      </c>
      <c r="AL77" s="20">
        <f t="shared" si="58"/>
        <v>514.974109405685</v>
      </c>
      <c r="AM77" s="59">
        <f t="shared" si="59"/>
        <v>808.30744273901837</v>
      </c>
      <c r="AN77" s="59">
        <f ca="1">AVERAGE(OFFSET($AM$3,0,0,'Données projet'!$E$10+1,1))-AVERAGE(OFFSET($H$3,0,0,'Données projet'!$E$10+1,1))</f>
        <v>248.1486444660062</v>
      </c>
      <c r="AO77" s="59">
        <f t="shared" si="90"/>
        <v>293.34458072322127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3.5636136357884611</v>
      </c>
      <c r="AV77" s="21">
        <f>EXP(-LN(2)/25)*AV76+(1-EXP(-LN(2)/25))/(LN(2)/25)*Calculateur!AQ77*Calculateur!AS77*VLOOKUP('Données projet'!$B$10,Paramètres!$A$1:$I$89,3,0)*0.475*44/12</f>
        <v>10.049580208675604</v>
      </c>
      <c r="AW77" s="21">
        <f>EXP(-LN(2)/2)*AW76+(1-EXP(-LN(2)/2))/(LN(2)/2)*AQ77*AT77*VLOOKUP('Données projet'!$B$10,Paramètres!$A$1:$I$89,3,0)*0.475*44/12</f>
        <v>6.003958252636493E-6</v>
      </c>
      <c r="AX77" s="21">
        <f t="shared" si="60"/>
        <v>13.613199848422317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7.4</v>
      </c>
      <c r="BD77" s="12">
        <f>IF('Données projet'!$A$88&gt;35,BD76+BC77-BL76,IF(A77&lt;'Données projet'!$A$88,$BA$205^A77,IF(A77='Données projet'!$A$88,'Données projet'!$B$88,BD76+BC77-BL76)))</f>
        <v>388.60000000000014</v>
      </c>
      <c r="BE77" s="13">
        <f>BD77*VLOOKUP('Données projet'!$B$11,Paramètres!$A$1:$I$89,3,0)*VLOOKUP('Données projet'!$B$11,Paramètres!$A$1:$I$89,5,0)</f>
        <v>212.17560000000006</v>
      </c>
      <c r="BF77" s="13">
        <f t="shared" si="91"/>
        <v>52.410723477279205</v>
      </c>
      <c r="BG77" s="20">
        <f t="shared" si="61"/>
        <v>460.82118005626143</v>
      </c>
      <c r="BH77" s="59">
        <f t="shared" si="62"/>
        <v>754.15451338959474</v>
      </c>
      <c r="BI77" s="59">
        <f ca="1">AVERAGE(OFFSET($BH$3,0,0,'Données projet'!$E$11+1,1))-AVERAGE(OFFSET($H$3,0,0,'Données projet'!$E$11+1,1))</f>
        <v>210.04871822652808</v>
      </c>
      <c r="BJ77" s="59">
        <f t="shared" si="92"/>
        <v>250.17540614049324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3.0545259735329657</v>
      </c>
      <c r="BQ77" s="21">
        <f>EXP(-LN(2)/25)*BQ76+(1-EXP(-LN(2)/25))/(LN(2)/25)*Calculateur!BL77*Calculateur!BN77*VLOOKUP('Données projet'!$B$11,Paramètres!$A$1:$I$89,3,0)*0.475*44/12</f>
        <v>8.2169671263092656</v>
      </c>
      <c r="BR77" s="21">
        <f>EXP(-LN(2)/2)*BR76+(1-EXP(-LN(2)/2))/(LN(2)/2)*BL77*BO77*VLOOKUP('Données projet'!$B$11,Paramètres!$A$1:$I$89,3,0)*0.475*44/12</f>
        <v>5.1388475268725622E-6</v>
      </c>
      <c r="BS77" s="22">
        <f t="shared" si="63"/>
        <v>11.271498238689759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16.923076923076923</v>
      </c>
      <c r="BY77" s="12">
        <f>IF('Données projet'!$A$114&gt;35,BY76+BX77-CG76,IF(A77&lt;'Données projet'!$A$114,$BV$205^A77,IF(A77='Données projet'!$A$114,'Données projet'!$B$114,BY76+BX77-CG76)))</f>
        <v>452.30769230769221</v>
      </c>
      <c r="BZ77" s="13">
        <f>BY77*VLOOKUP('Données projet'!$B$12,Paramètres!$A$1:$I$89,3,0)*VLOOKUP('Données projet'!$B$12,Paramètres!$A$1:$I$89,5,0)</f>
        <v>217.55999999999997</v>
      </c>
      <c r="CA77" s="13">
        <f t="shared" si="93"/>
        <v>53.584220036971523</v>
      </c>
      <c r="CB77" s="20">
        <f t="shared" si="64"/>
        <v>472.24284989772531</v>
      </c>
      <c r="CC77" s="59">
        <f t="shared" si="65"/>
        <v>765.57618323105862</v>
      </c>
      <c r="CD77" s="59">
        <f ca="1">AVERAGE(OFFSET($CC$3,0,0,'Données projet'!$E$12+1,1))-AVERAGE(OFFSET($H$3,0,0,'Données projet'!$E$12+1,1))</f>
        <v>304.15237106473313</v>
      </c>
      <c r="CE77" s="59">
        <f t="shared" si="94"/>
        <v>120.85458928724336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255.5374979188561</v>
      </c>
      <c r="T78" s="59">
        <f t="shared" si="88"/>
        <v>343.10418468620901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1.2674348789681782</v>
      </c>
      <c r="AA78" s="21">
        <f>EXP(-LN(2)/25)*AA77+(1-EXP(-LN(2)/25))/(LN(2)/25)*Calculateur!V78*Calculateur!X78*VLOOKUP('Données projet'!$B$9,Paramètres!$A$1:$I$89,3,0)*0.475*44/12</f>
        <v>4.5833808520663206</v>
      </c>
      <c r="AB78" s="21">
        <f>EXP(-LN(2)/2)*AB77+(1-EXP(-LN(2)/2))/(LN(2)/2)*V78*Y78*VLOOKUP('Données projet'!$B$9,Paramètres!$A$1:$I$89,3,0)*0.475*44/12</f>
        <v>2.8535980309760115E-7</v>
      </c>
      <c r="AC78" s="22">
        <f t="shared" si="57"/>
        <v>5.8508160163943019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</v>
      </c>
      <c r="AI78" s="13">
        <f>IF('Données projet'!$A$62&gt;35,AI77+AH78-AQ77,IF(A78&lt;'Données projet'!$A$62,$AF$205^A78,IF(A78='Données projet'!$A$62,'Données projet'!$B$62,AI77+AH78-AQ77)))</f>
        <v>444.00000000000045</v>
      </c>
      <c r="AJ78" s="13">
        <f>AI78*VLOOKUP('Données projet'!$B$10,Paramètres!$A$1:$I$89,3,0)*VLOOKUP('Données projet'!$B$10,Paramètres!$A$1:$I$89,5,0)</f>
        <v>242.42400000000026</v>
      </c>
      <c r="AK78" s="13">
        <f t="shared" si="89"/>
        <v>58.960760467659817</v>
      </c>
      <c r="AL78" s="20">
        <f t="shared" si="58"/>
        <v>524.91179114784131</v>
      </c>
      <c r="AM78" s="59">
        <f t="shared" si="59"/>
        <v>818.24512448117457</v>
      </c>
      <c r="AN78" s="59">
        <f ca="1">AVERAGE(OFFSET($AM$3,0,0,'Données projet'!$E$10+1,1))-AVERAGE(OFFSET($H$3,0,0,'Données projet'!$E$10+1,1))</f>
        <v>248.1486444660062</v>
      </c>
      <c r="AO78" s="59">
        <f t="shared" si="90"/>
        <v>293.34458072322127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3.4937333459803432</v>
      </c>
      <c r="AV78" s="21">
        <f>EXP(-LN(2)/25)*AV77+(1-EXP(-LN(2)/25))/(LN(2)/25)*Calculateur!AQ78*Calculateur!AS78*VLOOKUP('Données projet'!$B$10,Paramètres!$A$1:$I$89,3,0)*0.475*44/12</f>
        <v>9.7747739093849155</v>
      </c>
      <c r="AW78" s="21">
        <f>EXP(-LN(2)/2)*AW77+(1-EXP(-LN(2)/2))/(LN(2)/2)*AQ78*AT78*VLOOKUP('Données projet'!$B$10,Paramètres!$A$1:$I$89,3,0)*0.475*44/12</f>
        <v>4.2454395944001988E-6</v>
      </c>
      <c r="AX78" s="21">
        <f t="shared" si="60"/>
        <v>13.268511500804854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7.4</v>
      </c>
      <c r="BD78" s="12">
        <f>IF('Données projet'!$A$88&gt;35,BD77+BC78-BL77,IF(A78&lt;'Données projet'!$A$88,$BA$205^A78,IF(A78='Données projet'!$A$88,'Données projet'!$B$88,BD77+BC78-BL77)))</f>
        <v>396.00000000000011</v>
      </c>
      <c r="BE78" s="13">
        <f>BD78*VLOOKUP('Données projet'!$B$11,Paramètres!$A$1:$I$89,3,0)*VLOOKUP('Données projet'!$B$11,Paramètres!$A$1:$I$89,5,0)</f>
        <v>216.21600000000007</v>
      </c>
      <c r="BF78" s="13">
        <f t="shared" si="91"/>
        <v>53.291623409473033</v>
      </c>
      <c r="BG78" s="20">
        <f t="shared" si="61"/>
        <v>469.39244410483235</v>
      </c>
      <c r="BH78" s="59">
        <f t="shared" si="62"/>
        <v>762.72577743816566</v>
      </c>
      <c r="BI78" s="59">
        <f ca="1">AVERAGE(OFFSET($BH$3,0,0,'Données projet'!$E$11+1,1))-AVERAGE(OFFSET($H$3,0,0,'Données projet'!$E$11+1,1))</f>
        <v>210.04871822652808</v>
      </c>
      <c r="BJ78" s="59">
        <f t="shared" si="92"/>
        <v>250.17540614049324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2.9946285822688647</v>
      </c>
      <c r="BQ78" s="21">
        <f>EXP(-LN(2)/25)*BQ77+(1-EXP(-LN(2)/25))/(LN(2)/25)*Calculateur!BL78*Calculateur!BN78*VLOOKUP('Données projet'!$B$11,Paramètres!$A$1:$I$89,3,0)*0.475*44/12</f>
        <v>7.9922737281288176</v>
      </c>
      <c r="BR78" s="21">
        <f>EXP(-LN(2)/2)*BR77+(1-EXP(-LN(2)/2))/(LN(2)/2)*BL78*BO78*VLOOKUP('Données projet'!$B$11,Paramètres!$A$1:$I$89,3,0)*0.475*44/12</f>
        <v>3.6337139337353081E-6</v>
      </c>
      <c r="BS78" s="22">
        <f t="shared" si="63"/>
        <v>10.986905944111616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16.923076923076923</v>
      </c>
      <c r="BY78" s="12">
        <f>IF('Données projet'!$A$114&gt;35,BY77+BX78-CG77,IF(A78&lt;'Données projet'!$A$114,$BV$205^A78,IF(A78='Données projet'!$A$114,'Données projet'!$B$114,BY77+BX78-CG77)))</f>
        <v>469.23076923076911</v>
      </c>
      <c r="BZ78" s="13">
        <f>BY78*VLOOKUP('Données projet'!$B$12,Paramètres!$A$1:$I$89,3,0)*VLOOKUP('Données projet'!$B$12,Paramètres!$A$1:$I$89,5,0)</f>
        <v>225.69999999999993</v>
      </c>
      <c r="CA78" s="13">
        <f t="shared" si="93"/>
        <v>55.351902227969966</v>
      </c>
      <c r="CB78" s="20">
        <f t="shared" si="64"/>
        <v>489.49872971371423</v>
      </c>
      <c r="CC78" s="59">
        <f t="shared" si="65"/>
        <v>782.83206304704754</v>
      </c>
      <c r="CD78" s="59">
        <f ca="1">AVERAGE(OFFSET($CC$3,0,0,'Données projet'!$E$12+1,1))-AVERAGE(OFFSET($H$3,0,0,'Données projet'!$E$12+1,1))</f>
        <v>304.15237106473313</v>
      </c>
      <c r="CE78" s="59">
        <f t="shared" si="94"/>
        <v>120.85458928724336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255.5374979188561</v>
      </c>
      <c r="T79" s="59">
        <f t="shared" si="88"/>
        <v>343.10418468620901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1.2425812540505552</v>
      </c>
      <c r="AA79" s="21">
        <f>EXP(-LN(2)/25)*AA78+(1-EXP(-LN(2)/25))/(LN(2)/25)*Calculateur!V79*Calculateur!X79*VLOOKUP('Données projet'!$B$9,Paramètres!$A$1:$I$89,3,0)*0.475*44/12</f>
        <v>4.4580480616370437</v>
      </c>
      <c r="AB79" s="21">
        <f>EXP(-LN(2)/2)*AB78+(1-EXP(-LN(2)/2))/(LN(2)/2)*V79*Y79*VLOOKUP('Données projet'!$B$9,Paramètres!$A$1:$I$89,3,0)*0.475*44/12</f>
        <v>2.0177985184837175E-7</v>
      </c>
      <c r="AC79" s="22">
        <f t="shared" si="57"/>
        <v>5.7006295174674504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</v>
      </c>
      <c r="AI79" s="13">
        <f>IF('Données projet'!$A$62&gt;35,AI78+AH79-AQ78,IF(A79&lt;'Données projet'!$A$62,$AF$205^A79,IF(A79='Données projet'!$A$62,'Données projet'!$B$62,AI78+AH79-AQ78)))</f>
        <v>452.60000000000048</v>
      </c>
      <c r="AJ79" s="13">
        <f>AI79*VLOOKUP('Données projet'!$B$10,Paramètres!$A$1:$I$89,3,0)*VLOOKUP('Données projet'!$B$10,Paramètres!$A$1:$I$89,5,0)</f>
        <v>247.11960000000025</v>
      </c>
      <c r="AK79" s="13">
        <f t="shared" si="89"/>
        <v>59.968731164216315</v>
      </c>
      <c r="AL79" s="20">
        <f t="shared" si="58"/>
        <v>534.84551011101053</v>
      </c>
      <c r="AM79" s="59">
        <f t="shared" si="59"/>
        <v>828.17884344434378</v>
      </c>
      <c r="AN79" s="59">
        <f ca="1">AVERAGE(OFFSET($AM$3,0,0,'Données projet'!$E$10+1,1))-AVERAGE(OFFSET($H$3,0,0,'Données projet'!$E$10+1,1))</f>
        <v>248.1486444660062</v>
      </c>
      <c r="AO79" s="59">
        <f t="shared" si="90"/>
        <v>293.34458072322127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3.4252233660325944</v>
      </c>
      <c r="AV79" s="21">
        <f>EXP(-LN(2)/25)*AV78+(1-EXP(-LN(2)/25))/(LN(2)/25)*Calculateur!AQ79*Calculateur!AS79*VLOOKUP('Données projet'!$B$10,Paramètres!$A$1:$I$89,3,0)*0.475*44/12</f>
        <v>9.5074822027997659</v>
      </c>
      <c r="AW79" s="21">
        <f>EXP(-LN(2)/2)*AW78+(1-EXP(-LN(2)/2))/(LN(2)/2)*AQ79*AT79*VLOOKUP('Données projet'!$B$10,Paramètres!$A$1:$I$89,3,0)*0.475*44/12</f>
        <v>3.0019791263182465E-6</v>
      </c>
      <c r="AX79" s="21">
        <f t="shared" si="60"/>
        <v>12.932708570811487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7.4</v>
      </c>
      <c r="BD79" s="12">
        <f>IF('Données projet'!$A$88&gt;35,BD78+BC79-BL78,IF(A79&lt;'Données projet'!$A$88,$BA$205^A79,IF(A79='Données projet'!$A$88,'Données projet'!$B$88,BD78+BC79-BL78)))</f>
        <v>403.40000000000009</v>
      </c>
      <c r="BE79" s="13">
        <f>BD79*VLOOKUP('Données projet'!$B$11,Paramètres!$A$1:$I$89,3,0)*VLOOKUP('Données projet'!$B$11,Paramètres!$A$1:$I$89,5,0)</f>
        <v>220.25640000000004</v>
      </c>
      <c r="BF79" s="13">
        <f t="shared" si="91"/>
        <v>54.170609215461226</v>
      </c>
      <c r="BG79" s="20">
        <f t="shared" si="61"/>
        <v>477.96037438359508</v>
      </c>
      <c r="BH79" s="59">
        <f t="shared" si="62"/>
        <v>771.29370771692834</v>
      </c>
      <c r="BI79" s="59">
        <f ca="1">AVERAGE(OFFSET($BH$3,0,0,'Données projet'!$E$11+1,1))-AVERAGE(OFFSET($H$3,0,0,'Données projet'!$E$11+1,1))</f>
        <v>210.04871822652808</v>
      </c>
      <c r="BJ79" s="59">
        <f t="shared" si="92"/>
        <v>250.17540614049324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2.9359057423136514</v>
      </c>
      <c r="BQ79" s="21">
        <f>EXP(-LN(2)/25)*BQ78+(1-EXP(-LN(2)/25))/(LN(2)/25)*Calculateur!BL79*Calculateur!BN79*VLOOKUP('Données projet'!$B$11,Paramètres!$A$1:$I$89,3,0)*0.475*44/12</f>
        <v>7.7737245827377262</v>
      </c>
      <c r="BR79" s="21">
        <f>EXP(-LN(2)/2)*BR78+(1-EXP(-LN(2)/2))/(LN(2)/2)*BL79*BO79*VLOOKUP('Données projet'!$B$11,Paramètres!$A$1:$I$89,3,0)*0.475*44/12</f>
        <v>2.5694237634362815E-6</v>
      </c>
      <c r="BS79" s="22">
        <f t="shared" si="63"/>
        <v>10.709632894475142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16.923076923076923</v>
      </c>
      <c r="BY79" s="12">
        <f>IF('Données projet'!$A$114&gt;35,BY78+BX79-CG78,IF(A79&lt;'Données projet'!$A$114,$BV$205^A79,IF(A79='Données projet'!$A$114,'Données projet'!$B$114,BY78+BX79-CG78)))</f>
        <v>486.15384615384602</v>
      </c>
      <c r="BZ79" s="13">
        <f>BY79*VLOOKUP('Données projet'!$B$12,Paramètres!$A$1:$I$89,3,0)*VLOOKUP('Données projet'!$B$12,Paramètres!$A$1:$I$89,5,0)</f>
        <v>233.83999999999995</v>
      </c>
      <c r="CA79" s="13">
        <f t="shared" si="93"/>
        <v>57.112177489600519</v>
      </c>
      <c r="CB79" s="20">
        <f t="shared" si="64"/>
        <v>506.74170912772075</v>
      </c>
      <c r="CC79" s="59">
        <f t="shared" si="65"/>
        <v>800.07504246105407</v>
      </c>
      <c r="CD79" s="59">
        <f ca="1">AVERAGE(OFFSET($CC$3,0,0,'Données projet'!$E$12+1,1))-AVERAGE(OFFSET($H$3,0,0,'Données projet'!$E$12+1,1))</f>
        <v>304.15237106473313</v>
      </c>
      <c r="CE79" s="59">
        <f t="shared" si="94"/>
        <v>120.85458928724336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255.5374979188561</v>
      </c>
      <c r="T80" s="59">
        <f t="shared" si="88"/>
        <v>343.10418468620901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1.2182149935583524</v>
      </c>
      <c r="AA80" s="21">
        <f>EXP(-LN(2)/25)*AA79+(1-EXP(-LN(2)/25))/(LN(2)/25)*Calculateur!V80*Calculateur!X80*VLOOKUP('Données projet'!$B$9,Paramètres!$A$1:$I$89,3,0)*0.475*44/12</f>
        <v>4.3361425029530203</v>
      </c>
      <c r="AB80" s="21">
        <f>EXP(-LN(2)/2)*AB79+(1-EXP(-LN(2)/2))/(LN(2)/2)*V80*Y80*VLOOKUP('Données projet'!$B$9,Paramètres!$A$1:$I$89,3,0)*0.475*44/12</f>
        <v>1.4267990154880058E-7</v>
      </c>
      <c r="AC80" s="22">
        <f t="shared" si="57"/>
        <v>5.5543576391912746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</v>
      </c>
      <c r="AI80" s="13">
        <f>IF('Données projet'!$A$62&gt;35,AI79+AH80-AQ79,IF(A80&lt;'Données projet'!$A$62,$AF$205^A80,IF(A80='Données projet'!$A$62,'Données projet'!$B$62,AI79+AH80-AQ79)))</f>
        <v>461.2000000000005</v>
      </c>
      <c r="AJ80" s="13">
        <f>AI80*VLOOKUP('Données projet'!$B$10,Paramètres!$A$1:$I$89,3,0)*VLOOKUP('Données projet'!$B$10,Paramètres!$A$1:$I$89,5,0)</f>
        <v>251.81520000000029</v>
      </c>
      <c r="AK80" s="13">
        <f t="shared" si="89"/>
        <v>60.974474799180804</v>
      </c>
      <c r="AL80" s="20">
        <f t="shared" si="58"/>
        <v>544.77535027524038</v>
      </c>
      <c r="AM80" s="59">
        <f t="shared" si="59"/>
        <v>838.10868360857376</v>
      </c>
      <c r="AN80" s="59">
        <f ca="1">AVERAGE(OFFSET($AM$3,0,0,'Données projet'!$E$10+1,1))-AVERAGE(OFFSET($H$3,0,0,'Données projet'!$E$10+1,1))</f>
        <v>248.1486444660062</v>
      </c>
      <c r="AO80" s="59">
        <f t="shared" si="90"/>
        <v>293.34458072322127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3.3580568250046592</v>
      </c>
      <c r="AV80" s="21">
        <f>EXP(-LN(2)/25)*AV79+(1-EXP(-LN(2)/25))/(LN(2)/25)*Calculateur!AQ80*Calculateur!AS80*VLOOKUP('Données projet'!$B$10,Paramètres!$A$1:$I$89,3,0)*0.475*44/12</f>
        <v>9.247499601987446</v>
      </c>
      <c r="AW80" s="21">
        <f>EXP(-LN(2)/2)*AW79+(1-EXP(-LN(2)/2))/(LN(2)/2)*AQ80*AT80*VLOOKUP('Données projet'!$B$10,Paramètres!$A$1:$I$89,3,0)*0.475*44/12</f>
        <v>2.1227197972000994E-6</v>
      </c>
      <c r="AX80" s="21">
        <f t="shared" si="60"/>
        <v>12.605558549711903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7.4</v>
      </c>
      <c r="BD80" s="12">
        <f>IF('Données projet'!$A$88&gt;35,BD79+BC80-BL79,IF(A80&lt;'Données projet'!$A$88,$BA$205^A80,IF(A80='Données projet'!$A$88,'Données projet'!$B$88,BD79+BC80-BL79)))</f>
        <v>410.80000000000007</v>
      </c>
      <c r="BE80" s="13">
        <f>BD80*VLOOKUP('Données projet'!$B$11,Paramètres!$A$1:$I$89,3,0)*VLOOKUP('Données projet'!$B$11,Paramètres!$A$1:$I$89,5,0)</f>
        <v>224.29680000000005</v>
      </c>
      <c r="BF80" s="13">
        <f t="shared" si="91"/>
        <v>55.047720057866165</v>
      </c>
      <c r="BG80" s="20">
        <f t="shared" si="61"/>
        <v>486.52503910078366</v>
      </c>
      <c r="BH80" s="59">
        <f t="shared" si="62"/>
        <v>779.85837243411697</v>
      </c>
      <c r="BI80" s="59">
        <f ca="1">AVERAGE(OFFSET($BH$3,0,0,'Données projet'!$E$11+1,1))-AVERAGE(OFFSET($H$3,0,0,'Données projet'!$E$11+1,1))</f>
        <v>210.04871822652808</v>
      </c>
      <c r="BJ80" s="59">
        <f t="shared" si="92"/>
        <v>250.17540614049324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2.8783344214325641</v>
      </c>
      <c r="BQ80" s="21">
        <f>EXP(-LN(2)/25)*BQ79+(1-EXP(-LN(2)/25))/(LN(2)/25)*Calculateur!BL80*Calculateur!BN80*VLOOKUP('Données projet'!$B$11,Paramètres!$A$1:$I$89,3,0)*0.475*44/12</f>
        <v>7.561151675220354</v>
      </c>
      <c r="BR80" s="21">
        <f>EXP(-LN(2)/2)*BR79+(1-EXP(-LN(2)/2))/(LN(2)/2)*BL80*BO80*VLOOKUP('Données projet'!$B$11,Paramètres!$A$1:$I$89,3,0)*0.475*44/12</f>
        <v>1.8168569668676543E-6</v>
      </c>
      <c r="BS80" s="22">
        <f t="shared" si="63"/>
        <v>10.439487913509884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16.923076923076923</v>
      </c>
      <c r="BY80" s="12">
        <f>IF('Données projet'!$A$114&gt;35,BY79+BX80-CG79,IF(A80&lt;'Données projet'!$A$114,$BV$205^A80,IF(A80='Données projet'!$A$114,'Données projet'!$B$114,BY79+BX80-CG79)))</f>
        <v>503.07692307692292</v>
      </c>
      <c r="BZ80" s="13">
        <f>BY80*VLOOKUP('Données projet'!$B$12,Paramètres!$A$1:$I$89,3,0)*VLOOKUP('Données projet'!$B$12,Paramètres!$A$1:$I$89,5,0)</f>
        <v>241.97999999999993</v>
      </c>
      <c r="CA80" s="13">
        <f t="shared" si="93"/>
        <v>58.865333205732803</v>
      </c>
      <c r="CB80" s="20">
        <f t="shared" si="64"/>
        <v>523.97228866665114</v>
      </c>
      <c r="CC80" s="59">
        <f t="shared" si="65"/>
        <v>817.3056219999844</v>
      </c>
      <c r="CD80" s="59">
        <f ca="1">AVERAGE(OFFSET($CC$3,0,0,'Données projet'!$E$12+1,1))-AVERAGE(OFFSET($H$3,0,0,'Données projet'!$E$12+1,1))</f>
        <v>304.15237106473313</v>
      </c>
      <c r="CE80" s="59">
        <f t="shared" si="94"/>
        <v>120.85458928724336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255.5374979188561</v>
      </c>
      <c r="T81" s="59">
        <f t="shared" si="88"/>
        <v>343.10418468620901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1.1943265405724504</v>
      </c>
      <c r="AA81" s="21">
        <f>EXP(-LN(2)/25)*AA80+(1-EXP(-LN(2)/25))/(LN(2)/25)*Calculateur!V81*Calculateur!X81*VLOOKUP('Données projet'!$B$9,Paramètres!$A$1:$I$89,3,0)*0.475*44/12</f>
        <v>4.217570458181946</v>
      </c>
      <c r="AB81" s="21">
        <f>EXP(-LN(2)/2)*AB80+(1-EXP(-LN(2)/2))/(LN(2)/2)*V81*Y81*VLOOKUP('Données projet'!$B$9,Paramètres!$A$1:$I$89,3,0)*0.475*44/12</f>
        <v>1.0088992592418587E-7</v>
      </c>
      <c r="AC81" s="22">
        <f t="shared" si="57"/>
        <v>5.4118970996443219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</v>
      </c>
      <c r="AI81" s="13">
        <f>IF('Données projet'!$A$62&gt;35,AI80+AH81-AQ80,IF(A81&lt;'Données projet'!$A$62,$AF$205^A81,IF(A81='Données projet'!$A$62,'Données projet'!$B$62,AI80+AH81-AQ80)))</f>
        <v>469.80000000000052</v>
      </c>
      <c r="AJ81" s="13">
        <f>AI81*VLOOKUP('Données projet'!$B$10,Paramètres!$A$1:$I$89,3,0)*VLOOKUP('Données projet'!$B$10,Paramètres!$A$1:$I$89,5,0)</f>
        <v>256.51080000000024</v>
      </c>
      <c r="AK81" s="13">
        <f t="shared" si="89"/>
        <v>61.978037689587218</v>
      </c>
      <c r="AL81" s="20">
        <f t="shared" si="58"/>
        <v>554.70139230936479</v>
      </c>
      <c r="AM81" s="59">
        <f t="shared" si="59"/>
        <v>848.03472564269805</v>
      </c>
      <c r="AN81" s="59">
        <f ca="1">AVERAGE(OFFSET($AM$3,0,0,'Données projet'!$E$10+1,1))-AVERAGE(OFFSET($H$3,0,0,'Données projet'!$E$10+1,1))</f>
        <v>248.1486444660062</v>
      </c>
      <c r="AO81" s="59">
        <f t="shared" si="90"/>
        <v>293.34458072322127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3.2922073788787367</v>
      </c>
      <c r="AV81" s="21">
        <f>EXP(-LN(2)/25)*AV80+(1-EXP(-LN(2)/25))/(LN(2)/25)*Calculateur!AQ81*Calculateur!AS81*VLOOKUP('Données projet'!$B$10,Paramètres!$A$1:$I$89,3,0)*0.475*44/12</f>
        <v>8.9946262390662302</v>
      </c>
      <c r="AW81" s="21">
        <f>EXP(-LN(2)/2)*AW80+(1-EXP(-LN(2)/2))/(LN(2)/2)*AQ81*AT81*VLOOKUP('Données projet'!$B$10,Paramètres!$A$1:$I$89,3,0)*0.475*44/12</f>
        <v>1.5009895631591232E-6</v>
      </c>
      <c r="AX81" s="21">
        <f t="shared" si="60"/>
        <v>12.286835118934532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7.4</v>
      </c>
      <c r="BD81" s="12">
        <f>IF('Données projet'!$A$88&gt;35,BD80+BC81-BL80,IF(A81&lt;'Données projet'!$A$88,$BA$205^A81,IF(A81='Données projet'!$A$88,'Données projet'!$B$88,BD80+BC81-BL80)))</f>
        <v>418.20000000000005</v>
      </c>
      <c r="BE81" s="13">
        <f>BD81*VLOOKUP('Données projet'!$B$11,Paramètres!$A$1:$I$89,3,0)*VLOOKUP('Données projet'!$B$11,Paramètres!$A$1:$I$89,5,0)</f>
        <v>228.33720000000002</v>
      </c>
      <c r="BF81" s="13">
        <f t="shared" si="91"/>
        <v>55.922993607595103</v>
      </c>
      <c r="BG81" s="20">
        <f t="shared" si="61"/>
        <v>495.08650386656154</v>
      </c>
      <c r="BH81" s="59">
        <f t="shared" si="62"/>
        <v>788.4198371998948</v>
      </c>
      <c r="BI81" s="59">
        <f ca="1">AVERAGE(OFFSET($BH$3,0,0,'Données projet'!$E$11+1,1))-AVERAGE(OFFSET($H$3,0,0,'Données projet'!$E$11+1,1))</f>
        <v>210.04871822652808</v>
      </c>
      <c r="BJ81" s="59">
        <f t="shared" si="92"/>
        <v>250.17540614049324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2.8218920390389166</v>
      </c>
      <c r="BQ81" s="21">
        <f>EXP(-LN(2)/25)*BQ80+(1-EXP(-LN(2)/25))/(LN(2)/25)*Calculateur!BL81*Calculateur!BN81*VLOOKUP('Données projet'!$B$11,Paramètres!$A$1:$I$89,3,0)*0.475*44/12</f>
        <v>7.3543915850377681</v>
      </c>
      <c r="BR81" s="21">
        <f>EXP(-LN(2)/2)*BR80+(1-EXP(-LN(2)/2))/(LN(2)/2)*BL81*BO81*VLOOKUP('Données projet'!$B$11,Paramètres!$A$1:$I$89,3,0)*0.475*44/12</f>
        <v>1.284711881718141E-6</v>
      </c>
      <c r="BS81" s="22">
        <f t="shared" si="63"/>
        <v>10.176284908788567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16.923076923076923</v>
      </c>
      <c r="BY81" s="12">
        <f>IF('Données projet'!$A$114&gt;35,BY80+BX81-CG80,IF(A81&lt;'Données projet'!$A$114,$BV$205^A81,IF(A81='Données projet'!$A$114,'Données projet'!$B$114,BY80+BX81-CG80)))</f>
        <v>519.99999999999989</v>
      </c>
      <c r="BZ81" s="13">
        <f>BY81*VLOOKUP('Données projet'!$B$12,Paramètres!$A$1:$I$89,3,0)*VLOOKUP('Données projet'!$B$12,Paramètres!$A$1:$I$89,5,0)</f>
        <v>250.11999999999995</v>
      </c>
      <c r="CA81" s="13">
        <f t="shared" si="93"/>
        <v>60.611636328545892</v>
      </c>
      <c r="CB81" s="20">
        <f t="shared" si="64"/>
        <v>541.19093327221731</v>
      </c>
      <c r="CC81" s="59">
        <f t="shared" si="65"/>
        <v>834.52426660555057</v>
      </c>
      <c r="CD81" s="59">
        <f ca="1">AVERAGE(OFFSET($CC$3,0,0,'Données projet'!$E$12+1,1))-AVERAGE(OFFSET($H$3,0,0,'Données projet'!$E$12+1,1))</f>
        <v>304.15237106473313</v>
      </c>
      <c r="CE81" s="59">
        <f t="shared" si="94"/>
        <v>120.85458928724336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255.5374979188561</v>
      </c>
      <c r="T82" s="59">
        <f t="shared" si="88"/>
        <v>343.10418468620901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1.1709065255790843</v>
      </c>
      <c r="AA82" s="21">
        <f>EXP(-LN(2)/25)*AA81+(1-EXP(-LN(2)/25))/(LN(2)/25)*Calculateur!V82*Calculateur!X82*VLOOKUP('Données projet'!$B$9,Paramètres!$A$1:$I$89,3,0)*0.475*44/12</f>
        <v>4.1022407722105694</v>
      </c>
      <c r="AB82" s="21">
        <f>EXP(-LN(2)/2)*AB81+(1-EXP(-LN(2)/2))/(LN(2)/2)*V82*Y82*VLOOKUP('Données projet'!$B$9,Paramètres!$A$1:$I$89,3,0)*0.475*44/12</f>
        <v>7.1339950774400288E-8</v>
      </c>
      <c r="AC82" s="22">
        <f t="shared" si="57"/>
        <v>5.2731473691296049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</v>
      </c>
      <c r="AI82" s="13">
        <f>IF('Données projet'!$A$62&gt;35,AI81+AH82-AQ81,IF(A82&lt;'Données projet'!$A$62,$AF$205^A82,IF(A82='Données projet'!$A$62,'Données projet'!$B$62,AI81+AH82-AQ81)))</f>
        <v>478.40000000000055</v>
      </c>
      <c r="AJ82" s="13">
        <f>AI82*VLOOKUP('Données projet'!$B$10,Paramètres!$A$1:$I$89,3,0)*VLOOKUP('Données projet'!$B$10,Paramètres!$A$1:$I$89,5,0)</f>
        <v>261.20640000000031</v>
      </c>
      <c r="AK82" s="13">
        <f t="shared" si="89"/>
        <v>62.979464359660597</v>
      </c>
      <c r="AL82" s="20">
        <f t="shared" si="58"/>
        <v>564.62371375974271</v>
      </c>
      <c r="AM82" s="59">
        <f t="shared" si="59"/>
        <v>857.95704709307597</v>
      </c>
      <c r="AN82" s="59">
        <f ca="1">AVERAGE(OFFSET($AM$3,0,0,'Données projet'!$E$10+1,1))-AVERAGE(OFFSET($H$3,0,0,'Données projet'!$E$10+1,1))</f>
        <v>248.1486444660062</v>
      </c>
      <c r="AO82" s="59">
        <f t="shared" si="90"/>
        <v>293.34458072322127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3.2276492002271473</v>
      </c>
      <c r="AV82" s="21">
        <f>EXP(-LN(2)/25)*AV81+(1-EXP(-LN(2)/25))/(LN(2)/25)*Calculateur!AQ82*Calculateur!AS82*VLOOKUP('Données projet'!$B$10,Paramètres!$A$1:$I$89,3,0)*0.475*44/12</f>
        <v>8.7486677115521285</v>
      </c>
      <c r="AW82" s="21">
        <f>EXP(-LN(2)/2)*AW81+(1-EXP(-LN(2)/2))/(LN(2)/2)*AQ82*AT82*VLOOKUP('Données projet'!$B$10,Paramètres!$A$1:$I$89,3,0)*0.475*44/12</f>
        <v>1.0613598986000497E-6</v>
      </c>
      <c r="AX82" s="21">
        <f t="shared" si="60"/>
        <v>11.976317973139173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7.4</v>
      </c>
      <c r="BD82" s="12">
        <f>IF('Données projet'!$A$88&gt;35,BD81+BC82-BL81,IF(A82&lt;'Données projet'!$A$88,$BA$205^A82,IF(A82='Données projet'!$A$88,'Données projet'!$B$88,BD81+BC82-BL81)))</f>
        <v>425.6</v>
      </c>
      <c r="BE82" s="13">
        <f>BD82*VLOOKUP('Données projet'!$B$11,Paramètres!$A$1:$I$89,3,0)*VLOOKUP('Données projet'!$B$11,Paramètres!$A$1:$I$89,5,0)</f>
        <v>232.37760000000003</v>
      </c>
      <c r="BF82" s="13">
        <f t="shared" si="91"/>
        <v>56.7964661260323</v>
      </c>
      <c r="BG82" s="20">
        <f t="shared" si="61"/>
        <v>503.64483183617295</v>
      </c>
      <c r="BH82" s="59">
        <f t="shared" si="62"/>
        <v>796.97816516950627</v>
      </c>
      <c r="BI82" s="59">
        <f ca="1">AVERAGE(OFFSET($BH$3,0,0,'Données projet'!$E$11+1,1))-AVERAGE(OFFSET($H$3,0,0,'Données projet'!$E$11+1,1))</f>
        <v>210.04871822652808</v>
      </c>
      <c r="BJ82" s="59">
        <f t="shared" si="92"/>
        <v>250.17540614049324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2.7665564573375545</v>
      </c>
      <c r="BQ82" s="21">
        <f>EXP(-LN(2)/25)*BQ81+(1-EXP(-LN(2)/25))/(LN(2)/25)*Calculateur!BL82*Calculateur!BN82*VLOOKUP('Données projet'!$B$11,Paramètres!$A$1:$I$89,3,0)*0.475*44/12</f>
        <v>7.1532853603942659</v>
      </c>
      <c r="BR82" s="21">
        <f>EXP(-LN(2)/2)*BR81+(1-EXP(-LN(2)/2))/(LN(2)/2)*BL82*BO82*VLOOKUP('Données projet'!$B$11,Paramètres!$A$1:$I$89,3,0)*0.475*44/12</f>
        <v>9.0842848343382724E-7</v>
      </c>
      <c r="BS82" s="22">
        <f t="shared" si="63"/>
        <v>9.9198427261603026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16.923076923076923</v>
      </c>
      <c r="BY82" s="12">
        <f>IF('Données projet'!$A$114&gt;35,BY81+BX82-CG81,IF(A82&lt;'Données projet'!$A$114,$BV$205^A82,IF(A82='Données projet'!$A$114,'Données projet'!$B$114,BY81+BX82-CG81)))</f>
        <v>536.92307692307679</v>
      </c>
      <c r="BZ82" s="13">
        <f>BY82*VLOOKUP('Données projet'!$B$12,Paramètres!$A$1:$I$89,3,0)*VLOOKUP('Données projet'!$B$12,Paramètres!$A$1:$I$89,5,0)</f>
        <v>258.25999999999993</v>
      </c>
      <c r="CA82" s="13">
        <f t="shared" si="93"/>
        <v>62.351335448308426</v>
      </c>
      <c r="CB82" s="20">
        <f t="shared" si="64"/>
        <v>558.39807590580369</v>
      </c>
      <c r="CC82" s="59">
        <f t="shared" si="65"/>
        <v>851.73140923913707</v>
      </c>
      <c r="CD82" s="59">
        <f ca="1">AVERAGE(OFFSET($CC$3,0,0,'Données projet'!$E$12+1,1))-AVERAGE(OFFSET($H$3,0,0,'Données projet'!$E$12+1,1))</f>
        <v>304.15237106473313</v>
      </c>
      <c r="CE82" s="59">
        <f t="shared" si="94"/>
        <v>120.85458928724336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255.5374979188561</v>
      </c>
      <c r="T83" s="59">
        <f t="shared" si="88"/>
        <v>343.10418468620901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1.1479457627949394</v>
      </c>
      <c r="AA83" s="21">
        <f>EXP(-LN(2)/25)*AA82+(1-EXP(-LN(2)/25))/(LN(2)/25)*Calculateur!V83*Calculateur!X83*VLOOKUP('Données projet'!$B$9,Paramètres!$A$1:$I$89,3,0)*0.475*44/12</f>
        <v>3.9900647825670048</v>
      </c>
      <c r="AB83" s="21">
        <f>EXP(-LN(2)/2)*AB82+(1-EXP(-LN(2)/2))/(LN(2)/2)*V83*Y83*VLOOKUP('Données projet'!$B$9,Paramètres!$A$1:$I$89,3,0)*0.475*44/12</f>
        <v>5.0444962962092937E-8</v>
      </c>
      <c r="AC83" s="22">
        <f t="shared" si="57"/>
        <v>5.1380105958069073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487</v>
      </c>
      <c r="AG83" s="12">
        <f>VLOOKUP(A83,'Données projet'!$A$61:$I$81,9,0)</f>
        <v>8.6</v>
      </c>
      <c r="AH83" s="12">
        <f t="array" ref="AH83">INDEX(AG:AG,MIN(IF(ISNUMBER(AG83:AG279),ROW(AG83:AG279),"")))</f>
        <v>8.6</v>
      </c>
      <c r="AI83" s="13">
        <f>IF('Données projet'!$A$62&gt;35,AI82+AH83-AQ82,IF(A83&lt;'Données projet'!$A$62,$AF$205^A83,IF(A83='Données projet'!$A$62,'Données projet'!$B$62,AI82+AH83-AQ82)))</f>
        <v>487.00000000000057</v>
      </c>
      <c r="AJ83" s="13">
        <f>AI83*VLOOKUP('Données projet'!$B$10,Paramètres!$A$1:$I$89,3,0)*VLOOKUP('Données projet'!$B$10,Paramètres!$A$1:$I$89,5,0)</f>
        <v>265.90200000000027</v>
      </c>
      <c r="AK83" s="13">
        <f t="shared" si="89"/>
        <v>63.978797641171262</v>
      </c>
      <c r="AL83" s="20">
        <f t="shared" si="58"/>
        <v>574.54238922504044</v>
      </c>
      <c r="AM83" s="59">
        <f t="shared" si="59"/>
        <v>867.87572255837381</v>
      </c>
      <c r="AN83" s="59">
        <f ca="1">AVERAGE(OFFSET($AM$3,0,0,'Données projet'!$E$10+1,1))-AVERAGE(OFFSET($H$3,0,0,'Données projet'!$E$10+1,1))</f>
        <v>248.1486444660062</v>
      </c>
      <c r="AO83" s="59">
        <f t="shared" si="90"/>
        <v>293.34458072322127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487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3.1643569680823149</v>
      </c>
      <c r="AV83" s="21">
        <f>EXP(-LN(2)/25)*AV82+(1-EXP(-LN(2)/25))/(LN(2)/25)*Calculateur!AQ83*Calculateur!AS83*VLOOKUP('Données projet'!$B$10,Paramètres!$A$1:$I$89,3,0)*0.475*44/12</f>
        <v>8.5094349329072951</v>
      </c>
      <c r="AW83" s="21">
        <f>EXP(-LN(2)/2)*AW82+(1-EXP(-LN(2)/2))/(LN(2)/2)*AQ83*AT83*VLOOKUP('Données projet'!$B$10,Paramètres!$A$1:$I$89,3,0)*0.475*44/12</f>
        <v>7.5049478157956162E-7</v>
      </c>
      <c r="AX83" s="21">
        <f t="shared" si="60"/>
        <v>11.673792651484391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433</v>
      </c>
      <c r="BB83" s="12">
        <f>VLOOKUP(A83,'Données projet'!$A$87:$I$107,9,0)</f>
        <v>7.4</v>
      </c>
      <c r="BC83" s="12">
        <f t="array" ref="BC83">INDEX(BB:BB,MIN(IF(ISNUMBER(BB83:BB279),ROW(BB83:BB279),"")))</f>
        <v>7.4</v>
      </c>
      <c r="BD83" s="12">
        <f>IF('Données projet'!$A$88&gt;35,BD82+BC83-BL82,IF(A83&lt;'Données projet'!$A$88,$BA$205^A83,IF(A83='Données projet'!$A$88,'Données projet'!$B$88,BD82+BC83-BL82)))</f>
        <v>433</v>
      </c>
      <c r="BE83" s="13">
        <f>BD83*VLOOKUP('Données projet'!$B$11,Paramètres!$A$1:$I$89,3,0)*VLOOKUP('Données projet'!$B$11,Paramètres!$A$1:$I$89,5,0)</f>
        <v>236.41799999999998</v>
      </c>
      <c r="BF83" s="13">
        <f t="shared" si="91"/>
        <v>57.668172541352746</v>
      </c>
      <c r="BG83" s="20">
        <f t="shared" si="61"/>
        <v>512.20008384285597</v>
      </c>
      <c r="BH83" s="59">
        <f t="shared" si="62"/>
        <v>805.53341717618923</v>
      </c>
      <c r="BI83" s="59">
        <f ca="1">AVERAGE(OFFSET($BH$3,0,0,'Données projet'!$E$11+1,1))-AVERAGE(OFFSET($H$3,0,0,'Données projet'!$E$11+1,1))</f>
        <v>210.04871822652808</v>
      </c>
      <c r="BJ83" s="59">
        <f t="shared" si="92"/>
        <v>250.17540614049324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433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2.712305972641984</v>
      </c>
      <c r="BQ83" s="21">
        <f>EXP(-LN(2)/25)*BQ82+(1-EXP(-LN(2)/25))/(LN(2)/25)*Calculateur!BL83*Calculateur!BN83*VLOOKUP('Données projet'!$B$11,Paramètres!$A$1:$I$89,3,0)*0.475*44/12</f>
        <v>6.9576783960393564</v>
      </c>
      <c r="BR83" s="21">
        <f>EXP(-LN(2)/2)*BR82+(1-EXP(-LN(2)/2))/(LN(2)/2)*BL83*BO83*VLOOKUP('Données projet'!$B$11,Paramètres!$A$1:$I$89,3,0)*0.475*44/12</f>
        <v>6.4235594085907048E-7</v>
      </c>
      <c r="BS83" s="22">
        <f t="shared" si="63"/>
        <v>9.6699850110372818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553.84615384615381</v>
      </c>
      <c r="BW83" s="12">
        <f>VLOOKUP(A83,'Données projet'!$A$113:$I$133,9,0)</f>
        <v>16.923076923076923</v>
      </c>
      <c r="BX83" s="12">
        <f t="array" ref="BX83">INDEX(BW:BW,MIN(IF(ISNUMBER(BW83:BW279),ROW(BW83:BW279),"")))</f>
        <v>16.923076923076923</v>
      </c>
      <c r="BY83" s="12">
        <f>IF('Données projet'!$A$114&gt;35,BY82+BX83-CG82,IF(A83&lt;'Données projet'!$A$114,$BV$205^A83,IF(A83='Données projet'!$A$114,'Données projet'!$B$114,BY82+BX83-CG82)))</f>
        <v>553.8461538461537</v>
      </c>
      <c r="BZ83" s="13">
        <f>BY83*VLOOKUP('Données projet'!$B$12,Paramètres!$A$1:$I$89,3,0)*VLOOKUP('Données projet'!$B$12,Paramètres!$A$1:$I$89,5,0)</f>
        <v>266.39999999999998</v>
      </c>
      <c r="CA83" s="13">
        <f t="shared" si="93"/>
        <v>64.084662594881863</v>
      </c>
      <c r="CB83" s="20">
        <f t="shared" si="64"/>
        <v>575.59412068608583</v>
      </c>
      <c r="CC83" s="59">
        <f t="shared" si="65"/>
        <v>868.9274540194192</v>
      </c>
      <c r="CD83" s="59">
        <f ca="1">AVERAGE(OFFSET($CC$3,0,0,'Données projet'!$E$12+1,1))-AVERAGE(OFFSET($H$3,0,0,'Données projet'!$E$12+1,1))</f>
        <v>304.15237106473313</v>
      </c>
      <c r="CE83" s="59">
        <f t="shared" si="94"/>
        <v>120.85458928724336</v>
      </c>
      <c r="CF83" s="15">
        <f>IF(ISNA(VLOOKUP(A83,'Données projet'!$A$113:$I$133,3,0)),0,VLOOKUP(A83,'Données projet'!$A$113:$I$133,3,0))</f>
        <v>5</v>
      </c>
      <c r="CG83" s="15">
        <f>IF(ISNA(VLOOKUP(A83,'Données projet'!$A$113:$I$133,4,0)),0,VLOOKUP(A83,'Données projet'!$A$113:$I$133,4,0))</f>
        <v>34.615384615384613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255.5374979188561</v>
      </c>
      <c r="T84" s="59">
        <f t="shared" si="88"/>
        <v>343.10418468620901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1.1254352465643092</v>
      </c>
      <c r="AA84" s="21">
        <f>EXP(-LN(2)/25)*AA83+(1-EXP(-LN(2)/25))/(LN(2)/25)*Calculateur!V84*Calculateur!X84*VLOOKUP('Données projet'!$B$9,Paramètres!$A$1:$I$89,3,0)*0.475*44/12</f>
        <v>3.8809562512593225</v>
      </c>
      <c r="AB84" s="21">
        <f>EXP(-LN(2)/2)*AB83+(1-EXP(-LN(2)/2))/(LN(2)/2)*V84*Y84*VLOOKUP('Données projet'!$B$9,Paramètres!$A$1:$I$89,3,0)*0.475*44/12</f>
        <v>3.5669975387200144E-8</v>
      </c>
      <c r="AC84" s="22">
        <f t="shared" si="57"/>
        <v>5.0063915334936073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5.6843418860808015E-13</v>
      </c>
      <c r="AJ84" s="13">
        <f>AI84*VLOOKUP('Données projet'!$B$10,Paramètres!$A$1:$I$89,3,0)*VLOOKUP('Données projet'!$B$10,Paramètres!$A$1:$I$89,5,0)</f>
        <v>3.1036506698001181E-13</v>
      </c>
      <c r="AK84" s="13">
        <f t="shared" si="89"/>
        <v>4.086682523110923E-12</v>
      </c>
      <c r="AL84" s="20">
        <f t="shared" si="58"/>
        <v>7.6581912194083782E-12</v>
      </c>
      <c r="AM84" s="59">
        <f t="shared" si="59"/>
        <v>293.33333333334099</v>
      </c>
      <c r="AN84" s="59">
        <f ca="1">AVERAGE(OFFSET($AM$3,0,0,'Données projet'!$E$10+1,1))-AVERAGE(OFFSET($H$3,0,0,'Données projet'!$E$10+1,1))</f>
        <v>248.1486444660062</v>
      </c>
      <c r="AO84" s="59">
        <f t="shared" si="90"/>
        <v>293.34458072322127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3.1023058580053928</v>
      </c>
      <c r="AV84" s="21">
        <f>EXP(-LN(2)/25)*AV83+(1-EXP(-LN(2)/25))/(LN(2)/25)*Calculateur!AQ84*Calculateur!AS84*VLOOKUP('Données projet'!$B$10,Paramètres!$A$1:$I$89,3,0)*0.475*44/12</f>
        <v>8.2767439871752106</v>
      </c>
      <c r="AW84" s="21">
        <f>EXP(-LN(2)/2)*AW83+(1-EXP(-LN(2)/2))/(LN(2)/2)*AQ84*AT84*VLOOKUP('Données projet'!$B$10,Paramètres!$A$1:$I$89,3,0)*0.475*44/12</f>
        <v>5.3067994930002485E-7</v>
      </c>
      <c r="AX84" s="21">
        <f t="shared" si="60"/>
        <v>11.379050375860553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210.04871822652808</v>
      </c>
      <c r="BJ84" s="59">
        <f t="shared" si="92"/>
        <v>250.17540614049324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2.6591193068617653</v>
      </c>
      <c r="BQ84" s="21">
        <f>EXP(-LN(2)/25)*BQ83+(1-EXP(-LN(2)/25))/(LN(2)/25)*Calculateur!BL84*Calculateur!BN84*VLOOKUP('Données projet'!$B$11,Paramètres!$A$1:$I$89,3,0)*0.475*44/12</f>
        <v>6.7674203144112557</v>
      </c>
      <c r="BR84" s="21">
        <f>EXP(-LN(2)/2)*BR83+(1-EXP(-LN(2)/2))/(LN(2)/2)*BL84*BO84*VLOOKUP('Données projet'!$B$11,Paramètres!$A$1:$I$89,3,0)*0.475*44/12</f>
        <v>4.5421424171691362E-7</v>
      </c>
      <c r="BS84" s="22">
        <f t="shared" si="63"/>
        <v>9.4265400754872619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20.769230769230774</v>
      </c>
      <c r="BY84" s="12">
        <f>IF('Données projet'!$A$114&gt;35,BY83+BX84-CG83,IF(A84&lt;'Données projet'!$A$114,$BV$205^A84,IF(A84='Données projet'!$A$114,'Données projet'!$B$114,BY83+BX84-CG83)))</f>
        <v>539.99999999999989</v>
      </c>
      <c r="BZ84" s="13">
        <f>BY84*VLOOKUP('Données projet'!$B$12,Paramètres!$A$1:$I$89,3,0)*VLOOKUP('Données projet'!$B$12,Paramètres!$A$1:$I$89,5,0)</f>
        <v>259.73999999999995</v>
      </c>
      <c r="CA84" s="13">
        <f t="shared" si="93"/>
        <v>62.666953236268725</v>
      </c>
      <c r="CB84" s="20">
        <f t="shared" si="64"/>
        <v>561.52544355316797</v>
      </c>
      <c r="CC84" s="59">
        <f t="shared" si="65"/>
        <v>854.85877688650135</v>
      </c>
      <c r="CD84" s="59">
        <f ca="1">AVERAGE(OFFSET($CC$3,0,0,'Données projet'!$E$12+1,1))-AVERAGE(OFFSET($H$3,0,0,'Données projet'!$E$12+1,1))</f>
        <v>304.15237106473313</v>
      </c>
      <c r="CE84" s="59">
        <f t="shared" si="94"/>
        <v>120.85458928724336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255.5374979188561</v>
      </c>
      <c r="T85" s="59">
        <f t="shared" si="88"/>
        <v>343.10418468620901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1.1033661478269023</v>
      </c>
      <c r="AA85" s="21">
        <f>EXP(-LN(2)/25)*AA84+(1-EXP(-LN(2)/25))/(LN(2)/25)*Calculateur!V85*Calculateur!X85*VLOOKUP('Données projet'!$B$9,Paramètres!$A$1:$I$89,3,0)*0.475*44/12</f>
        <v>3.7748312984780172</v>
      </c>
      <c r="AB85" s="21">
        <f>EXP(-LN(2)/2)*AB84+(1-EXP(-LN(2)/2))/(LN(2)/2)*V85*Y85*VLOOKUP('Données projet'!$B$9,Paramètres!$A$1:$I$89,3,0)*0.475*44/12</f>
        <v>2.5222481481046469E-8</v>
      </c>
      <c r="AC85" s="22">
        <f t="shared" si="57"/>
        <v>4.8781974715274012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5.6843418860808015E-13</v>
      </c>
      <c r="AJ85" s="13">
        <f>AI85*VLOOKUP('Données projet'!$B$10,Paramètres!$A$1:$I$89,3,0)*VLOOKUP('Données projet'!$B$10,Paramètres!$A$1:$I$89,5,0)</f>
        <v>3.1036506698001181E-13</v>
      </c>
      <c r="AK85" s="13">
        <f t="shared" si="89"/>
        <v>4.086682523110923E-12</v>
      </c>
      <c r="AL85" s="20">
        <f t="shared" si="58"/>
        <v>7.6581912194083782E-12</v>
      </c>
      <c r="AM85" s="59">
        <f t="shared" si="59"/>
        <v>293.33333333334099</v>
      </c>
      <c r="AN85" s="59">
        <f ca="1">AVERAGE(OFFSET($AM$3,0,0,'Données projet'!$E$10+1,1))-AVERAGE(OFFSET($H$3,0,0,'Données projet'!$E$10+1,1))</f>
        <v>248.1486444660062</v>
      </c>
      <c r="AO85" s="59">
        <f t="shared" si="90"/>
        <v>293.34458072322127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3.0414715323496391</v>
      </c>
      <c r="AV85" s="21">
        <f>EXP(-LN(2)/25)*AV84+(1-EXP(-LN(2)/25))/(LN(2)/25)*Calculateur!AQ85*Calculateur!AS85*VLOOKUP('Données projet'!$B$10,Paramètres!$A$1:$I$89,3,0)*0.475*44/12</f>
        <v>8.0504159875908545</v>
      </c>
      <c r="AW85" s="21">
        <f>EXP(-LN(2)/2)*AW84+(1-EXP(-LN(2)/2))/(LN(2)/2)*AQ85*AT85*VLOOKUP('Données projet'!$B$10,Paramètres!$A$1:$I$89,3,0)*0.475*44/12</f>
        <v>3.7524739078978081E-7</v>
      </c>
      <c r="AX85" s="21">
        <f t="shared" si="60"/>
        <v>11.091887895187885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210.04871822652808</v>
      </c>
      <c r="BJ85" s="59">
        <f t="shared" si="92"/>
        <v>250.17540614049324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2.6069755991568337</v>
      </c>
      <c r="BQ85" s="21">
        <f>EXP(-LN(2)/25)*BQ84+(1-EXP(-LN(2)/25))/(LN(2)/25)*Calculateur!BL85*Calculateur!BN85*VLOOKUP('Données projet'!$B$11,Paramètres!$A$1:$I$89,3,0)*0.475*44/12</f>
        <v>6.5823648500305127</v>
      </c>
      <c r="BR85" s="21">
        <f>EXP(-LN(2)/2)*BR84+(1-EXP(-LN(2)/2))/(LN(2)/2)*BL85*BO85*VLOOKUP('Données projet'!$B$11,Paramètres!$A$1:$I$89,3,0)*0.475*44/12</f>
        <v>3.2117797042953524E-7</v>
      </c>
      <c r="BS85" s="22">
        <f t="shared" si="63"/>
        <v>9.189340770365316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20.769230769230774</v>
      </c>
      <c r="BY85" s="12">
        <f>IF('Données projet'!$A$114&gt;35,BY84+BX85-CG84,IF(A85&lt;'Données projet'!$A$114,$BV$205^A85,IF(A85='Données projet'!$A$114,'Données projet'!$B$114,BY84+BX85-CG84)))</f>
        <v>560.76923076923072</v>
      </c>
      <c r="BZ85" s="13">
        <f>BY85*VLOOKUP('Données projet'!$B$12,Paramètres!$A$1:$I$89,3,0)*VLOOKUP('Données projet'!$B$12,Paramètres!$A$1:$I$89,5,0)</f>
        <v>269.72999999999996</v>
      </c>
      <c r="CA85" s="13">
        <f t="shared" si="93"/>
        <v>64.791965137346921</v>
      </c>
      <c r="CB85" s="20">
        <f t="shared" si="64"/>
        <v>582.62575594754583</v>
      </c>
      <c r="CC85" s="59">
        <f t="shared" si="65"/>
        <v>875.9590892808792</v>
      </c>
      <c r="CD85" s="59">
        <f ca="1">AVERAGE(OFFSET($CC$3,0,0,'Données projet'!$E$12+1,1))-AVERAGE(OFFSET($H$3,0,0,'Données projet'!$E$12+1,1))</f>
        <v>304.15237106473313</v>
      </c>
      <c r="CE85" s="59">
        <f t="shared" si="94"/>
        <v>120.85458928724336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255.5374979188561</v>
      </c>
      <c r="T86" s="59">
        <f t="shared" si="88"/>
        <v>343.10418468620901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1.0817298106549151</v>
      </c>
      <c r="AA86" s="21">
        <f>EXP(-LN(2)/25)*AA85+(1-EXP(-LN(2)/25))/(LN(2)/25)*Calculateur!V86*Calculateur!X86*VLOOKUP('Données projet'!$B$9,Paramètres!$A$1:$I$89,3,0)*0.475*44/12</f>
        <v>3.6716083381113855</v>
      </c>
      <c r="AB86" s="21">
        <f>EXP(-LN(2)/2)*AB85+(1-EXP(-LN(2)/2))/(LN(2)/2)*V86*Y86*VLOOKUP('Données projet'!$B$9,Paramètres!$A$1:$I$89,3,0)*0.475*44/12</f>
        <v>1.7834987693600072E-8</v>
      </c>
      <c r="AC86" s="22">
        <f t="shared" si="57"/>
        <v>4.7533381666012886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5.6843418860808015E-13</v>
      </c>
      <c r="AJ86" s="13">
        <f>AI86*VLOOKUP('Données projet'!$B$10,Paramètres!$A$1:$I$89,3,0)*VLOOKUP('Données projet'!$B$10,Paramètres!$A$1:$I$89,5,0)</f>
        <v>3.1036506698001181E-13</v>
      </c>
      <c r="AK86" s="13">
        <f t="shared" si="89"/>
        <v>4.086682523110923E-12</v>
      </c>
      <c r="AL86" s="20">
        <f t="shared" si="58"/>
        <v>7.6581912194083782E-12</v>
      </c>
      <c r="AM86" s="59">
        <f t="shared" si="59"/>
        <v>293.33333333334099</v>
      </c>
      <c r="AN86" s="59">
        <f ca="1">AVERAGE(OFFSET($AM$3,0,0,'Données projet'!$E$10+1,1))-AVERAGE(OFFSET($H$3,0,0,'Données projet'!$E$10+1,1))</f>
        <v>248.1486444660062</v>
      </c>
      <c r="AO86" s="59">
        <f t="shared" si="90"/>
        <v>293.34458072322127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2.9818301307147199</v>
      </c>
      <c r="AV86" s="21">
        <f>EXP(-LN(2)/25)*AV85+(1-EXP(-LN(2)/25))/(LN(2)/25)*Calculateur!AQ86*Calculateur!AS86*VLOOKUP('Données projet'!$B$10,Paramètres!$A$1:$I$89,3,0)*0.475*44/12</f>
        <v>7.8302769390572049</v>
      </c>
      <c r="AW86" s="21">
        <f>EXP(-LN(2)/2)*AW85+(1-EXP(-LN(2)/2))/(LN(2)/2)*AQ86*AT86*VLOOKUP('Données projet'!$B$10,Paramètres!$A$1:$I$89,3,0)*0.475*44/12</f>
        <v>2.6533997465001243E-7</v>
      </c>
      <c r="AX86" s="21">
        <f t="shared" si="60"/>
        <v>10.812107335111898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210.04871822652808</v>
      </c>
      <c r="BJ86" s="59">
        <f t="shared" si="92"/>
        <v>250.17540614049324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2.5558543977554744</v>
      </c>
      <c r="BQ86" s="21">
        <f>EXP(-LN(2)/25)*BQ85+(1-EXP(-LN(2)/25))/(LN(2)/25)*Calculateur!BL86*Calculateur!BN86*VLOOKUP('Données projet'!$B$11,Paramètres!$A$1:$I$89,3,0)*0.475*44/12</f>
        <v>6.4023697370549053</v>
      </c>
      <c r="BR86" s="21">
        <f>EXP(-LN(2)/2)*BR85+(1-EXP(-LN(2)/2))/(LN(2)/2)*BL86*BO86*VLOOKUP('Données projet'!$B$11,Paramètres!$A$1:$I$89,3,0)*0.475*44/12</f>
        <v>2.2710712085845681E-7</v>
      </c>
      <c r="BS86" s="22">
        <f t="shared" si="63"/>
        <v>8.9582243619174999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20.769230769230774</v>
      </c>
      <c r="BY86" s="12">
        <f>IF('Données projet'!$A$114&gt;35,BY85+BX86-CG85,IF(A86&lt;'Données projet'!$A$114,$BV$205^A86,IF(A86='Données projet'!$A$114,'Données projet'!$B$114,BY85+BX86-CG85)))</f>
        <v>581.53846153846143</v>
      </c>
      <c r="BZ86" s="13">
        <f>BY86*VLOOKUP('Données projet'!$B$12,Paramètres!$A$1:$I$89,3,0)*VLOOKUP('Données projet'!$B$12,Paramètres!$A$1:$I$89,5,0)</f>
        <v>279.71999999999997</v>
      </c>
      <c r="CA86" s="13">
        <f t="shared" si="93"/>
        <v>66.907833386965152</v>
      </c>
      <c r="CB86" s="20">
        <f t="shared" si="64"/>
        <v>603.71014314896422</v>
      </c>
      <c r="CC86" s="59">
        <f t="shared" si="65"/>
        <v>897.04347648229759</v>
      </c>
      <c r="CD86" s="59">
        <f ca="1">AVERAGE(OFFSET($CC$3,0,0,'Données projet'!$E$12+1,1))-AVERAGE(OFFSET($H$3,0,0,'Données projet'!$E$12+1,1))</f>
        <v>304.15237106473313</v>
      </c>
      <c r="CE86" s="59">
        <f t="shared" si="94"/>
        <v>120.85458928724336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255.5374979188561</v>
      </c>
      <c r="T87" s="59">
        <f t="shared" si="88"/>
        <v>343.10418468620901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1.060517748858008</v>
      </c>
      <c r="AA87" s="21">
        <f>EXP(-LN(2)/25)*AA86+(1-EXP(-LN(2)/25))/(LN(2)/25)*Calculateur!V87*Calculateur!X87*VLOOKUP('Données projet'!$B$9,Paramètres!$A$1:$I$89,3,0)*0.475*44/12</f>
        <v>3.5712080150242387</v>
      </c>
      <c r="AB87" s="21">
        <f>EXP(-LN(2)/2)*AB86+(1-EXP(-LN(2)/2))/(LN(2)/2)*V87*Y87*VLOOKUP('Données projet'!$B$9,Paramètres!$A$1:$I$89,3,0)*0.475*44/12</f>
        <v>1.2611240740523234E-8</v>
      </c>
      <c r="AC87" s="22">
        <f t="shared" si="57"/>
        <v>4.6317257764934876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5.6843418860808015E-13</v>
      </c>
      <c r="AJ87" s="13">
        <f>AI87*VLOOKUP('Données projet'!$B$10,Paramètres!$A$1:$I$89,3,0)*VLOOKUP('Données projet'!$B$10,Paramètres!$A$1:$I$89,5,0)</f>
        <v>3.1036506698001181E-13</v>
      </c>
      <c r="AK87" s="13">
        <f t="shared" si="89"/>
        <v>4.086682523110923E-12</v>
      </c>
      <c r="AL87" s="20">
        <f t="shared" si="58"/>
        <v>7.6581912194083782E-12</v>
      </c>
      <c r="AM87" s="59">
        <f t="shared" si="59"/>
        <v>293.33333333334099</v>
      </c>
      <c r="AN87" s="59">
        <f ca="1">AVERAGE(OFFSET($AM$3,0,0,'Données projet'!$E$10+1,1))-AVERAGE(OFFSET($H$3,0,0,'Données projet'!$E$10+1,1))</f>
        <v>248.1486444660062</v>
      </c>
      <c r="AO87" s="59">
        <f t="shared" si="90"/>
        <v>293.34458072322127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2.9233582605881985</v>
      </c>
      <c r="AV87" s="21">
        <f>EXP(-LN(2)/25)*AV86+(1-EXP(-LN(2)/25))/(LN(2)/25)*Calculateur!AQ87*Calculateur!AS87*VLOOKUP('Données projet'!$B$10,Paramètres!$A$1:$I$89,3,0)*0.475*44/12</f>
        <v>7.6161576043823178</v>
      </c>
      <c r="AW87" s="21">
        <f>EXP(-LN(2)/2)*AW86+(1-EXP(-LN(2)/2))/(LN(2)/2)*AQ87*AT87*VLOOKUP('Données projet'!$B$10,Paramètres!$A$1:$I$89,3,0)*0.475*44/12</f>
        <v>1.876236953948904E-7</v>
      </c>
      <c r="AX87" s="21">
        <f t="shared" si="60"/>
        <v>10.539516052594212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210.04871822652808</v>
      </c>
      <c r="BJ87" s="59">
        <f t="shared" si="92"/>
        <v>250.17540614049324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2.5057356519327421</v>
      </c>
      <c r="BQ87" s="21">
        <f>EXP(-LN(2)/25)*BQ86+(1-EXP(-LN(2)/25))/(LN(2)/25)*Calculateur!BL87*Calculateur!BN87*VLOOKUP('Données projet'!$B$11,Paramètres!$A$1:$I$89,3,0)*0.475*44/12</f>
        <v>6.2272965999091472</v>
      </c>
      <c r="BR87" s="21">
        <f>EXP(-LN(2)/2)*BR86+(1-EXP(-LN(2)/2))/(LN(2)/2)*BL87*BO87*VLOOKUP('Données projet'!$B$11,Paramètres!$A$1:$I$89,3,0)*0.475*44/12</f>
        <v>1.6058898521476762E-7</v>
      </c>
      <c r="BS87" s="22">
        <f t="shared" si="63"/>
        <v>8.7330324124308749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20.769230769230774</v>
      </c>
      <c r="BY87" s="12">
        <f>IF('Données projet'!$A$114&gt;35,BY86+BX87-CG86,IF(A87&lt;'Données projet'!$A$114,$BV$205^A87,IF(A87='Données projet'!$A$114,'Données projet'!$B$114,BY86+BX87-CG86)))</f>
        <v>602.30769230769215</v>
      </c>
      <c r="BZ87" s="13">
        <f>BY87*VLOOKUP('Données projet'!$B$12,Paramètres!$A$1:$I$89,3,0)*VLOOKUP('Données projet'!$B$12,Paramètres!$A$1:$I$89,5,0)</f>
        <v>289.70999999999992</v>
      </c>
      <c r="CA87" s="13">
        <f t="shared" si="93"/>
        <v>69.014921956176849</v>
      </c>
      <c r="CB87" s="20">
        <f t="shared" si="64"/>
        <v>624.77923907367449</v>
      </c>
      <c r="CC87" s="59">
        <f t="shared" si="65"/>
        <v>918.11257240700775</v>
      </c>
      <c r="CD87" s="59">
        <f ca="1">AVERAGE(OFFSET($CC$3,0,0,'Données projet'!$E$12+1,1))-AVERAGE(OFFSET($H$3,0,0,'Données projet'!$E$12+1,1))</f>
        <v>304.15237106473313</v>
      </c>
      <c r="CE87" s="59">
        <f t="shared" si="94"/>
        <v>120.85458928724336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255.5374979188561</v>
      </c>
      <c r="T88" s="59">
        <f t="shared" si="88"/>
        <v>343.10418468620901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1.0397216426548579</v>
      </c>
      <c r="AA88" s="21">
        <f>EXP(-LN(2)/25)*AA87+(1-EXP(-LN(2)/25))/(LN(2)/25)*Calculateur!V88*Calculateur!X88*VLOOKUP('Données projet'!$B$9,Paramètres!$A$1:$I$89,3,0)*0.475*44/12</f>
        <v>3.4735531440517335</v>
      </c>
      <c r="AB88" s="21">
        <f>EXP(-LN(2)/2)*AB87+(1-EXP(-LN(2)/2))/(LN(2)/2)*V88*Y88*VLOOKUP('Données projet'!$B$9,Paramètres!$A$1:$I$89,3,0)*0.475*44/12</f>
        <v>8.9174938468000361E-9</v>
      </c>
      <c r="AC88" s="22">
        <f t="shared" si="57"/>
        <v>4.5132747956240848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5.6843418860808015E-13</v>
      </c>
      <c r="AJ88" s="13">
        <f>AI88*VLOOKUP('Données projet'!$B$10,Paramètres!$A$1:$I$89,3,0)*VLOOKUP('Données projet'!$B$10,Paramètres!$A$1:$I$89,5,0)</f>
        <v>3.1036506698001181E-13</v>
      </c>
      <c r="AK88" s="13">
        <f t="shared" si="89"/>
        <v>4.086682523110923E-12</v>
      </c>
      <c r="AL88" s="20">
        <f t="shared" si="58"/>
        <v>7.6581912194083782E-12</v>
      </c>
      <c r="AM88" s="59">
        <f t="shared" si="59"/>
        <v>293.33333333334099</v>
      </c>
      <c r="AN88" s="59">
        <f ca="1">AVERAGE(OFFSET($AM$3,0,0,'Données projet'!$E$10+1,1))-AVERAGE(OFFSET($H$3,0,0,'Données projet'!$E$10+1,1))</f>
        <v>248.1486444660062</v>
      </c>
      <c r="AO88" s="59">
        <f t="shared" si="90"/>
        <v>293.34458072322127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2.8660329881705389</v>
      </c>
      <c r="AV88" s="21">
        <f>EXP(-LN(2)/25)*AV87+(1-EXP(-LN(2)/25))/(LN(2)/25)*Calculateur!AQ88*Calculateur!AS88*VLOOKUP('Données projet'!$B$10,Paramètres!$A$1:$I$89,3,0)*0.475*44/12</f>
        <v>7.4078933741741615</v>
      </c>
      <c r="AW88" s="21">
        <f>EXP(-LN(2)/2)*AW87+(1-EXP(-LN(2)/2))/(LN(2)/2)*AQ88*AT88*VLOOKUP('Données projet'!$B$10,Paramètres!$A$1:$I$89,3,0)*0.475*44/12</f>
        <v>1.3266998732500621E-7</v>
      </c>
      <c r="AX88" s="21">
        <f t="shared" si="60"/>
        <v>10.273926495014686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210.04871822652808</v>
      </c>
      <c r="BJ88" s="59">
        <f t="shared" si="92"/>
        <v>250.17540614049324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2.4565997041461767</v>
      </c>
      <c r="BQ88" s="21">
        <f>EXP(-LN(2)/25)*BQ87+(1-EXP(-LN(2)/25))/(LN(2)/25)*Calculateur!BL88*Calculateur!BN88*VLOOKUP('Données projet'!$B$11,Paramètres!$A$1:$I$89,3,0)*0.475*44/12</f>
        <v>6.0570108469053361</v>
      </c>
      <c r="BR88" s="21">
        <f>EXP(-LN(2)/2)*BR87+(1-EXP(-LN(2)/2))/(LN(2)/2)*BL88*BO88*VLOOKUP('Données projet'!$B$11,Paramètres!$A$1:$I$89,3,0)*0.475*44/12</f>
        <v>1.135535604292284E-7</v>
      </c>
      <c r="BS88" s="22">
        <f t="shared" si="63"/>
        <v>8.5136106646050749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20.769230769230774</v>
      </c>
      <c r="BY88" s="12">
        <f>IF('Données projet'!$A$114&gt;35,BY87+BX88-CG87,IF(A88&lt;'Données projet'!$A$114,$BV$205^A88,IF(A88='Données projet'!$A$114,'Données projet'!$B$114,BY87+BX88-CG87)))</f>
        <v>623.07692307692287</v>
      </c>
      <c r="BZ88" s="13">
        <f>BY88*VLOOKUP('Données projet'!$B$12,Paramètres!$A$1:$I$89,3,0)*VLOOKUP('Données projet'!$B$12,Paramètres!$A$1:$I$89,5,0)</f>
        <v>299.69999999999993</v>
      </c>
      <c r="CA88" s="13">
        <f t="shared" si="93"/>
        <v>71.113568290911687</v>
      </c>
      <c r="CB88" s="20">
        <f t="shared" si="64"/>
        <v>645.83363144000441</v>
      </c>
      <c r="CC88" s="59">
        <f t="shared" si="65"/>
        <v>939.16696477333767</v>
      </c>
      <c r="CD88" s="59">
        <f ca="1">AVERAGE(OFFSET($CC$3,0,0,'Données projet'!$E$12+1,1))-AVERAGE(OFFSET($H$3,0,0,'Données projet'!$E$12+1,1))</f>
        <v>304.15237106473313</v>
      </c>
      <c r="CE88" s="59">
        <f t="shared" si="94"/>
        <v>120.85458928724336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255.5374979188561</v>
      </c>
      <c r="T89" s="59">
        <f t="shared" si="88"/>
        <v>343.10418468620901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1.0193333354099794</v>
      </c>
      <c r="AA89" s="21">
        <f>EXP(-LN(2)/25)*AA88+(1-EXP(-LN(2)/25))/(LN(2)/25)*Calculateur!V89*Calculateur!X89*VLOOKUP('Données projet'!$B$9,Paramètres!$A$1:$I$89,3,0)*0.475*44/12</f>
        <v>3.3785686506614181</v>
      </c>
      <c r="AB89" s="21">
        <f>EXP(-LN(2)/2)*AB88+(1-EXP(-LN(2)/2))/(LN(2)/2)*V89*Y89*VLOOKUP('Données projet'!$B$9,Paramètres!$A$1:$I$89,3,0)*0.475*44/12</f>
        <v>6.3056203702616171E-9</v>
      </c>
      <c r="AC89" s="22">
        <f t="shared" si="57"/>
        <v>4.397901992377018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5.6843418860808015E-13</v>
      </c>
      <c r="AJ89" s="13">
        <f>AI89*VLOOKUP('Données projet'!$B$10,Paramètres!$A$1:$I$89,3,0)*VLOOKUP('Données projet'!$B$10,Paramètres!$A$1:$I$89,5,0)</f>
        <v>3.1036506698001181E-13</v>
      </c>
      <c r="AK89" s="13">
        <f t="shared" si="89"/>
        <v>4.086682523110923E-12</v>
      </c>
      <c r="AL89" s="20">
        <f t="shared" si="58"/>
        <v>7.6581912194083782E-12</v>
      </c>
      <c r="AM89" s="59">
        <f t="shared" si="59"/>
        <v>293.33333333334099</v>
      </c>
      <c r="AN89" s="59">
        <f ca="1">AVERAGE(OFFSET($AM$3,0,0,'Données projet'!$E$10+1,1))-AVERAGE(OFFSET($H$3,0,0,'Données projet'!$E$10+1,1))</f>
        <v>248.1486444660062</v>
      </c>
      <c r="AO89" s="59">
        <f t="shared" si="90"/>
        <v>293.34458072322127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2.809831829380026</v>
      </c>
      <c r="AV89" s="21">
        <f>EXP(-LN(2)/25)*AV88+(1-EXP(-LN(2)/25))/(LN(2)/25)*Calculateur!AQ89*Calculateur!AS89*VLOOKUP('Données projet'!$B$10,Paramètres!$A$1:$I$89,3,0)*0.475*44/12</f>
        <v>7.2053241402931878</v>
      </c>
      <c r="AW89" s="21">
        <f>EXP(-LN(2)/2)*AW88+(1-EXP(-LN(2)/2))/(LN(2)/2)*AQ89*AT89*VLOOKUP('Données projet'!$B$10,Paramètres!$A$1:$I$89,3,0)*0.475*44/12</f>
        <v>9.3811847697445202E-8</v>
      </c>
      <c r="AX89" s="21">
        <f t="shared" si="60"/>
        <v>10.01515606348506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210.04871822652808</v>
      </c>
      <c r="BJ89" s="59">
        <f t="shared" si="92"/>
        <v>250.17540614049324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2.4084272823257371</v>
      </c>
      <c r="BQ89" s="21">
        <f>EXP(-LN(2)/25)*BQ88+(1-EXP(-LN(2)/25))/(LN(2)/25)*Calculateur!BL89*Calculateur!BN89*VLOOKUP('Données projet'!$B$11,Paramètres!$A$1:$I$89,3,0)*0.475*44/12</f>
        <v>5.8913815667723526</v>
      </c>
      <c r="BR89" s="21">
        <f>EXP(-LN(2)/2)*BR88+(1-EXP(-LN(2)/2))/(LN(2)/2)*BL89*BO89*VLOOKUP('Données projet'!$B$11,Paramètres!$A$1:$I$89,3,0)*0.475*44/12</f>
        <v>8.029449260738381E-8</v>
      </c>
      <c r="BS89" s="22">
        <f t="shared" si="63"/>
        <v>8.299808929392583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20.769230769230774</v>
      </c>
      <c r="BY89" s="12">
        <f>IF('Données projet'!$A$114&gt;35,BY88+BX89-CG88,IF(A89&lt;'Données projet'!$A$114,$BV$205^A89,IF(A89='Données projet'!$A$114,'Données projet'!$B$114,BY88+BX89-CG88)))</f>
        <v>643.84615384615358</v>
      </c>
      <c r="BZ89" s="13">
        <f>BY89*VLOOKUP('Données projet'!$B$12,Paramètres!$A$1:$I$89,3,0)*VLOOKUP('Données projet'!$B$12,Paramètres!$A$1:$I$89,5,0)</f>
        <v>309.68999999999988</v>
      </c>
      <c r="CA89" s="13">
        <f t="shared" si="93"/>
        <v>73.204086064150388</v>
      </c>
      <c r="CB89" s="20">
        <f t="shared" si="64"/>
        <v>666.87386656172839</v>
      </c>
      <c r="CC89" s="59">
        <f t="shared" si="65"/>
        <v>960.20719989506165</v>
      </c>
      <c r="CD89" s="59">
        <f ca="1">AVERAGE(OFFSET($CC$3,0,0,'Données projet'!$E$12+1,1))-AVERAGE(OFFSET($H$3,0,0,'Données projet'!$E$12+1,1))</f>
        <v>304.15237106473313</v>
      </c>
      <c r="CE89" s="59">
        <f t="shared" si="94"/>
        <v>120.85458928724336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255.5374979188561</v>
      </c>
      <c r="T90" s="59">
        <f t="shared" si="88"/>
        <v>343.10418468620901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0.99934483043453337</v>
      </c>
      <c r="AA90" s="21">
        <f>EXP(-LN(2)/25)*AA89+(1-EXP(-LN(2)/25))/(LN(2)/25)*Calculateur!V90*Calculateur!X90*VLOOKUP('Données projet'!$B$9,Paramètres!$A$1:$I$89,3,0)*0.475*44/12</f>
        <v>3.286181513237878</v>
      </c>
      <c r="AB90" s="21">
        <f>EXP(-LN(2)/2)*AB89+(1-EXP(-LN(2)/2))/(LN(2)/2)*V90*Y90*VLOOKUP('Données projet'!$B$9,Paramètres!$A$1:$I$89,3,0)*0.475*44/12</f>
        <v>4.458746923400018E-9</v>
      </c>
      <c r="AC90" s="22">
        <f t="shared" si="57"/>
        <v>4.2855263481311585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5.6843418860808015E-13</v>
      </c>
      <c r="AJ90" s="13">
        <f>AI90*VLOOKUP('Données projet'!$B$10,Paramètres!$A$1:$I$89,3,0)*VLOOKUP('Données projet'!$B$10,Paramètres!$A$1:$I$89,5,0)</f>
        <v>3.1036506698001181E-13</v>
      </c>
      <c r="AK90" s="13">
        <f t="shared" si="89"/>
        <v>4.086682523110923E-12</v>
      </c>
      <c r="AL90" s="20">
        <f t="shared" si="58"/>
        <v>7.6581912194083782E-12</v>
      </c>
      <c r="AM90" s="59">
        <f t="shared" si="59"/>
        <v>293.33333333334099</v>
      </c>
      <c r="AN90" s="59">
        <f ca="1">AVERAGE(OFFSET($AM$3,0,0,'Données projet'!$E$10+1,1))-AVERAGE(OFFSET($H$3,0,0,'Données projet'!$E$10+1,1))</f>
        <v>248.1486444660062</v>
      </c>
      <c r="AO90" s="59">
        <f t="shared" si="90"/>
        <v>293.34458072322127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2.754732741034073</v>
      </c>
      <c r="AV90" s="21">
        <f>EXP(-LN(2)/25)*AV89+(1-EXP(-LN(2)/25))/(LN(2)/25)*Calculateur!AQ90*Calculateur!AS90*VLOOKUP('Données projet'!$B$10,Paramètres!$A$1:$I$89,3,0)*0.475*44/12</f>
        <v>7.0082941727653418</v>
      </c>
      <c r="AW90" s="21">
        <f>EXP(-LN(2)/2)*AW89+(1-EXP(-LN(2)/2))/(LN(2)/2)*AQ90*AT90*VLOOKUP('Données projet'!$B$10,Paramètres!$A$1:$I$89,3,0)*0.475*44/12</f>
        <v>6.6334993662503106E-8</v>
      </c>
      <c r="AX90" s="21">
        <f t="shared" si="60"/>
        <v>9.7630269801344092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210.04871822652808</v>
      </c>
      <c r="BJ90" s="59">
        <f t="shared" si="92"/>
        <v>250.17540614049324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2.3611994923149204</v>
      </c>
      <c r="BQ90" s="21">
        <f>EXP(-LN(2)/25)*BQ89+(1-EXP(-LN(2)/25))/(LN(2)/25)*Calculateur!BL90*Calculateur!BN90*VLOOKUP('Données projet'!$B$11,Paramètres!$A$1:$I$89,3,0)*0.475*44/12</f>
        <v>5.7302814280146706</v>
      </c>
      <c r="BR90" s="21">
        <f>EXP(-LN(2)/2)*BR89+(1-EXP(-LN(2)/2))/(LN(2)/2)*BL90*BO90*VLOOKUP('Données projet'!$B$11,Paramètres!$A$1:$I$89,3,0)*0.475*44/12</f>
        <v>5.6776780214614202E-8</v>
      </c>
      <c r="BS90" s="22">
        <f t="shared" si="63"/>
        <v>8.0914809771063716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20.769230769230774</v>
      </c>
      <c r="BY90" s="12">
        <f>IF('Données projet'!$A$114&gt;35,BY89+BX90-CG89,IF(A90&lt;'Données projet'!$A$114,$BV$205^A90,IF(A90='Données projet'!$A$114,'Données projet'!$B$114,BY89+BX90-CG89)))</f>
        <v>664.6153846153843</v>
      </c>
      <c r="BZ90" s="13">
        <f>BY90*VLOOKUP('Données projet'!$B$12,Paramètres!$A$1:$I$89,3,0)*VLOOKUP('Données projet'!$B$12,Paramètres!$A$1:$I$89,5,0)</f>
        <v>319.67999999999989</v>
      </c>
      <c r="CA90" s="13">
        <f t="shared" si="93"/>
        <v>75.286767563004403</v>
      </c>
      <c r="CB90" s="20">
        <f t="shared" si="64"/>
        <v>687.90045350556591</v>
      </c>
      <c r="CC90" s="59">
        <f t="shared" si="65"/>
        <v>981.23378683889928</v>
      </c>
      <c r="CD90" s="59">
        <f ca="1">AVERAGE(OFFSET($CC$3,0,0,'Données projet'!$E$12+1,1))-AVERAGE(OFFSET($H$3,0,0,'Données projet'!$E$12+1,1))</f>
        <v>304.15237106473313</v>
      </c>
      <c r="CE90" s="59">
        <f t="shared" si="94"/>
        <v>120.85458928724336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255.5374979188561</v>
      </c>
      <c r="T91" s="59">
        <f t="shared" si="88"/>
        <v>343.10418468620901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0.97974828784987167</v>
      </c>
      <c r="AA91" s="21">
        <f>EXP(-LN(2)/25)*AA90+(1-EXP(-LN(2)/25))/(LN(2)/25)*Calculateur!V91*Calculateur!X91*VLOOKUP('Données projet'!$B$9,Paramètres!$A$1:$I$89,3,0)*0.475*44/12</f>
        <v>3.1963207069456132</v>
      </c>
      <c r="AB91" s="21">
        <f>EXP(-LN(2)/2)*AB90+(1-EXP(-LN(2)/2))/(LN(2)/2)*V91*Y91*VLOOKUP('Données projet'!$B$9,Paramètres!$A$1:$I$89,3,0)*0.475*44/12</f>
        <v>3.1528101851308086E-9</v>
      </c>
      <c r="AC91" s="22">
        <f t="shared" si="57"/>
        <v>4.1760689979482954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5.6843418860808015E-13</v>
      </c>
      <c r="AJ91" s="13">
        <f>AI91*VLOOKUP('Données projet'!$B$10,Paramètres!$A$1:$I$89,3,0)*VLOOKUP('Données projet'!$B$10,Paramètres!$A$1:$I$89,5,0)</f>
        <v>3.1036506698001181E-13</v>
      </c>
      <c r="AK91" s="13">
        <f t="shared" si="89"/>
        <v>4.086682523110923E-12</v>
      </c>
      <c r="AL91" s="20">
        <f t="shared" si="58"/>
        <v>7.6581912194083782E-12</v>
      </c>
      <c r="AM91" s="59">
        <f t="shared" si="59"/>
        <v>293.33333333334099</v>
      </c>
      <c r="AN91" s="59">
        <f ca="1">AVERAGE(OFFSET($AM$3,0,0,'Données projet'!$E$10+1,1))-AVERAGE(OFFSET($H$3,0,0,'Données projet'!$E$10+1,1))</f>
        <v>248.1486444660062</v>
      </c>
      <c r="AO91" s="59">
        <f t="shared" si="90"/>
        <v>293.34458072322127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2.7007141122034586</v>
      </c>
      <c r="AV91" s="21">
        <f>EXP(-LN(2)/25)*AV90+(1-EXP(-LN(2)/25))/(LN(2)/25)*Calculateur!AQ91*Calculateur!AS91*VLOOKUP('Données projet'!$B$10,Paramètres!$A$1:$I$89,3,0)*0.475*44/12</f>
        <v>6.816652000060901</v>
      </c>
      <c r="AW91" s="21">
        <f>EXP(-LN(2)/2)*AW90+(1-EXP(-LN(2)/2))/(LN(2)/2)*AQ91*AT91*VLOOKUP('Données projet'!$B$10,Paramètres!$A$1:$I$89,3,0)*0.475*44/12</f>
        <v>4.6905923848722601E-8</v>
      </c>
      <c r="AX91" s="21">
        <f t="shared" si="60"/>
        <v>9.5173661591702832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210.04871822652808</v>
      </c>
      <c r="BJ91" s="59">
        <f t="shared" si="92"/>
        <v>250.17540614049324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2.3148978104601081</v>
      </c>
      <c r="BQ91" s="21">
        <f>EXP(-LN(2)/25)*BQ90+(1-EXP(-LN(2)/25))/(LN(2)/25)*Calculateur!BL91*Calculateur!BN91*VLOOKUP('Données projet'!$B$11,Paramètres!$A$1:$I$89,3,0)*0.475*44/12</f>
        <v>5.5735865810232061</v>
      </c>
      <c r="BR91" s="21">
        <f>EXP(-LN(2)/2)*BR90+(1-EXP(-LN(2)/2))/(LN(2)/2)*BL91*BO91*VLOOKUP('Données projet'!$B$11,Paramètres!$A$1:$I$89,3,0)*0.475*44/12</f>
        <v>4.0147246303691905E-8</v>
      </c>
      <c r="BS91" s="22">
        <f t="shared" si="63"/>
        <v>7.8884844316305607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20.769230769230774</v>
      </c>
      <c r="BY91" s="12">
        <f>IF('Données projet'!$A$114&gt;35,BY90+BX91-CG90,IF(A91&lt;'Données projet'!$A$114,$BV$205^A91,IF(A91='Données projet'!$A$114,'Données projet'!$B$114,BY90+BX91-CG90)))</f>
        <v>685.38461538461502</v>
      </c>
      <c r="BZ91" s="13">
        <f>BY91*VLOOKUP('Données projet'!$B$12,Paramètres!$A$1:$I$89,3,0)*VLOOKUP('Données projet'!$B$12,Paramètres!$A$1:$I$89,5,0)</f>
        <v>329.66999999999979</v>
      </c>
      <c r="CA91" s="13">
        <f t="shared" si="93"/>
        <v>77.361885769028433</v>
      </c>
      <c r="CB91" s="20">
        <f t="shared" si="64"/>
        <v>708.91386771439068</v>
      </c>
      <c r="CC91" s="59">
        <f t="shared" si="65"/>
        <v>1002.247201047724</v>
      </c>
      <c r="CD91" s="59">
        <f ca="1">AVERAGE(OFFSET($CC$3,0,0,'Données projet'!$E$12+1,1))-AVERAGE(OFFSET($H$3,0,0,'Données projet'!$E$12+1,1))</f>
        <v>304.15237106473313</v>
      </c>
      <c r="CE91" s="59">
        <f t="shared" si="94"/>
        <v>120.85458928724336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255.5374979188561</v>
      </c>
      <c r="T92" s="59">
        <f t="shared" si="88"/>
        <v>343.10418468620901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0.96053602151258444</v>
      </c>
      <c r="AA92" s="21">
        <f>EXP(-LN(2)/25)*AA91+(1-EXP(-LN(2)/25))/(LN(2)/25)*Calculateur!V92*Calculateur!X92*VLOOKUP('Données projet'!$B$9,Paramètres!$A$1:$I$89,3,0)*0.475*44/12</f>
        <v>3.1089171491269849</v>
      </c>
      <c r="AB92" s="21">
        <f>EXP(-LN(2)/2)*AB91+(1-EXP(-LN(2)/2))/(LN(2)/2)*V92*Y92*VLOOKUP('Données projet'!$B$9,Paramètres!$A$1:$I$89,3,0)*0.475*44/12</f>
        <v>2.229373461700009E-9</v>
      </c>
      <c r="AC92" s="22">
        <f t="shared" si="57"/>
        <v>4.0694531728689425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5.6843418860808015E-13</v>
      </c>
      <c r="AJ92" s="13">
        <f>AI92*VLOOKUP('Données projet'!$B$10,Paramètres!$A$1:$I$89,3,0)*VLOOKUP('Données projet'!$B$10,Paramètres!$A$1:$I$89,5,0)</f>
        <v>3.1036506698001181E-13</v>
      </c>
      <c r="AK92" s="13">
        <f t="shared" si="89"/>
        <v>4.086682523110923E-12</v>
      </c>
      <c r="AL92" s="20">
        <f t="shared" si="58"/>
        <v>7.6581912194083782E-12</v>
      </c>
      <c r="AM92" s="59">
        <f t="shared" si="59"/>
        <v>293.33333333334099</v>
      </c>
      <c r="AN92" s="59">
        <f ca="1">AVERAGE(OFFSET($AM$3,0,0,'Données projet'!$E$10+1,1))-AVERAGE(OFFSET($H$3,0,0,'Données projet'!$E$10+1,1))</f>
        <v>248.1486444660062</v>
      </c>
      <c r="AO92" s="59">
        <f t="shared" si="90"/>
        <v>293.34458072322127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2.6477547557361025</v>
      </c>
      <c r="AV92" s="21">
        <f>EXP(-LN(2)/25)*AV91+(1-EXP(-LN(2)/25))/(LN(2)/25)*Calculateur!AQ92*Calculateur!AS92*VLOOKUP('Données projet'!$B$10,Paramètres!$A$1:$I$89,3,0)*0.475*44/12</f>
        <v>6.6302502926470863</v>
      </c>
      <c r="AW92" s="21">
        <f>EXP(-LN(2)/2)*AW91+(1-EXP(-LN(2)/2))/(LN(2)/2)*AQ92*AT92*VLOOKUP('Données projet'!$B$10,Paramètres!$A$1:$I$89,3,0)*0.475*44/12</f>
        <v>3.3167496831251553E-8</v>
      </c>
      <c r="AX92" s="21">
        <f t="shared" si="60"/>
        <v>9.2780050815506865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210.04871822652808</v>
      </c>
      <c r="BJ92" s="59">
        <f t="shared" si="92"/>
        <v>250.17540614049324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2.2695040763452314</v>
      </c>
      <c r="BQ92" s="21">
        <f>EXP(-LN(2)/25)*BQ91+(1-EXP(-LN(2)/25))/(LN(2)/25)*Calculateur!BL92*Calculateur!BN92*VLOOKUP('Données projet'!$B$11,Paramètres!$A$1:$I$89,3,0)*0.475*44/12</f>
        <v>5.4211765628629465</v>
      </c>
      <c r="BR92" s="21">
        <f>EXP(-LN(2)/2)*BR91+(1-EXP(-LN(2)/2))/(LN(2)/2)*BL92*BO92*VLOOKUP('Données projet'!$B$11,Paramètres!$A$1:$I$89,3,0)*0.475*44/12</f>
        <v>2.8388390107307101E-8</v>
      </c>
      <c r="BS92" s="22">
        <f t="shared" si="63"/>
        <v>7.6906806675965687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20.769230769230774</v>
      </c>
      <c r="BY92" s="12">
        <f>IF('Données projet'!$A$114&gt;35,BY91+BX92-CG91,IF(A92&lt;'Données projet'!$A$114,$BV$205^A92,IF(A92='Données projet'!$A$114,'Données projet'!$B$114,BY91+BX92-CG91)))</f>
        <v>706.15384615384573</v>
      </c>
      <c r="BZ92" s="13">
        <f>BY92*VLOOKUP('Données projet'!$B$12,Paramètres!$A$1:$I$89,3,0)*VLOOKUP('Données projet'!$B$12,Paramètres!$A$1:$I$89,5,0)</f>
        <v>339.6599999999998</v>
      </c>
      <c r="CA92" s="13">
        <f t="shared" si="93"/>
        <v>79.429696179288811</v>
      </c>
      <c r="CB92" s="20">
        <f t="shared" si="64"/>
        <v>729.91455417892757</v>
      </c>
      <c r="CC92" s="59">
        <f t="shared" si="65"/>
        <v>1023.2478875122608</v>
      </c>
      <c r="CD92" s="59">
        <f ca="1">AVERAGE(OFFSET($CC$3,0,0,'Données projet'!$E$12+1,1))-AVERAGE(OFFSET($H$3,0,0,'Données projet'!$E$12+1,1))</f>
        <v>304.15237106473313</v>
      </c>
      <c r="CE92" s="59">
        <f t="shared" si="94"/>
        <v>120.85458928724336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255.5374979188561</v>
      </c>
      <c r="T93" s="59">
        <f t="shared" si="88"/>
        <v>343.10418468620901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0.94170049599984595</v>
      </c>
      <c r="AA93" s="21">
        <f>EXP(-LN(2)/25)*AA92+(1-EXP(-LN(2)/25))/(LN(2)/25)*Calculateur!V93*Calculateur!X93*VLOOKUP('Données projet'!$B$9,Paramètres!$A$1:$I$89,3,0)*0.475*44/12</f>
        <v>3.02390364619326</v>
      </c>
      <c r="AB93" s="21">
        <f>EXP(-LN(2)/2)*AB92+(1-EXP(-LN(2)/2))/(LN(2)/2)*V93*Y93*VLOOKUP('Données projet'!$B$9,Paramètres!$A$1:$I$89,3,0)*0.475*44/12</f>
        <v>1.5764050925654043E-9</v>
      </c>
      <c r="AC93" s="22">
        <f t="shared" si="57"/>
        <v>3.9656041437695113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5.6843418860808015E-13</v>
      </c>
      <c r="AJ93" s="13">
        <f>AI93*VLOOKUP('Données projet'!$B$10,Paramètres!$A$1:$I$89,3,0)*VLOOKUP('Données projet'!$B$10,Paramètres!$A$1:$I$89,5,0)</f>
        <v>3.1036506698001181E-13</v>
      </c>
      <c r="AK93" s="13">
        <f t="shared" si="89"/>
        <v>4.086682523110923E-12</v>
      </c>
      <c r="AL93" s="20">
        <f t="shared" si="58"/>
        <v>7.6581912194083782E-12</v>
      </c>
      <c r="AM93" s="59">
        <f t="shared" si="59"/>
        <v>293.33333333334099</v>
      </c>
      <c r="AN93" s="59">
        <f ca="1">AVERAGE(OFFSET($AM$3,0,0,'Données projet'!$E$10+1,1))-AVERAGE(OFFSET($H$3,0,0,'Données projet'!$E$10+1,1))</f>
        <v>248.1486444660062</v>
      </c>
      <c r="AO93" s="59">
        <f t="shared" si="90"/>
        <v>293.34458072322127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2.5958338999470536</v>
      </c>
      <c r="AV93" s="21">
        <f>EXP(-LN(2)/25)*AV92+(1-EXP(-LN(2)/25))/(LN(2)/25)*Calculateur!AQ93*Calculateur!AS93*VLOOKUP('Données projet'!$B$10,Paramètres!$A$1:$I$89,3,0)*0.475*44/12</f>
        <v>6.4489457497249427</v>
      </c>
      <c r="AW93" s="21">
        <f>EXP(-LN(2)/2)*AW92+(1-EXP(-LN(2)/2))/(LN(2)/2)*AQ93*AT93*VLOOKUP('Données projet'!$B$10,Paramètres!$A$1:$I$89,3,0)*0.475*44/12</f>
        <v>2.3452961924361301E-8</v>
      </c>
      <c r="AX93" s="21">
        <f t="shared" si="60"/>
        <v>9.0447796731249586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210.04871822652808</v>
      </c>
      <c r="BJ93" s="59">
        <f t="shared" si="92"/>
        <v>250.17540614049324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2.2250004856689034</v>
      </c>
      <c r="BQ93" s="21">
        <f>EXP(-LN(2)/25)*BQ92+(1-EXP(-LN(2)/25))/(LN(2)/25)*Calculateur!BL93*Calculateur!BN93*VLOOKUP('Données projet'!$B$11,Paramètres!$A$1:$I$89,3,0)*0.475*44/12</f>
        <v>5.2729342046641738</v>
      </c>
      <c r="BR93" s="21">
        <f>EXP(-LN(2)/2)*BR92+(1-EXP(-LN(2)/2))/(LN(2)/2)*BL93*BO93*VLOOKUP('Données projet'!$B$11,Paramètres!$A$1:$I$89,3,0)*0.475*44/12</f>
        <v>2.0073623151845953E-8</v>
      </c>
      <c r="BS93" s="22">
        <f t="shared" si="63"/>
        <v>7.4979347104066996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726.92307692307691</v>
      </c>
      <c r="BW93" s="12">
        <f>VLOOKUP(A93,'Données projet'!$A$113:$I$133,9,0)</f>
        <v>20.769230769230774</v>
      </c>
      <c r="BX93" s="12">
        <f t="array" ref="BX93">INDEX(BW:BW,MIN(IF(ISNUMBER(BW93:BW289),ROW(BW93:BW289),"")))</f>
        <v>20.769230769230774</v>
      </c>
      <c r="BY93" s="12">
        <f>IF('Données projet'!$A$114&gt;35,BY92+BX93-CG92,IF(A93&lt;'Données projet'!$A$114,$BV$205^A93,IF(A93='Données projet'!$A$114,'Données projet'!$B$114,BY92+BX93-CG92)))</f>
        <v>726.92307692307645</v>
      </c>
      <c r="BZ93" s="13">
        <f>BY93*VLOOKUP('Données projet'!$B$12,Paramètres!$A$1:$I$89,3,0)*VLOOKUP('Données projet'!$B$12,Paramètres!$A$1:$I$89,5,0)</f>
        <v>349.64999999999981</v>
      </c>
      <c r="CA93" s="13">
        <f t="shared" si="93"/>
        <v>81.490438407168682</v>
      </c>
      <c r="CB93" s="20">
        <f t="shared" si="64"/>
        <v>750.90293022581852</v>
      </c>
      <c r="CC93" s="59">
        <f t="shared" si="65"/>
        <v>1044.2362635591519</v>
      </c>
      <c r="CD93" s="59">
        <f ca="1">AVERAGE(OFFSET($CC$3,0,0,'Données projet'!$E$12+1,1))-AVERAGE(OFFSET($H$3,0,0,'Données projet'!$E$12+1,1))</f>
        <v>304.15237106473313</v>
      </c>
      <c r="CE93" s="59">
        <f t="shared" si="94"/>
        <v>120.85458928724336</v>
      </c>
      <c r="CF93" s="15">
        <f>IF(ISNA(VLOOKUP(A93,'Données projet'!$A$113:$I$133,3,0)),0,VLOOKUP(A93,'Données projet'!$A$113:$I$133,3,0))</f>
        <v>6</v>
      </c>
      <c r="CG93" s="15">
        <f>IF(ISNA(VLOOKUP(A93,'Données projet'!$A$113:$I$133,4,0)),0,VLOOKUP(A93,'Données projet'!$A$113:$I$133,4,0))</f>
        <v>26.153846153846153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255.5374979188561</v>
      </c>
      <c r="T94" s="59">
        <f t="shared" si="88"/>
        <v>343.10418468620901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0.92323432365387614</v>
      </c>
      <c r="AA94" s="21">
        <f>EXP(-LN(2)/25)*AA93+(1-EXP(-LN(2)/25))/(LN(2)/25)*Calculateur!V94*Calculateur!X94*VLOOKUP('Données projet'!$B$9,Paramètres!$A$1:$I$89,3,0)*0.475*44/12</f>
        <v>2.9412148419679238</v>
      </c>
      <c r="AB94" s="21">
        <f>EXP(-LN(2)/2)*AB93+(1-EXP(-LN(2)/2))/(LN(2)/2)*V94*Y94*VLOOKUP('Données projet'!$B$9,Paramètres!$A$1:$I$89,3,0)*0.475*44/12</f>
        <v>1.1146867308500045E-9</v>
      </c>
      <c r="AC94" s="22">
        <f t="shared" si="57"/>
        <v>3.8644491667364864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5.6843418860808015E-13</v>
      </c>
      <c r="AJ94" s="13">
        <f>AI94*VLOOKUP('Données projet'!$B$10,Paramètres!$A$1:$I$89,3,0)*VLOOKUP('Données projet'!$B$10,Paramètres!$A$1:$I$89,5,0)</f>
        <v>3.1036506698001181E-13</v>
      </c>
      <c r="AK94" s="13">
        <f t="shared" si="89"/>
        <v>4.086682523110923E-12</v>
      </c>
      <c r="AL94" s="20">
        <f t="shared" si="58"/>
        <v>7.6581912194083782E-12</v>
      </c>
      <c r="AM94" s="59">
        <f t="shared" si="59"/>
        <v>293.33333333334099</v>
      </c>
      <c r="AN94" s="59">
        <f ca="1">AVERAGE(OFFSET($AM$3,0,0,'Données projet'!$E$10+1,1))-AVERAGE(OFFSET($H$3,0,0,'Données projet'!$E$10+1,1))</f>
        <v>248.1486444660062</v>
      </c>
      <c r="AO94" s="59">
        <f t="shared" si="90"/>
        <v>293.34458072322127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2.5449311804714325</v>
      </c>
      <c r="AV94" s="21">
        <f>EXP(-LN(2)/25)*AV93+(1-EXP(-LN(2)/25))/(LN(2)/25)*Calculateur!AQ94*Calculateur!AS94*VLOOKUP('Données projet'!$B$10,Paramètres!$A$1:$I$89,3,0)*0.475*44/12</f>
        <v>6.2725989890633969</v>
      </c>
      <c r="AW94" s="21">
        <f>EXP(-LN(2)/2)*AW93+(1-EXP(-LN(2)/2))/(LN(2)/2)*AQ94*AT94*VLOOKUP('Données projet'!$B$10,Paramètres!$A$1:$I$89,3,0)*0.475*44/12</f>
        <v>1.6583748415625777E-8</v>
      </c>
      <c r="AX94" s="21">
        <f t="shared" si="60"/>
        <v>8.817530186118578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210.04871822652808</v>
      </c>
      <c r="BJ94" s="59">
        <f t="shared" si="92"/>
        <v>250.17540614049324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2.1813695832612283</v>
      </c>
      <c r="BQ94" s="21">
        <f>EXP(-LN(2)/25)*BQ93+(1-EXP(-LN(2)/25))/(LN(2)/25)*Calculateur!BL94*Calculateur!BN94*VLOOKUP('Données projet'!$B$11,Paramètres!$A$1:$I$89,3,0)*0.475*44/12</f>
        <v>5.1287455415460732</v>
      </c>
      <c r="BR94" s="21">
        <f>EXP(-LN(2)/2)*BR93+(1-EXP(-LN(2)/2))/(LN(2)/2)*BL94*BO94*VLOOKUP('Données projet'!$B$11,Paramètres!$A$1:$I$89,3,0)*0.475*44/12</f>
        <v>1.4194195053653551E-8</v>
      </c>
      <c r="BS94" s="22">
        <f t="shared" si="63"/>
        <v>7.3101151390014971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26.30769230769231</v>
      </c>
      <c r="BY94" s="12">
        <f>IF('Données projet'!$A$114&gt;35,BY93+BX94-CG93,IF(A94&lt;'Données projet'!$A$114,$BV$205^A94,IF(A94='Données projet'!$A$114,'Données projet'!$B$114,BY93+BX94-CG93)))</f>
        <v>727.07692307692253</v>
      </c>
      <c r="BZ94" s="13">
        <f>BY94*VLOOKUP('Données projet'!$B$12,Paramètres!$A$1:$I$89,3,0)*VLOOKUP('Données projet'!$B$12,Paramètres!$A$1:$I$89,5,0)</f>
        <v>349.72399999999976</v>
      </c>
      <c r="CA94" s="13">
        <f t="shared" si="93"/>
        <v>81.505677362624454</v>
      </c>
      <c r="CB94" s="20">
        <f t="shared" si="64"/>
        <v>751.05835473990373</v>
      </c>
      <c r="CC94" s="59">
        <f t="shared" si="65"/>
        <v>1044.391688073237</v>
      </c>
      <c r="CD94" s="59">
        <f ca="1">AVERAGE(OFFSET($CC$3,0,0,'Données projet'!$E$12+1,1))-AVERAGE(OFFSET($H$3,0,0,'Données projet'!$E$12+1,1))</f>
        <v>304.15237106473313</v>
      </c>
      <c r="CE94" s="59">
        <f t="shared" si="94"/>
        <v>120.85458928724336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255.5374979188561</v>
      </c>
      <c r="T95" s="59">
        <f t="shared" si="88"/>
        <v>343.10418468620901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0.90513026168435784</v>
      </c>
      <c r="AA95" s="21">
        <f>EXP(-LN(2)/25)*AA94+(1-EXP(-LN(2)/25))/(LN(2)/25)*Calculateur!V95*Calculateur!X95*VLOOKUP('Données projet'!$B$9,Paramètres!$A$1:$I$89,3,0)*0.475*44/12</f>
        <v>2.8607871674425445</v>
      </c>
      <c r="AB95" s="21">
        <f>EXP(-LN(2)/2)*AB94+(1-EXP(-LN(2)/2))/(LN(2)/2)*V95*Y95*VLOOKUP('Données projet'!$B$9,Paramètres!$A$1:$I$89,3,0)*0.475*44/12</f>
        <v>7.8820254628270214E-10</v>
      </c>
      <c r="AC95" s="22">
        <f t="shared" si="57"/>
        <v>3.7659174299151048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5.6843418860808015E-13</v>
      </c>
      <c r="AJ95" s="13">
        <f>AI95*VLOOKUP('Données projet'!$B$10,Paramètres!$A$1:$I$89,3,0)*VLOOKUP('Données projet'!$B$10,Paramètres!$A$1:$I$89,5,0)</f>
        <v>3.1036506698001181E-13</v>
      </c>
      <c r="AK95" s="13">
        <f t="shared" si="89"/>
        <v>4.086682523110923E-12</v>
      </c>
      <c r="AL95" s="20">
        <f t="shared" si="58"/>
        <v>7.6581912194083782E-12</v>
      </c>
      <c r="AM95" s="59">
        <f t="shared" si="59"/>
        <v>293.33333333334099</v>
      </c>
      <c r="AN95" s="59">
        <f ca="1">AVERAGE(OFFSET($AM$3,0,0,'Données projet'!$E$10+1,1))-AVERAGE(OFFSET($H$3,0,0,'Données projet'!$E$10+1,1))</f>
        <v>248.1486444660062</v>
      </c>
      <c r="AO95" s="59">
        <f t="shared" si="90"/>
        <v>293.34458072322127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2.4950266322771353</v>
      </c>
      <c r="AV95" s="21">
        <f>EXP(-LN(2)/25)*AV94+(1-EXP(-LN(2)/25))/(LN(2)/25)*Calculateur!AQ95*Calculateur!AS95*VLOOKUP('Données projet'!$B$10,Paramètres!$A$1:$I$89,3,0)*0.475*44/12</f>
        <v>6.1010744398458137</v>
      </c>
      <c r="AW95" s="21">
        <f>EXP(-LN(2)/2)*AW94+(1-EXP(-LN(2)/2))/(LN(2)/2)*AQ95*AT95*VLOOKUP('Données projet'!$B$10,Paramètres!$A$1:$I$89,3,0)*0.475*44/12</f>
        <v>1.172648096218065E-8</v>
      </c>
      <c r="AX95" s="21">
        <f t="shared" si="60"/>
        <v>8.5961010838494296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210.04871822652808</v>
      </c>
      <c r="BJ95" s="59">
        <f t="shared" si="92"/>
        <v>250.17540614049324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2.1385942562375448</v>
      </c>
      <c r="BQ95" s="21">
        <f>EXP(-LN(2)/25)*BQ94+(1-EXP(-LN(2)/25))/(LN(2)/25)*Calculateur!BL95*Calculateur!BN95*VLOOKUP('Données projet'!$B$11,Paramètres!$A$1:$I$89,3,0)*0.475*44/12</f>
        <v>4.9884997250034901</v>
      </c>
      <c r="BR95" s="21">
        <f>EXP(-LN(2)/2)*BR94+(1-EXP(-LN(2)/2))/(LN(2)/2)*BL95*BO95*VLOOKUP('Données projet'!$B$11,Paramètres!$A$1:$I$89,3,0)*0.475*44/12</f>
        <v>1.0036811575922976E-8</v>
      </c>
      <c r="BS95" s="22">
        <f t="shared" si="63"/>
        <v>7.1270939912778468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26.30769230769231</v>
      </c>
      <c r="BY95" s="12">
        <f>IF('Données projet'!$A$114&gt;35,BY94+BX95-CG94,IF(A95&lt;'Données projet'!$A$114,$BV$205^A95,IF(A95='Données projet'!$A$114,'Données projet'!$B$114,BY94+BX95-CG94)))</f>
        <v>753.38461538461479</v>
      </c>
      <c r="BZ95" s="13">
        <f>BY95*VLOOKUP('Données projet'!$B$12,Paramètres!$A$1:$I$89,3,0)*VLOOKUP('Données projet'!$B$12,Paramètres!$A$1:$I$89,5,0)</f>
        <v>362.3779999999997</v>
      </c>
      <c r="CA95" s="13">
        <f t="shared" si="93"/>
        <v>84.106091697303128</v>
      </c>
      <c r="CB95" s="20">
        <f t="shared" si="64"/>
        <v>777.62645970613573</v>
      </c>
      <c r="CC95" s="59">
        <f t="shared" si="65"/>
        <v>1070.9597930394691</v>
      </c>
      <c r="CD95" s="59">
        <f ca="1">AVERAGE(OFFSET($CC$3,0,0,'Données projet'!$E$12+1,1))-AVERAGE(OFFSET($H$3,0,0,'Données projet'!$E$12+1,1))</f>
        <v>304.15237106473313</v>
      </c>
      <c r="CE95" s="59">
        <f t="shared" si="94"/>
        <v>120.85458928724336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255.5374979188561</v>
      </c>
      <c r="T96" s="59">
        <f t="shared" si="88"/>
        <v>343.10418468620901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0.88738120932767439</v>
      </c>
      <c r="AA96" s="21">
        <f>EXP(-LN(2)/25)*AA95+(1-EXP(-LN(2)/25))/(LN(2)/25)*Calculateur!V96*Calculateur!X96*VLOOKUP('Données projet'!$B$9,Paramètres!$A$1:$I$89,3,0)*0.475*44/12</f>
        <v>2.7825587919065695</v>
      </c>
      <c r="AB96" s="21">
        <f>EXP(-LN(2)/2)*AB95+(1-EXP(-LN(2)/2))/(LN(2)/2)*V96*Y96*VLOOKUP('Données projet'!$B$9,Paramètres!$A$1:$I$89,3,0)*0.475*44/12</f>
        <v>5.5734336542500225E-10</v>
      </c>
      <c r="AC96" s="22">
        <f t="shared" si="57"/>
        <v>3.6699400017915873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5.6843418860808015E-13</v>
      </c>
      <c r="AJ96" s="13">
        <f>AI96*VLOOKUP('Données projet'!$B$10,Paramètres!$A$1:$I$89,3,0)*VLOOKUP('Données projet'!$B$10,Paramètres!$A$1:$I$89,5,0)</f>
        <v>3.1036506698001181E-13</v>
      </c>
      <c r="AK96" s="13">
        <f t="shared" si="89"/>
        <v>4.086682523110923E-12</v>
      </c>
      <c r="AL96" s="20">
        <f t="shared" si="58"/>
        <v>7.6581912194083782E-12</v>
      </c>
      <c r="AM96" s="59">
        <f t="shared" si="59"/>
        <v>293.33333333334099</v>
      </c>
      <c r="AN96" s="59">
        <f ca="1">AVERAGE(OFFSET($AM$3,0,0,'Données projet'!$E$10+1,1))-AVERAGE(OFFSET($H$3,0,0,'Données projet'!$E$10+1,1))</f>
        <v>248.1486444660062</v>
      </c>
      <c r="AO96" s="59">
        <f t="shared" si="90"/>
        <v>293.34458072322127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2.4461006818341593</v>
      </c>
      <c r="AV96" s="21">
        <f>EXP(-LN(2)/25)*AV95+(1-EXP(-LN(2)/25))/(LN(2)/25)*Calculateur!AQ96*Calculateur!AS96*VLOOKUP('Données projet'!$B$10,Paramètres!$A$1:$I$89,3,0)*0.475*44/12</f>
        <v>5.9342402384466695</v>
      </c>
      <c r="AW96" s="21">
        <f>EXP(-LN(2)/2)*AW95+(1-EXP(-LN(2)/2))/(LN(2)/2)*AQ96*AT96*VLOOKUP('Données projet'!$B$10,Paramètres!$A$1:$I$89,3,0)*0.475*44/12</f>
        <v>8.2918742078128883E-9</v>
      </c>
      <c r="AX96" s="21">
        <f t="shared" si="60"/>
        <v>8.3803409285727035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210.04871822652808</v>
      </c>
      <c r="BJ96" s="59">
        <f t="shared" si="92"/>
        <v>250.17540614049324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2.0966577272864226</v>
      </c>
      <c r="BQ96" s="21">
        <f>EXP(-LN(2)/25)*BQ95+(1-EXP(-LN(2)/25))/(LN(2)/25)*Calculateur!BL96*Calculateur!BN96*VLOOKUP('Données projet'!$B$11,Paramètres!$A$1:$I$89,3,0)*0.475*44/12</f>
        <v>4.8520889376894702</v>
      </c>
      <c r="BR96" s="21">
        <f>EXP(-LN(2)/2)*BR95+(1-EXP(-LN(2)/2))/(LN(2)/2)*BL96*BO96*VLOOKUP('Données projet'!$B$11,Paramètres!$A$1:$I$89,3,0)*0.475*44/12</f>
        <v>7.0970975268267753E-9</v>
      </c>
      <c r="BS96" s="22">
        <f t="shared" si="63"/>
        <v>6.94874667207299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26.30769230769231</v>
      </c>
      <c r="BY96" s="12">
        <f>IF('Données projet'!$A$114&gt;35,BY95+BX96-CG95,IF(A96&lt;'Données projet'!$A$114,$BV$205^A96,IF(A96='Données projet'!$A$114,'Données projet'!$B$114,BY95+BX96-CG95)))</f>
        <v>779.69230769230705</v>
      </c>
      <c r="BZ96" s="13">
        <f>BY96*VLOOKUP('Données projet'!$B$12,Paramètres!$A$1:$I$89,3,0)*VLOOKUP('Données projet'!$B$12,Paramètres!$A$1:$I$89,5,0)</f>
        <v>375.03199999999975</v>
      </c>
      <c r="CA96" s="13">
        <f t="shared" si="93"/>
        <v>86.695955546046804</v>
      </c>
      <c r="CB96" s="20">
        <f t="shared" si="64"/>
        <v>804.17618924269766</v>
      </c>
      <c r="CC96" s="59">
        <f t="shared" si="65"/>
        <v>1097.509522576031</v>
      </c>
      <c r="CD96" s="59">
        <f ca="1">AVERAGE(OFFSET($CC$3,0,0,'Données projet'!$E$12+1,1))-AVERAGE(OFFSET($H$3,0,0,'Données projet'!$E$12+1,1))</f>
        <v>304.15237106473313</v>
      </c>
      <c r="CE96" s="59">
        <f t="shared" si="94"/>
        <v>120.85458928724336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255.5374979188561</v>
      </c>
      <c r="T97" s="59">
        <f t="shared" si="88"/>
        <v>343.10418468620901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0.86998020506185247</v>
      </c>
      <c r="AA97" s="21">
        <f>EXP(-LN(2)/25)*AA96+(1-EXP(-LN(2)/25))/(LN(2)/25)*Calculateur!V97*Calculateur!X97*VLOOKUP('Données projet'!$B$9,Paramètres!$A$1:$I$89,3,0)*0.475*44/12</f>
        <v>2.7064695754134771</v>
      </c>
      <c r="AB97" s="21">
        <f>EXP(-LN(2)/2)*AB96+(1-EXP(-LN(2)/2))/(LN(2)/2)*V97*Y97*VLOOKUP('Données projet'!$B$9,Paramètres!$A$1:$I$89,3,0)*0.475*44/12</f>
        <v>3.9410127314135107E-10</v>
      </c>
      <c r="AC97" s="22">
        <f t="shared" si="57"/>
        <v>3.5764497808694307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5.6843418860808015E-13</v>
      </c>
      <c r="AJ97" s="13">
        <f>AI97*VLOOKUP('Données projet'!$B$10,Paramètres!$A$1:$I$89,3,0)*VLOOKUP('Données projet'!$B$10,Paramètres!$A$1:$I$89,5,0)</f>
        <v>3.1036506698001181E-13</v>
      </c>
      <c r="AK97" s="13">
        <f t="shared" si="89"/>
        <v>4.086682523110923E-12</v>
      </c>
      <c r="AL97" s="20">
        <f t="shared" si="58"/>
        <v>7.6581912194083782E-12</v>
      </c>
      <c r="AM97" s="59">
        <f t="shared" si="59"/>
        <v>293.33333333334099</v>
      </c>
      <c r="AN97" s="59">
        <f ca="1">AVERAGE(OFFSET($AM$3,0,0,'Données projet'!$E$10+1,1))-AVERAGE(OFFSET($H$3,0,0,'Données projet'!$E$10+1,1))</f>
        <v>248.1486444660062</v>
      </c>
      <c r="AO97" s="59">
        <f t="shared" si="90"/>
        <v>293.34458072322127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2.3981341394374871</v>
      </c>
      <c r="AV97" s="21">
        <f>EXP(-LN(2)/25)*AV96+(1-EXP(-LN(2)/25))/(LN(2)/25)*Calculateur!AQ97*Calculateur!AS97*VLOOKUP('Données projet'!$B$10,Paramètres!$A$1:$I$89,3,0)*0.475*44/12</f>
        <v>5.7719681270582139</v>
      </c>
      <c r="AW97" s="21">
        <f>EXP(-LN(2)/2)*AW96+(1-EXP(-LN(2)/2))/(LN(2)/2)*AQ97*AT97*VLOOKUP('Données projet'!$B$10,Paramètres!$A$1:$I$89,3,0)*0.475*44/12</f>
        <v>5.8632404810903251E-9</v>
      </c>
      <c r="AX97" s="21">
        <f t="shared" si="60"/>
        <v>8.1701022723589407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210.04871822652808</v>
      </c>
      <c r="BJ97" s="59">
        <f t="shared" si="92"/>
        <v>250.17540614049324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2.055543548089275</v>
      </c>
      <c r="BQ97" s="21">
        <f>EXP(-LN(2)/25)*BQ96+(1-EXP(-LN(2)/25))/(LN(2)/25)*Calculateur!BL97*Calculateur!BN97*VLOOKUP('Données projet'!$B$11,Paramètres!$A$1:$I$89,3,0)*0.475*44/12</f>
        <v>4.7194083105280837</v>
      </c>
      <c r="BR97" s="21">
        <f>EXP(-LN(2)/2)*BR96+(1-EXP(-LN(2)/2))/(LN(2)/2)*BL97*BO97*VLOOKUP('Données projet'!$B$11,Paramètres!$A$1:$I$89,3,0)*0.475*44/12</f>
        <v>5.0184057879614881E-9</v>
      </c>
      <c r="BS97" s="22">
        <f t="shared" si="63"/>
        <v>6.7749518636357644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26.30769230769231</v>
      </c>
      <c r="BY97" s="12">
        <f>IF('Données projet'!$A$114&gt;35,BY96+BX97-CG96,IF(A97&lt;'Données projet'!$A$114,$BV$205^A97,IF(A97='Données projet'!$A$114,'Données projet'!$B$114,BY96+BX97-CG96)))</f>
        <v>805.99999999999932</v>
      </c>
      <c r="BZ97" s="13">
        <f>BY97*VLOOKUP('Données projet'!$B$12,Paramètres!$A$1:$I$89,3,0)*VLOOKUP('Données projet'!$B$12,Paramètres!$A$1:$I$89,5,0)</f>
        <v>387.68599999999969</v>
      </c>
      <c r="CA97" s="13">
        <f t="shared" si="93"/>
        <v>89.275665704300522</v>
      </c>
      <c r="CB97" s="20">
        <f t="shared" si="64"/>
        <v>830.70823443498955</v>
      </c>
      <c r="CC97" s="59">
        <f t="shared" si="65"/>
        <v>1124.0415677683229</v>
      </c>
      <c r="CD97" s="59">
        <f ca="1">AVERAGE(OFFSET($CC$3,0,0,'Données projet'!$E$12+1,1))-AVERAGE(OFFSET($H$3,0,0,'Données projet'!$E$12+1,1))</f>
        <v>304.15237106473313</v>
      </c>
      <c r="CE97" s="59">
        <f t="shared" si="94"/>
        <v>120.85458928724336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255.5374979188561</v>
      </c>
      <c r="T98" s="59">
        <f t="shared" si="88"/>
        <v>343.10418468620901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0.85292042387611877</v>
      </c>
      <c r="AA98" s="21">
        <f>EXP(-LN(2)/25)*AA97+(1-EXP(-LN(2)/25))/(LN(2)/25)*Calculateur!V98*Calculateur!X98*VLOOKUP('Données projet'!$B$9,Paramètres!$A$1:$I$89,3,0)*0.475*44/12</f>
        <v>2.6324610225467464</v>
      </c>
      <c r="AB98" s="21">
        <f>EXP(-LN(2)/2)*AB97+(1-EXP(-LN(2)/2))/(LN(2)/2)*V98*Y98*VLOOKUP('Données projet'!$B$9,Paramètres!$A$1:$I$89,3,0)*0.475*44/12</f>
        <v>2.7867168271250113E-10</v>
      </c>
      <c r="AC98" s="22">
        <f t="shared" si="57"/>
        <v>3.4853814467015369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5.6843418860808015E-13</v>
      </c>
      <c r="AJ98" s="13">
        <f>AI98*VLOOKUP('Données projet'!$B$10,Paramètres!$A$1:$I$89,3,0)*VLOOKUP('Données projet'!$B$10,Paramètres!$A$1:$I$89,5,0)</f>
        <v>3.1036506698001181E-13</v>
      </c>
      <c r="AK98" s="13">
        <f t="shared" si="89"/>
        <v>4.086682523110923E-12</v>
      </c>
      <c r="AL98" s="20">
        <f t="shared" si="58"/>
        <v>7.6581912194083782E-12</v>
      </c>
      <c r="AM98" s="59">
        <f t="shared" si="59"/>
        <v>293.33333333334099</v>
      </c>
      <c r="AN98" s="59">
        <f ca="1">AVERAGE(OFFSET($AM$3,0,0,'Données projet'!$E$10+1,1))-AVERAGE(OFFSET($H$3,0,0,'Données projet'!$E$10+1,1))</f>
        <v>248.1486444660062</v>
      </c>
      <c r="AO98" s="59">
        <f t="shared" si="90"/>
        <v>293.34458072322127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2.3511081916805119</v>
      </c>
      <c r="AV98" s="21">
        <f>EXP(-LN(2)/25)*AV97+(1-EXP(-LN(2)/25))/(LN(2)/25)*Calculateur!AQ98*Calculateur!AS98*VLOOKUP('Données projet'!$B$10,Paramètres!$A$1:$I$89,3,0)*0.475*44/12</f>
        <v>5.6141333550891952</v>
      </c>
      <c r="AW98" s="21">
        <f>EXP(-LN(2)/2)*AW97+(1-EXP(-LN(2)/2))/(LN(2)/2)*AQ98*AT98*VLOOKUP('Données projet'!$B$10,Paramètres!$A$1:$I$89,3,0)*0.475*44/12</f>
        <v>4.1459371039064442E-9</v>
      </c>
      <c r="AX98" s="21">
        <f t="shared" si="60"/>
        <v>7.9652415509156445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210.04871822652808</v>
      </c>
      <c r="BJ98" s="59">
        <f t="shared" si="92"/>
        <v>250.17540614049324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2.0152355928690104</v>
      </c>
      <c r="BQ98" s="21">
        <f>EXP(-LN(2)/25)*BQ97+(1-EXP(-LN(2)/25))/(LN(2)/25)*Calculateur!BL98*Calculateur!BN98*VLOOKUP('Données projet'!$B$11,Paramètres!$A$1:$I$89,3,0)*0.475*44/12</f>
        <v>4.5903558420937962</v>
      </c>
      <c r="BR98" s="21">
        <f>EXP(-LN(2)/2)*BR97+(1-EXP(-LN(2)/2))/(LN(2)/2)*BL98*BO98*VLOOKUP('Données projet'!$B$11,Paramètres!$A$1:$I$89,3,0)*0.475*44/12</f>
        <v>3.5485487634133877E-9</v>
      </c>
      <c r="BS98" s="22">
        <f t="shared" si="63"/>
        <v>6.6055914385113557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26.30769230769231</v>
      </c>
      <c r="BY98" s="12">
        <f>IF('Données projet'!$A$114&gt;35,BY97+BX98-CG97,IF(A98&lt;'Données projet'!$A$114,$BV$205^A98,IF(A98='Données projet'!$A$114,'Données projet'!$B$114,BY97+BX98-CG97)))</f>
        <v>832.30769230769158</v>
      </c>
      <c r="BZ98" s="13">
        <f>BY98*VLOOKUP('Données projet'!$B$12,Paramètres!$A$1:$I$89,3,0)*VLOOKUP('Données projet'!$B$12,Paramètres!$A$1:$I$89,5,0)</f>
        <v>400.33999999999963</v>
      </c>
      <c r="CA98" s="13">
        <f t="shared" si="93"/>
        <v>91.845591594548409</v>
      </c>
      <c r="CB98" s="20">
        <f t="shared" si="64"/>
        <v>857.22323869383774</v>
      </c>
      <c r="CC98" s="59">
        <f t="shared" si="65"/>
        <v>1150.5565720271711</v>
      </c>
      <c r="CD98" s="59">
        <f ca="1">AVERAGE(OFFSET($CC$3,0,0,'Données projet'!$E$12+1,1))-AVERAGE(OFFSET($H$3,0,0,'Données projet'!$E$12+1,1))</f>
        <v>304.15237106473313</v>
      </c>
      <c r="CE98" s="59">
        <f t="shared" si="94"/>
        <v>120.85458928724336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255.5374979188561</v>
      </c>
      <c r="T99" s="59">
        <f t="shared" si="88"/>
        <v>343.10418468620901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0.83619517459399817</v>
      </c>
      <c r="AA99" s="21">
        <f>EXP(-LN(2)/25)*AA98+(1-EXP(-LN(2)/25))/(LN(2)/25)*Calculateur!V99*Calculateur!X99*VLOOKUP('Données projet'!$B$9,Paramètres!$A$1:$I$89,3,0)*0.475*44/12</f>
        <v>2.5604762374500969</v>
      </c>
      <c r="AB99" s="21">
        <f>EXP(-LN(2)/2)*AB98+(1-EXP(-LN(2)/2))/(LN(2)/2)*V99*Y99*VLOOKUP('Données projet'!$B$9,Paramètres!$A$1:$I$89,3,0)*0.475*44/12</f>
        <v>1.9705063657067554E-10</v>
      </c>
      <c r="AC99" s="22">
        <f t="shared" si="57"/>
        <v>3.3966714122411461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5.6843418860808015E-13</v>
      </c>
      <c r="AJ99" s="13">
        <f>AI99*VLOOKUP('Données projet'!$B$10,Paramètres!$A$1:$I$89,3,0)*VLOOKUP('Données projet'!$B$10,Paramètres!$A$1:$I$89,5,0)</f>
        <v>3.1036506698001181E-13</v>
      </c>
      <c r="AK99" s="13">
        <f t="shared" si="89"/>
        <v>4.086682523110923E-12</v>
      </c>
      <c r="AL99" s="20">
        <f t="shared" si="58"/>
        <v>7.6581912194083782E-12</v>
      </c>
      <c r="AM99" s="59">
        <f t="shared" si="59"/>
        <v>293.33333333334099</v>
      </c>
      <c r="AN99" s="59">
        <f ca="1">AVERAGE(OFFSET($AM$3,0,0,'Données projet'!$E$10+1,1))-AVERAGE(OFFSET($H$3,0,0,'Données projet'!$E$10+1,1))</f>
        <v>248.1486444660062</v>
      </c>
      <c r="AO99" s="59">
        <f t="shared" si="90"/>
        <v>293.34458072322127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2.3050043940760547</v>
      </c>
      <c r="AV99" s="21">
        <f>EXP(-LN(2)/25)*AV98+(1-EXP(-LN(2)/25))/(LN(2)/25)*Calculateur!AQ99*Calculateur!AS99*VLOOKUP('Données projet'!$B$10,Paramètres!$A$1:$I$89,3,0)*0.475*44/12</f>
        <v>5.4606145832598392</v>
      </c>
      <c r="AW99" s="21">
        <f>EXP(-LN(2)/2)*AW98+(1-EXP(-LN(2)/2))/(LN(2)/2)*AQ99*AT99*VLOOKUP('Données projet'!$B$10,Paramètres!$A$1:$I$89,3,0)*0.475*44/12</f>
        <v>2.9316202405451626E-9</v>
      </c>
      <c r="AX99" s="21">
        <f t="shared" si="60"/>
        <v>7.7656189802675142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210.04871822652808</v>
      </c>
      <c r="BJ99" s="59">
        <f t="shared" si="92"/>
        <v>250.17540614049324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1.97571805206519</v>
      </c>
      <c r="BQ99" s="21">
        <f>EXP(-LN(2)/25)*BQ98+(1-EXP(-LN(2)/25))/(LN(2)/25)*Calculateur!BL99*Calculateur!BN99*VLOOKUP('Données projet'!$B$11,Paramètres!$A$1:$I$89,3,0)*0.475*44/12</f>
        <v>4.464832320195419</v>
      </c>
      <c r="BR99" s="21">
        <f>EXP(-LN(2)/2)*BR98+(1-EXP(-LN(2)/2))/(LN(2)/2)*BL99*BO99*VLOOKUP('Données projet'!$B$11,Paramètres!$A$1:$I$89,3,0)*0.475*44/12</f>
        <v>2.5092028939807441E-9</v>
      </c>
      <c r="BS99" s="22">
        <f t="shared" si="63"/>
        <v>6.4405503747698116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26.30769230769231</v>
      </c>
      <c r="BY99" s="12">
        <f>IF('Données projet'!$A$114&gt;35,BY98+BX99-CG98,IF(A99&lt;'Données projet'!$A$114,$BV$205^A99,IF(A99='Données projet'!$A$114,'Données projet'!$B$114,BY98+BX99-CG98)))</f>
        <v>858.61538461538385</v>
      </c>
      <c r="BZ99" s="13">
        <f>BY99*VLOOKUP('Données projet'!$B$12,Paramètres!$A$1:$I$89,3,0)*VLOOKUP('Données projet'!$B$12,Paramètres!$A$1:$I$89,5,0)</f>
        <v>412.99399999999963</v>
      </c>
      <c r="CA99" s="13">
        <f t="shared" si="93"/>
        <v>94.406077959522023</v>
      </c>
      <c r="CB99" s="20">
        <f t="shared" si="64"/>
        <v>883.72180244616675</v>
      </c>
      <c r="CC99" s="59">
        <f t="shared" si="65"/>
        <v>1177.0551357795</v>
      </c>
      <c r="CD99" s="59">
        <f ca="1">AVERAGE(OFFSET($CC$3,0,0,'Données projet'!$E$12+1,1))-AVERAGE(OFFSET($H$3,0,0,'Données projet'!$E$12+1,1))</f>
        <v>304.15237106473313</v>
      </c>
      <c r="CE99" s="59">
        <f t="shared" si="94"/>
        <v>120.85458928724336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255.5374979188561</v>
      </c>
      <c r="T100" s="59">
        <f t="shared" si="88"/>
        <v>343.10418468620901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0.81979789724890517</v>
      </c>
      <c r="AA100" s="21">
        <f>EXP(-LN(2)/25)*AA99+(1-EXP(-LN(2)/25))/(LN(2)/25)*Calculateur!V100*Calculateur!X100*VLOOKUP('Données projet'!$B$9,Paramètres!$A$1:$I$89,3,0)*0.475*44/12</f>
        <v>2.4904598800874309</v>
      </c>
      <c r="AB100" s="21">
        <f>EXP(-LN(2)/2)*AB99+(1-EXP(-LN(2)/2))/(LN(2)/2)*V100*Y100*VLOOKUP('Données projet'!$B$9,Paramètres!$A$1:$I$89,3,0)*0.475*44/12</f>
        <v>1.3933584135625056E-10</v>
      </c>
      <c r="AC100" s="22">
        <f t="shared" si="57"/>
        <v>3.3102577774756718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5.6843418860808015E-13</v>
      </c>
      <c r="AJ100" s="13">
        <f>AI100*VLOOKUP('Données projet'!$B$10,Paramètres!$A$1:$I$89,3,0)*VLOOKUP('Données projet'!$B$10,Paramètres!$A$1:$I$89,5,0)</f>
        <v>3.1036506698001181E-13</v>
      </c>
      <c r="AK100" s="13">
        <f t="shared" si="89"/>
        <v>4.086682523110923E-12</v>
      </c>
      <c r="AL100" s="20">
        <f t="shared" si="58"/>
        <v>7.6581912194083782E-12</v>
      </c>
      <c r="AM100" s="59">
        <f t="shared" si="59"/>
        <v>293.33333333334099</v>
      </c>
      <c r="AN100" s="59">
        <f ca="1">AVERAGE(OFFSET($AM$3,0,0,'Données projet'!$E$10+1,1))-AVERAGE(OFFSET($H$3,0,0,'Données projet'!$E$10+1,1))</f>
        <v>248.1486444660062</v>
      </c>
      <c r="AO100" s="59">
        <f t="shared" si="90"/>
        <v>293.34458072322127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2.2598046638220812</v>
      </c>
      <c r="AV100" s="21">
        <f>EXP(-LN(2)/25)*AV99+(1-EXP(-LN(2)/25))/(LN(2)/25)*Calculateur!AQ100*Calculateur!AS100*VLOOKUP('Données projet'!$B$10,Paramètres!$A$1:$I$89,3,0)*0.475*44/12</f>
        <v>5.3112937903193584</v>
      </c>
      <c r="AW100" s="21">
        <f>EXP(-LN(2)/2)*AW99+(1-EXP(-LN(2)/2))/(LN(2)/2)*AQ100*AT100*VLOOKUP('Données projet'!$B$10,Paramètres!$A$1:$I$89,3,0)*0.475*44/12</f>
        <v>2.0729685519532221E-9</v>
      </c>
      <c r="AX100" s="21">
        <f t="shared" si="60"/>
        <v>7.5710984562144086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210.04871822652808</v>
      </c>
      <c r="BJ100" s="59">
        <f t="shared" si="92"/>
        <v>250.17540614049324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1.9369754261332128</v>
      </c>
      <c r="BQ100" s="21">
        <f>EXP(-LN(2)/25)*BQ99+(1-EXP(-LN(2)/25))/(LN(2)/25)*Calculateur!BL100*Calculateur!BN100*VLOOKUP('Données projet'!$B$11,Paramètres!$A$1:$I$89,3,0)*0.475*44/12</f>
        <v>4.3427412456043477</v>
      </c>
      <c r="BR100" s="21">
        <f>EXP(-LN(2)/2)*BR99+(1-EXP(-LN(2)/2))/(LN(2)/2)*BL100*BO100*VLOOKUP('Données projet'!$B$11,Paramètres!$A$1:$I$89,3,0)*0.475*44/12</f>
        <v>1.7742743817066938E-9</v>
      </c>
      <c r="BS100" s="22">
        <f t="shared" si="63"/>
        <v>6.2797166735118344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26.30769230769231</v>
      </c>
      <c r="BY100" s="12">
        <f>IF('Données projet'!$A$114&gt;35,BY99+BX100-CG99,IF(A100&lt;'Données projet'!$A$114,$BV$205^A100,IF(A100='Données projet'!$A$114,'Données projet'!$B$114,BY99+BX100-CG99)))</f>
        <v>884.92307692307611</v>
      </c>
      <c r="BZ100" s="13">
        <f>BY100*VLOOKUP('Données projet'!$B$12,Paramètres!$A$1:$I$89,3,0)*VLOOKUP('Données projet'!$B$12,Paramètres!$A$1:$I$89,5,0)</f>
        <v>425.64799999999963</v>
      </c>
      <c r="CA100" s="13">
        <f t="shared" si="93"/>
        <v>96.957447216059961</v>
      </c>
      <c r="CB100" s="20">
        <f t="shared" si="64"/>
        <v>910.20448723463699</v>
      </c>
      <c r="CC100" s="59">
        <f t="shared" si="65"/>
        <v>1203.5378205679704</v>
      </c>
      <c r="CD100" s="59">
        <f ca="1">AVERAGE(OFFSET($CC$3,0,0,'Données projet'!$E$12+1,1))-AVERAGE(OFFSET($H$3,0,0,'Données projet'!$E$12+1,1))</f>
        <v>304.15237106473313</v>
      </c>
      <c r="CE100" s="59">
        <f t="shared" si="94"/>
        <v>120.85458928724336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255.5374979188561</v>
      </c>
      <c r="T101" s="59">
        <f t="shared" si="88"/>
        <v>343.10418468620901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0.80372216051119783</v>
      </c>
      <c r="AA101" s="21">
        <f>EXP(-LN(2)/25)*AA100+(1-EXP(-LN(2)/25))/(LN(2)/25)*Calculateur!V101*Calculateur!X101*VLOOKUP('Données projet'!$B$9,Paramètres!$A$1:$I$89,3,0)*0.475*44/12</f>
        <v>2.4223581236988472</v>
      </c>
      <c r="AB101" s="21">
        <f>EXP(-LN(2)/2)*AB100+(1-EXP(-LN(2)/2))/(LN(2)/2)*V101*Y101*VLOOKUP('Données projet'!$B$9,Paramètres!$A$1:$I$89,3,0)*0.475*44/12</f>
        <v>9.8525318285337768E-11</v>
      </c>
      <c r="AC101" s="22">
        <f t="shared" si="57"/>
        <v>3.2260802843085701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5.6843418860808015E-13</v>
      </c>
      <c r="AJ101" s="13">
        <f>AI101*VLOOKUP('Données projet'!$B$10,Paramètres!$A$1:$I$89,3,0)*VLOOKUP('Données projet'!$B$10,Paramètres!$A$1:$I$89,5,0)</f>
        <v>3.1036506698001181E-13</v>
      </c>
      <c r="AK101" s="13">
        <f t="shared" si="89"/>
        <v>4.086682523110923E-12</v>
      </c>
      <c r="AL101" s="20">
        <f t="shared" si="58"/>
        <v>7.6581912194083782E-12</v>
      </c>
      <c r="AM101" s="59">
        <f t="shared" si="59"/>
        <v>293.33333333334099</v>
      </c>
      <c r="AN101" s="59">
        <f ca="1">AVERAGE(OFFSET($AM$3,0,0,'Données projet'!$E$10+1,1))-AVERAGE(OFFSET($H$3,0,0,'Données projet'!$E$10+1,1))</f>
        <v>248.1486444660062</v>
      </c>
      <c r="AO101" s="59">
        <f t="shared" si="90"/>
        <v>293.34458072322127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2.2154912727092748</v>
      </c>
      <c r="AV101" s="21">
        <f>EXP(-LN(2)/25)*AV100+(1-EXP(-LN(2)/25))/(LN(2)/25)*Calculateur!AQ101*Calculateur!AS101*VLOOKUP('Données projet'!$B$10,Paramètres!$A$1:$I$89,3,0)*0.475*44/12</f>
        <v>5.1660561823142741</v>
      </c>
      <c r="AW101" s="21">
        <f>EXP(-LN(2)/2)*AW100+(1-EXP(-LN(2)/2))/(LN(2)/2)*AQ101*AT101*VLOOKUP('Données projet'!$B$10,Paramètres!$A$1:$I$89,3,0)*0.475*44/12</f>
        <v>1.4658101202725813E-9</v>
      </c>
      <c r="AX101" s="21">
        <f t="shared" si="60"/>
        <v>7.3815474564893586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210.04871822652808</v>
      </c>
      <c r="BJ101" s="59">
        <f t="shared" si="92"/>
        <v>250.17540614049324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1.8989925194650932</v>
      </c>
      <c r="BQ101" s="21">
        <f>EXP(-LN(2)/25)*BQ100+(1-EXP(-LN(2)/25))/(LN(2)/25)*Calculateur!BL101*Calculateur!BN101*VLOOKUP('Données projet'!$B$11,Paramètres!$A$1:$I$89,3,0)*0.475*44/12</f>
        <v>4.2239887578684598</v>
      </c>
      <c r="BR101" s="21">
        <f>EXP(-LN(2)/2)*BR100+(1-EXP(-LN(2)/2))/(LN(2)/2)*BL101*BO101*VLOOKUP('Données projet'!$B$11,Paramètres!$A$1:$I$89,3,0)*0.475*44/12</f>
        <v>1.254601446990372E-9</v>
      </c>
      <c r="BS101" s="22">
        <f t="shared" si="63"/>
        <v>6.1229812785881546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26.30769230769231</v>
      </c>
      <c r="BY101" s="12">
        <f>IF('Données projet'!$A$114&gt;35,BY100+BX101-CG100,IF(A101&lt;'Données projet'!$A$114,$BV$205^A101,IF(A101='Données projet'!$A$114,'Données projet'!$B$114,BY100+BX101-CG100)))</f>
        <v>911.23076923076837</v>
      </c>
      <c r="BZ101" s="13">
        <f>BY101*VLOOKUP('Données projet'!$B$12,Paramètres!$A$1:$I$89,3,0)*VLOOKUP('Données projet'!$B$12,Paramètres!$A$1:$I$89,5,0)</f>
        <v>438.30199999999962</v>
      </c>
      <c r="CA101" s="13">
        <f t="shared" si="93"/>
        <v>99.500001521192502</v>
      </c>
      <c r="CB101" s="20">
        <f t="shared" si="64"/>
        <v>936.67181931607627</v>
      </c>
      <c r="CC101" s="59">
        <f t="shared" si="65"/>
        <v>1230.0051526494096</v>
      </c>
      <c r="CD101" s="59">
        <f ca="1">AVERAGE(OFFSET($CC$3,0,0,'Données projet'!$E$12+1,1))-AVERAGE(OFFSET($H$3,0,0,'Données projet'!$E$12+1,1))</f>
        <v>304.15237106473313</v>
      </c>
      <c r="CE101" s="59">
        <f t="shared" si="94"/>
        <v>120.85458928724336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255.5374979188561</v>
      </c>
      <c r="T102" s="59">
        <f t="shared" si="88"/>
        <v>343.10418468620901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0.78796165916568572</v>
      </c>
      <c r="AA102" s="21">
        <f>EXP(-LN(2)/25)*AA101+(1-EXP(-LN(2)/25))/(LN(2)/25)*Calculateur!V102*Calculateur!X102*VLOOKUP('Données projet'!$B$9,Paramètres!$A$1:$I$89,3,0)*0.475*44/12</f>
        <v>2.3561186134200249</v>
      </c>
      <c r="AB102" s="21">
        <f>EXP(-LN(2)/2)*AB101+(1-EXP(-LN(2)/2))/(LN(2)/2)*V102*Y102*VLOOKUP('Données projet'!$B$9,Paramètres!$A$1:$I$89,3,0)*0.475*44/12</f>
        <v>6.9667920678125282E-11</v>
      </c>
      <c r="AC102" s="22">
        <f t="shared" si="57"/>
        <v>3.1440802726553785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5.6843418860808015E-13</v>
      </c>
      <c r="AJ102" s="13">
        <f>AI102*VLOOKUP('Données projet'!$B$10,Paramètres!$A$1:$I$89,3,0)*VLOOKUP('Données projet'!$B$10,Paramètres!$A$1:$I$89,5,0)</f>
        <v>3.1036506698001181E-13</v>
      </c>
      <c r="AK102" s="13">
        <f t="shared" si="89"/>
        <v>4.086682523110923E-12</v>
      </c>
      <c r="AL102" s="20">
        <f t="shared" si="58"/>
        <v>7.6581912194083782E-12</v>
      </c>
      <c r="AM102" s="59">
        <f t="shared" si="59"/>
        <v>293.33333333334099</v>
      </c>
      <c r="AN102" s="59">
        <f ca="1">AVERAGE(OFFSET($AM$3,0,0,'Données projet'!$E$10+1,1))-AVERAGE(OFFSET($H$3,0,0,'Données projet'!$E$10+1,1))</f>
        <v>248.1486444660062</v>
      </c>
      <c r="AO102" s="59">
        <f t="shared" si="90"/>
        <v>293.34458072322127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2.1720468401676909</v>
      </c>
      <c r="AV102" s="21">
        <f>EXP(-LN(2)/25)*AV101+(1-EXP(-LN(2)/25))/(LN(2)/25)*Calculateur!AQ102*Calculateur!AS102*VLOOKUP('Données projet'!$B$10,Paramètres!$A$1:$I$89,3,0)*0.475*44/12</f>
        <v>5.0247901043378027</v>
      </c>
      <c r="AW102" s="21">
        <f>EXP(-LN(2)/2)*AW101+(1-EXP(-LN(2)/2))/(LN(2)/2)*AQ102*AT102*VLOOKUP('Données projet'!$B$10,Paramètres!$A$1:$I$89,3,0)*0.475*44/12</f>
        <v>1.036484275976611E-9</v>
      </c>
      <c r="AX102" s="21">
        <f t="shared" si="60"/>
        <v>7.1968369455419783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210.04871822652808</v>
      </c>
      <c r="BJ102" s="59">
        <f t="shared" si="92"/>
        <v>250.17540614049324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1.8617544344294499</v>
      </c>
      <c r="BQ102" s="21">
        <f>EXP(-LN(2)/25)*BQ101+(1-EXP(-LN(2)/25))/(LN(2)/25)*Calculateur!BL102*Calculateur!BN102*VLOOKUP('Données projet'!$B$11,Paramètres!$A$1:$I$89,3,0)*0.475*44/12</f>
        <v>4.1084835631546319</v>
      </c>
      <c r="BR102" s="21">
        <f>EXP(-LN(2)/2)*BR101+(1-EXP(-LN(2)/2))/(LN(2)/2)*BL102*BO102*VLOOKUP('Données projet'!$B$11,Paramètres!$A$1:$I$89,3,0)*0.475*44/12</f>
        <v>8.8713719085334691E-10</v>
      </c>
      <c r="BS102" s="22">
        <f t="shared" si="63"/>
        <v>5.9702379984712195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26.30769230769231</v>
      </c>
      <c r="BY102" s="12">
        <f>IF('Données projet'!$A$114&gt;35,BY101+BX102-CG101,IF(A102&lt;'Données projet'!$A$114,$BV$205^A102,IF(A102='Données projet'!$A$114,'Données projet'!$B$114,BY101+BX102-CG101)))</f>
        <v>937.53846153846064</v>
      </c>
      <c r="BZ102" s="13">
        <f>BY102*VLOOKUP('Données projet'!$B$12,Paramètres!$A$1:$I$89,3,0)*VLOOKUP('Données projet'!$B$12,Paramètres!$A$1:$I$89,5,0)</f>
        <v>450.95599999999956</v>
      </c>
      <c r="CA102" s="13">
        <f t="shared" si="93"/>
        <v>102.03402459292501</v>
      </c>
      <c r="CB102" s="20">
        <f t="shared" si="64"/>
        <v>963.12429283267693</v>
      </c>
      <c r="CC102" s="59">
        <f t="shared" si="65"/>
        <v>1256.4576261660102</v>
      </c>
      <c r="CD102" s="59">
        <f ca="1">AVERAGE(OFFSET($CC$3,0,0,'Données projet'!$E$12+1,1))-AVERAGE(OFFSET($H$3,0,0,'Données projet'!$E$12+1,1))</f>
        <v>304.15237106473313</v>
      </c>
      <c r="CE102" s="59">
        <f t="shared" si="94"/>
        <v>120.85458928724336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255.5374979188561</v>
      </c>
      <c r="T103" s="59">
        <f t="shared" si="88"/>
        <v>343.10418468620901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0.77251021163860245</v>
      </c>
      <c r="AA103" s="21">
        <f>EXP(-LN(2)/25)*AA102+(1-EXP(-LN(2)/25))/(LN(2)/25)*Calculateur!V103*Calculateur!X103*VLOOKUP('Données projet'!$B$9,Paramètres!$A$1:$I$89,3,0)*0.475*44/12</f>
        <v>2.2916904260331616</v>
      </c>
      <c r="AB103" s="21">
        <f>EXP(-LN(2)/2)*AB102+(1-EXP(-LN(2)/2))/(LN(2)/2)*V103*Y103*VLOOKUP('Données projet'!$B$9,Paramètres!$A$1:$I$89,3,0)*0.475*44/12</f>
        <v>4.9262659142668884E-11</v>
      </c>
      <c r="AC103" s="22">
        <f t="shared" si="57"/>
        <v>3.0642006377210267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5.6843418860808015E-13</v>
      </c>
      <c r="AJ103" s="13">
        <f>AI103*VLOOKUP('Données projet'!$B$10,Paramètres!$A$1:$I$89,3,0)*VLOOKUP('Données projet'!$B$10,Paramètres!$A$1:$I$89,5,0)</f>
        <v>3.1036506698001181E-13</v>
      </c>
      <c r="AK103" s="13">
        <f t="shared" si="89"/>
        <v>4.086682523110923E-12</v>
      </c>
      <c r="AL103" s="20">
        <f t="shared" si="58"/>
        <v>7.6581912194083782E-12</v>
      </c>
      <c r="AM103" s="59">
        <f t="shared" si="59"/>
        <v>293.33333333334099</v>
      </c>
      <c r="AN103" s="59">
        <f ca="1">AVERAGE(OFFSET($AM$3,0,0,'Données projet'!$E$10+1,1))-AVERAGE(OFFSET($H$3,0,0,'Données projet'!$E$10+1,1))</f>
        <v>248.1486444660062</v>
      </c>
      <c r="AO103" s="59">
        <f t="shared" si="90"/>
        <v>293.34458072322127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2.1294543264497601</v>
      </c>
      <c r="AV103" s="21">
        <f>EXP(-LN(2)/25)*AV102+(1-EXP(-LN(2)/25))/(LN(2)/25)*Calculateur!AQ103*Calculateur!AS103*VLOOKUP('Données projet'!$B$10,Paramètres!$A$1:$I$89,3,0)*0.475*44/12</f>
        <v>4.8873869546924587</v>
      </c>
      <c r="AW103" s="21">
        <f>EXP(-LN(2)/2)*AW102+(1-EXP(-LN(2)/2))/(LN(2)/2)*AQ103*AT103*VLOOKUP('Données projet'!$B$10,Paramètres!$A$1:$I$89,3,0)*0.475*44/12</f>
        <v>7.3290506013629064E-10</v>
      </c>
      <c r="AX103" s="21">
        <f t="shared" si="60"/>
        <v>7.0168412818751236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210.04871822652808</v>
      </c>
      <c r="BJ103" s="59">
        <f t="shared" si="92"/>
        <v>250.17540614049324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1.8252465655283663</v>
      </c>
      <c r="BQ103" s="21">
        <f>EXP(-LN(2)/25)*BQ102+(1-EXP(-LN(2)/25))/(LN(2)/25)*Calculateur!BL103*Calculateur!BN103*VLOOKUP('Données projet'!$B$11,Paramètres!$A$1:$I$89,3,0)*0.475*44/12</f>
        <v>3.9961368640644079</v>
      </c>
      <c r="BR103" s="21">
        <f>EXP(-LN(2)/2)*BR102+(1-EXP(-LN(2)/2))/(LN(2)/2)*BL103*BO103*VLOOKUP('Données projet'!$B$11,Paramètres!$A$1:$I$89,3,0)*0.475*44/12</f>
        <v>6.2730072349518602E-10</v>
      </c>
      <c r="BS103" s="22">
        <f t="shared" si="63"/>
        <v>5.8213834302200755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963.84615384615381</v>
      </c>
      <c r="BW103" s="12">
        <f>VLOOKUP(A103,'Données projet'!$A$113:$I$133,9,0)</f>
        <v>26.30769230769231</v>
      </c>
      <c r="BX103" s="12">
        <f t="array" ref="BX103">INDEX(BW:BW,MIN(IF(ISNUMBER(BW103:BW299),ROW(BW103:BW299),"")))</f>
        <v>26.30769230769231</v>
      </c>
      <c r="BY103" s="12">
        <f>IF('Données projet'!$A$114&gt;35,BY102+BX103-CG102,IF(A103&lt;'Données projet'!$A$114,$BV$205^A103,IF(A103='Données projet'!$A$114,'Données projet'!$B$114,BY102+BX103-CG102)))</f>
        <v>963.8461538461529</v>
      </c>
      <c r="BZ103" s="13">
        <f>BY103*VLOOKUP('Données projet'!$B$12,Paramètres!$A$1:$I$89,3,0)*VLOOKUP('Données projet'!$B$12,Paramètres!$A$1:$I$89,5,0)</f>
        <v>463.60999999999956</v>
      </c>
      <c r="CA103" s="13">
        <f t="shared" si="93"/>
        <v>104.55978332090849</v>
      </c>
      <c r="CB103" s="20">
        <f t="shared" si="64"/>
        <v>989.56237261724812</v>
      </c>
      <c r="CC103" s="59">
        <f t="shared" si="65"/>
        <v>1282.8957059505815</v>
      </c>
      <c r="CD103" s="59">
        <f ca="1">AVERAGE(OFFSET($CC$3,0,0,'Données projet'!$E$12+1,1))-AVERAGE(OFFSET($H$3,0,0,'Données projet'!$E$12+1,1))</f>
        <v>304.15237106473313</v>
      </c>
      <c r="CE103" s="59">
        <f t="shared" si="94"/>
        <v>120.85458928724336</v>
      </c>
      <c r="CF103" s="15">
        <f>IF(ISNA(VLOOKUP(A103,'Données projet'!$A$113:$I$133,3,0)),0,VLOOKUP(A103,'Données projet'!$A$113:$I$133,3,0))</f>
        <v>7</v>
      </c>
      <c r="CG103" s="15">
        <f>IF(ISNA(VLOOKUP(A103,'Données projet'!$A$113:$I$133,4,0)),0,VLOOKUP(A103,'Données projet'!$A$113:$I$133,4,0))</f>
        <v>17.692307692307693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255.5374979188561</v>
      </c>
      <c r="T104" s="59">
        <f t="shared" si="88"/>
        <v>343.10418468620901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0.75736175757307289</v>
      </c>
      <c r="AA104" s="21">
        <f>EXP(-LN(2)/25)*AA103+(1-EXP(-LN(2)/25))/(LN(2)/25)*Calculateur!V104*Calculateur!X104*VLOOKUP('Données projet'!$B$9,Paramètres!$A$1:$I$89,3,0)*0.475*44/12</f>
        <v>2.2290240308185232</v>
      </c>
      <c r="AB104" s="21">
        <f>EXP(-LN(2)/2)*AB103+(1-EXP(-LN(2)/2))/(LN(2)/2)*V104*Y104*VLOOKUP('Données projet'!$B$9,Paramètres!$A$1:$I$89,3,0)*0.475*44/12</f>
        <v>3.4833960339062641E-11</v>
      </c>
      <c r="AC104" s="22">
        <f t="shared" si="57"/>
        <v>2.9863857884264298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5.6843418860808015E-13</v>
      </c>
      <c r="AJ104" s="13">
        <f>AI104*VLOOKUP('Données projet'!$B$10,Paramètres!$A$1:$I$89,3,0)*VLOOKUP('Données projet'!$B$10,Paramètres!$A$1:$I$89,5,0)</f>
        <v>3.1036506698001181E-13</v>
      </c>
      <c r="AK104" s="13">
        <f t="shared" si="89"/>
        <v>4.086682523110923E-12</v>
      </c>
      <c r="AL104" s="20">
        <f t="shared" si="58"/>
        <v>7.6581912194083782E-12</v>
      </c>
      <c r="AM104" s="59">
        <f t="shared" si="59"/>
        <v>293.33333333334099</v>
      </c>
      <c r="AN104" s="59">
        <f ca="1">AVERAGE(OFFSET($AM$3,0,0,'Données projet'!$E$10+1,1))-AVERAGE(OFFSET($H$3,0,0,'Données projet'!$E$10+1,1))</f>
        <v>248.1486444660062</v>
      </c>
      <c r="AO104" s="59">
        <f t="shared" si="90"/>
        <v>293.34458072322127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2.0876970259469698</v>
      </c>
      <c r="AV104" s="21">
        <f>EXP(-LN(2)/25)*AV103+(1-EXP(-LN(2)/25))/(LN(2)/25)*Calculateur!AQ104*Calculateur!AS104*VLOOKUP('Données projet'!$B$10,Paramètres!$A$1:$I$89,3,0)*0.475*44/12</f>
        <v>4.7537411013998838</v>
      </c>
      <c r="AW104" s="21">
        <f>EXP(-LN(2)/2)*AW103+(1-EXP(-LN(2)/2))/(LN(2)/2)*AQ104*AT104*VLOOKUP('Données projet'!$B$10,Paramètres!$A$1:$I$89,3,0)*0.475*44/12</f>
        <v>5.1824213798830552E-10</v>
      </c>
      <c r="AX104" s="21">
        <f t="shared" si="60"/>
        <v>6.8414381278650955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210.04871822652808</v>
      </c>
      <c r="BJ104" s="59">
        <f t="shared" si="92"/>
        <v>250.17540614049324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1.7894545936688318</v>
      </c>
      <c r="BQ104" s="21">
        <f>EXP(-LN(2)/25)*BQ103+(1-EXP(-LN(2)/25))/(LN(2)/25)*Calculateur!BL104*Calculateur!BN104*VLOOKUP('Données projet'!$B$11,Paramètres!$A$1:$I$89,3,0)*0.475*44/12</f>
        <v>3.8868622913688622</v>
      </c>
      <c r="BR104" s="21">
        <f>EXP(-LN(2)/2)*BR103+(1-EXP(-LN(2)/2))/(LN(2)/2)*BL104*BO104*VLOOKUP('Données projet'!$B$11,Paramètres!$A$1:$I$89,3,0)*0.475*44/12</f>
        <v>4.4356859542667346E-10</v>
      </c>
      <c r="BS104" s="22">
        <f t="shared" si="63"/>
        <v>5.6763168854812625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34.000000000000014</v>
      </c>
      <c r="BY104" s="12">
        <f>IF('Données projet'!$A$114&gt;35,BY103+BX104-CG103,IF(A104&lt;'Données projet'!$A$114,$BV$205^A104,IF(A104='Données projet'!$A$114,'Données projet'!$B$114,BY103+BX104-CG103)))</f>
        <v>980.15384615384517</v>
      </c>
      <c r="BZ104" s="13">
        <f>BY104*VLOOKUP('Données projet'!$B$12,Paramètres!$A$1:$I$89,3,0)*VLOOKUP('Données projet'!$B$12,Paramètres!$A$1:$I$89,5,0)</f>
        <v>471.4539999999995</v>
      </c>
      <c r="CA104" s="13">
        <f t="shared" si="93"/>
        <v>106.12141992048088</v>
      </c>
      <c r="CB104" s="20">
        <f t="shared" si="64"/>
        <v>1005.9438563615032</v>
      </c>
      <c r="CC104" s="59">
        <f t="shared" si="65"/>
        <v>1299.2771896948366</v>
      </c>
      <c r="CD104" s="59">
        <f ca="1">AVERAGE(OFFSET($CC$3,0,0,'Données projet'!$E$12+1,1))-AVERAGE(OFFSET($H$3,0,0,'Données projet'!$E$12+1,1))</f>
        <v>304.15237106473313</v>
      </c>
      <c r="CE104" s="59">
        <f t="shared" si="94"/>
        <v>120.85458928724336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255.5374979188561</v>
      </c>
      <c r="T105" s="59">
        <f t="shared" si="88"/>
        <v>343.10418468620901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0.74251035545212374</v>
      </c>
      <c r="AA105" s="21">
        <f>EXP(-LN(2)/25)*AA104+(1-EXP(-LN(2)/25))/(LN(2)/25)*Calculateur!V105*Calculateur!X105*VLOOKUP('Données projet'!$B$9,Paramètres!$A$1:$I$89,3,0)*0.475*44/12</f>
        <v>2.1680712514765115</v>
      </c>
      <c r="AB105" s="21">
        <f>EXP(-LN(2)/2)*AB104+(1-EXP(-LN(2)/2))/(LN(2)/2)*V105*Y105*VLOOKUP('Données projet'!$B$9,Paramètres!$A$1:$I$89,3,0)*0.475*44/12</f>
        <v>2.4631329571334442E-11</v>
      </c>
      <c r="AC105" s="22">
        <f t="shared" si="57"/>
        <v>2.9105816069532664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5.6843418860808015E-13</v>
      </c>
      <c r="AJ105" s="13">
        <f>AI105*VLOOKUP('Données projet'!$B$10,Paramètres!$A$1:$I$89,3,0)*VLOOKUP('Données projet'!$B$10,Paramètres!$A$1:$I$89,5,0)</f>
        <v>3.1036506698001181E-13</v>
      </c>
      <c r="AK105" s="13">
        <f t="shared" si="89"/>
        <v>4.086682523110923E-12</v>
      </c>
      <c r="AL105" s="20">
        <f t="shared" si="58"/>
        <v>7.6581912194083782E-12</v>
      </c>
      <c r="AM105" s="59">
        <f t="shared" si="59"/>
        <v>293.33333333334099</v>
      </c>
      <c r="AN105" s="59">
        <f ca="1">AVERAGE(OFFSET($AM$3,0,0,'Données projet'!$E$10+1,1))-AVERAGE(OFFSET($H$3,0,0,'Données projet'!$E$10+1,1))</f>
        <v>248.1486444660062</v>
      </c>
      <c r="AO105" s="59">
        <f t="shared" si="90"/>
        <v>293.34458072322127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2.0467585606376009</v>
      </c>
      <c r="AV105" s="21">
        <f>EXP(-LN(2)/25)*AV104+(1-EXP(-LN(2)/25))/(LN(2)/25)*Calculateur!AQ105*Calculateur!AS105*VLOOKUP('Données projet'!$B$10,Paramètres!$A$1:$I$89,3,0)*0.475*44/12</f>
        <v>4.6237498009937239</v>
      </c>
      <c r="AW105" s="21">
        <f>EXP(-LN(2)/2)*AW104+(1-EXP(-LN(2)/2))/(LN(2)/2)*AQ105*AT105*VLOOKUP('Données projet'!$B$10,Paramètres!$A$1:$I$89,3,0)*0.475*44/12</f>
        <v>3.6645253006814532E-10</v>
      </c>
      <c r="AX105" s="21">
        <f t="shared" si="60"/>
        <v>6.6705083619977774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210.04871822652808</v>
      </c>
      <c r="BJ105" s="59">
        <f t="shared" si="92"/>
        <v>250.17540614049324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1.7543644805465155</v>
      </c>
      <c r="BQ105" s="21">
        <f>EXP(-LN(2)/25)*BQ104+(1-EXP(-LN(2)/25))/(LN(2)/25)*Calculateur!BL105*Calculateur!BN105*VLOOKUP('Données projet'!$B$11,Paramètres!$A$1:$I$89,3,0)*0.475*44/12</f>
        <v>3.7805758376101761</v>
      </c>
      <c r="BR105" s="21">
        <f>EXP(-LN(2)/2)*BR104+(1-EXP(-LN(2)/2))/(LN(2)/2)*BL105*BO105*VLOOKUP('Données projet'!$B$11,Paramètres!$A$1:$I$89,3,0)*0.475*44/12</f>
        <v>3.1365036174759301E-10</v>
      </c>
      <c r="BS105" s="22">
        <f t="shared" si="63"/>
        <v>5.5349403184703423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34.000000000000014</v>
      </c>
      <c r="BY105" s="12">
        <f>IF('Données projet'!$A$114&gt;35,BY104+BX105-CG104,IF(A105&lt;'Données projet'!$A$114,$BV$205^A105,IF(A105='Données projet'!$A$114,'Données projet'!$B$114,BY104+BX105-CG104)))</f>
        <v>1014.1538461538452</v>
      </c>
      <c r="BZ105" s="13">
        <f>BY105*VLOOKUP('Données projet'!$B$12,Paramètres!$A$1:$I$89,3,0)*VLOOKUP('Données projet'!$B$12,Paramètres!$A$1:$I$89,5,0)</f>
        <v>487.80799999999954</v>
      </c>
      <c r="CA105" s="13">
        <f t="shared" si="93"/>
        <v>109.36763205092639</v>
      </c>
      <c r="CB105" s="20">
        <f t="shared" si="64"/>
        <v>1040.080892488696</v>
      </c>
      <c r="CC105" s="59">
        <f t="shared" si="65"/>
        <v>1333.4142258220293</v>
      </c>
      <c r="CD105" s="59">
        <f ca="1">AVERAGE(OFFSET($CC$3,0,0,'Données projet'!$E$12+1,1))-AVERAGE(OFFSET($H$3,0,0,'Données projet'!$E$12+1,1))</f>
        <v>304.15237106473313</v>
      </c>
      <c r="CE105" s="59">
        <f t="shared" si="94"/>
        <v>120.85458928724336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255.5374979188561</v>
      </c>
      <c r="T106" s="59">
        <f t="shared" si="88"/>
        <v>343.10418468620901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0.7279501802683056</v>
      </c>
      <c r="AA106" s="21">
        <f>EXP(-LN(2)/25)*AA105+(1-EXP(-LN(2)/25))/(LN(2)/25)*Calculateur!V106*Calculateur!X106*VLOOKUP('Données projet'!$B$9,Paramètres!$A$1:$I$89,3,0)*0.475*44/12</f>
        <v>2.1087852290909743</v>
      </c>
      <c r="AB106" s="21">
        <f>EXP(-LN(2)/2)*AB105+(1-EXP(-LN(2)/2))/(LN(2)/2)*V106*Y106*VLOOKUP('Données projet'!$B$9,Paramètres!$A$1:$I$89,3,0)*0.475*44/12</f>
        <v>1.741698016953132E-11</v>
      </c>
      <c r="AC106" s="22">
        <f t="shared" si="57"/>
        <v>2.836735409376697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5.6843418860808015E-13</v>
      </c>
      <c r="AJ106" s="13">
        <f>AI106*VLOOKUP('Données projet'!$B$10,Paramètres!$A$1:$I$89,3,0)*VLOOKUP('Données projet'!$B$10,Paramètres!$A$1:$I$89,5,0)</f>
        <v>3.1036506698001181E-13</v>
      </c>
      <c r="AK106" s="13">
        <f t="shared" si="89"/>
        <v>4.086682523110923E-12</v>
      </c>
      <c r="AL106" s="20">
        <f t="shared" si="58"/>
        <v>7.6581912194083782E-12</v>
      </c>
      <c r="AM106" s="59">
        <f t="shared" si="59"/>
        <v>293.33333333334099</v>
      </c>
      <c r="AN106" s="59">
        <f ca="1">AVERAGE(OFFSET($AM$3,0,0,'Données projet'!$E$10+1,1))-AVERAGE(OFFSET($H$3,0,0,'Données projet'!$E$10+1,1))</f>
        <v>248.1486444660062</v>
      </c>
      <c r="AO106" s="59">
        <f t="shared" si="90"/>
        <v>293.34458072322127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2.0066228736629501</v>
      </c>
      <c r="AV106" s="21">
        <f>EXP(-LN(2)/25)*AV105+(1-EXP(-LN(2)/25))/(LN(2)/25)*Calculateur!AQ106*Calculateur!AS106*VLOOKUP('Données projet'!$B$10,Paramètres!$A$1:$I$89,3,0)*0.475*44/12</f>
        <v>4.497313119533116</v>
      </c>
      <c r="AW106" s="21">
        <f>EXP(-LN(2)/2)*AW105+(1-EXP(-LN(2)/2))/(LN(2)/2)*AQ106*AT106*VLOOKUP('Données projet'!$B$10,Paramètres!$A$1:$I$89,3,0)*0.475*44/12</f>
        <v>2.5912106899415276E-10</v>
      </c>
      <c r="AX106" s="21">
        <f t="shared" si="60"/>
        <v>6.5039359934551868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210.04871822652808</v>
      </c>
      <c r="BJ106" s="59">
        <f t="shared" si="92"/>
        <v>250.17540614049324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1.7199624631396722</v>
      </c>
      <c r="BQ106" s="21">
        <f>EXP(-LN(2)/25)*BQ105+(1-EXP(-LN(2)/25))/(LN(2)/25)*Calculateur!BL106*Calculateur!BN106*VLOOKUP('Données projet'!$B$11,Paramètres!$A$1:$I$89,3,0)*0.475*44/12</f>
        <v>3.6771957925188832</v>
      </c>
      <c r="BR106" s="21">
        <f>EXP(-LN(2)/2)*BR105+(1-EXP(-LN(2)/2))/(LN(2)/2)*BL106*BO106*VLOOKUP('Données projet'!$B$11,Paramètres!$A$1:$I$89,3,0)*0.475*44/12</f>
        <v>2.2178429771333673E-10</v>
      </c>
      <c r="BS106" s="22">
        <f t="shared" si="63"/>
        <v>5.3971582558803393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34.000000000000014</v>
      </c>
      <c r="BY106" s="12">
        <f>IF('Données projet'!$A$114&gt;35,BY105+BX106-CG105,IF(A106&lt;'Données projet'!$A$114,$BV$205^A106,IF(A106='Données projet'!$A$114,'Données projet'!$B$114,BY105+BX106-CG105)))</f>
        <v>1048.1538461538453</v>
      </c>
      <c r="BZ106" s="13">
        <f>BY106*VLOOKUP('Données projet'!$B$12,Paramètres!$A$1:$I$89,3,0)*VLOOKUP('Données projet'!$B$12,Paramètres!$A$1:$I$89,5,0)</f>
        <v>504.16199999999964</v>
      </c>
      <c r="CA106" s="13">
        <f t="shared" si="93"/>
        <v>112.6011984546378</v>
      </c>
      <c r="CB106" s="20">
        <f t="shared" si="64"/>
        <v>1074.1959039751603</v>
      </c>
      <c r="CC106" s="59">
        <f t="shared" si="65"/>
        <v>1367.5292373084935</v>
      </c>
      <c r="CD106" s="59">
        <f ca="1">AVERAGE(OFFSET($CC$3,0,0,'Données projet'!$E$12+1,1))-AVERAGE(OFFSET($H$3,0,0,'Données projet'!$E$12+1,1))</f>
        <v>304.15237106473313</v>
      </c>
      <c r="CE106" s="59">
        <f t="shared" si="94"/>
        <v>120.85458928724336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255.5374979188561</v>
      </c>
      <c r="T107" s="59">
        <f t="shared" si="88"/>
        <v>343.10418468620901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0.71367552123901212</v>
      </c>
      <c r="AA107" s="21">
        <f>EXP(-LN(2)/25)*AA106+(1-EXP(-LN(2)/25))/(LN(2)/25)*Calculateur!V107*Calculateur!X107*VLOOKUP('Données projet'!$B$9,Paramètres!$A$1:$I$89,3,0)*0.475*44/12</f>
        <v>2.051120386105286</v>
      </c>
      <c r="AB107" s="21">
        <f>EXP(-LN(2)/2)*AB106+(1-EXP(-LN(2)/2))/(LN(2)/2)*V107*Y107*VLOOKUP('Données projet'!$B$9,Paramètres!$A$1:$I$89,3,0)*0.475*44/12</f>
        <v>1.2315664785667221E-11</v>
      </c>
      <c r="AC107" s="22">
        <f t="shared" si="57"/>
        <v>2.7647959073566137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5.6843418860808015E-13</v>
      </c>
      <c r="AJ107" s="13">
        <f>AI107*VLOOKUP('Données projet'!$B$10,Paramètres!$A$1:$I$89,3,0)*VLOOKUP('Données projet'!$B$10,Paramètres!$A$1:$I$89,5,0)</f>
        <v>3.1036506698001181E-13</v>
      </c>
      <c r="AK107" s="13">
        <f t="shared" si="89"/>
        <v>4.086682523110923E-12</v>
      </c>
      <c r="AL107" s="20">
        <f t="shared" si="58"/>
        <v>7.6581912194083782E-12</v>
      </c>
      <c r="AM107" s="59">
        <f t="shared" si="59"/>
        <v>293.33333333334099</v>
      </c>
      <c r="AN107" s="59">
        <f ca="1">AVERAGE(OFFSET($AM$3,0,0,'Données projet'!$E$10+1,1))-AVERAGE(OFFSET($H$3,0,0,'Données projet'!$E$10+1,1))</f>
        <v>248.1486444660062</v>
      </c>
      <c r="AO107" s="59">
        <f t="shared" si="90"/>
        <v>293.34458072322127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1.9672742230295206</v>
      </c>
      <c r="AV107" s="21">
        <f>EXP(-LN(2)/25)*AV106+(1-EXP(-LN(2)/25))/(LN(2)/25)*Calculateur!AQ107*Calculateur!AS107*VLOOKUP('Données projet'!$B$10,Paramètres!$A$1:$I$89,3,0)*0.475*44/12</f>
        <v>4.3743338557760643</v>
      </c>
      <c r="AW107" s="21">
        <f>EXP(-LN(2)/2)*AW106+(1-EXP(-LN(2)/2))/(LN(2)/2)*AQ107*AT107*VLOOKUP('Données projet'!$B$10,Paramètres!$A$1:$I$89,3,0)*0.475*44/12</f>
        <v>1.8322626503407266E-10</v>
      </c>
      <c r="AX107" s="21">
        <f t="shared" si="60"/>
        <v>6.341608078988811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210.04871822652808</v>
      </c>
      <c r="BJ107" s="59">
        <f t="shared" si="92"/>
        <v>250.17540614049324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1.6862350483110182</v>
      </c>
      <c r="BQ107" s="21">
        <f>EXP(-LN(2)/25)*BQ106+(1-EXP(-LN(2)/25))/(LN(2)/25)*Calculateur!BL107*Calculateur!BN107*VLOOKUP('Données projet'!$B$11,Paramètres!$A$1:$I$89,3,0)*0.475*44/12</f>
        <v>3.5766426801971321</v>
      </c>
      <c r="BR107" s="21">
        <f>EXP(-LN(2)/2)*BR106+(1-EXP(-LN(2)/2))/(LN(2)/2)*BL107*BO107*VLOOKUP('Données projet'!$B$11,Paramètres!$A$1:$I$89,3,0)*0.475*44/12</f>
        <v>1.568251808737965E-10</v>
      </c>
      <c r="BS107" s="22">
        <f t="shared" si="63"/>
        <v>5.2628777286649751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34.000000000000014</v>
      </c>
      <c r="BY107" s="12">
        <f>IF('Données projet'!$A$114&gt;35,BY106+BX107-CG106,IF(A107&lt;'Données projet'!$A$114,$BV$205^A107,IF(A107='Données projet'!$A$114,'Données projet'!$B$114,BY106+BX107-CG106)))</f>
        <v>1082.1538461538453</v>
      </c>
      <c r="BZ107" s="13">
        <f>BY107*VLOOKUP('Données projet'!$B$12,Paramètres!$A$1:$I$89,3,0)*VLOOKUP('Données projet'!$B$12,Paramètres!$A$1:$I$89,5,0)</f>
        <v>520.51599999999962</v>
      </c>
      <c r="CA107" s="13">
        <f t="shared" si="93"/>
        <v>115.82257638035857</v>
      </c>
      <c r="CB107" s="20">
        <f t="shared" si="64"/>
        <v>1108.2896871957905</v>
      </c>
      <c r="CC107" s="59">
        <f t="shared" si="65"/>
        <v>1401.6230205291238</v>
      </c>
      <c r="CD107" s="59">
        <f ca="1">AVERAGE(OFFSET($CC$3,0,0,'Données projet'!$E$12+1,1))-AVERAGE(OFFSET($H$3,0,0,'Données projet'!$E$12+1,1))</f>
        <v>304.15237106473313</v>
      </c>
      <c r="CE107" s="59">
        <f t="shared" si="94"/>
        <v>120.85458928724336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255.5374979188561</v>
      </c>
      <c r="T108" s="59">
        <f t="shared" si="88"/>
        <v>343.10418468620901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0.6996807795666008</v>
      </c>
      <c r="AA108" s="21">
        <f>EXP(-LN(2)/25)*AA107+(1-EXP(-LN(2)/25))/(LN(2)/25)*Calculateur!V108*Calculateur!X108*VLOOKUP('Données projet'!$B$9,Paramètres!$A$1:$I$89,3,0)*0.475*44/12</f>
        <v>1.9950323912835037</v>
      </c>
      <c r="AB108" s="21">
        <f>EXP(-LN(2)/2)*AB107+(1-EXP(-LN(2)/2))/(LN(2)/2)*V108*Y108*VLOOKUP('Données projet'!$B$9,Paramètres!$A$1:$I$89,3,0)*0.475*44/12</f>
        <v>8.7084900847656602E-12</v>
      </c>
      <c r="AC108" s="22">
        <f t="shared" si="57"/>
        <v>2.694713170858813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5.6843418860808015E-13</v>
      </c>
      <c r="AJ108" s="13">
        <f>AI108*VLOOKUP('Données projet'!$B$10,Paramètres!$A$1:$I$89,3,0)*VLOOKUP('Données projet'!$B$10,Paramètres!$A$1:$I$89,5,0)</f>
        <v>3.1036506698001181E-13</v>
      </c>
      <c r="AK108" s="13">
        <f t="shared" si="89"/>
        <v>4.086682523110923E-12</v>
      </c>
      <c r="AL108" s="20">
        <f t="shared" si="58"/>
        <v>7.6581912194083782E-12</v>
      </c>
      <c r="AM108" s="59">
        <f t="shared" si="59"/>
        <v>293.33333333334099</v>
      </c>
      <c r="AN108" s="59">
        <f ca="1">AVERAGE(OFFSET($AM$3,0,0,'Données projet'!$E$10+1,1))-AVERAGE(OFFSET($H$3,0,0,'Données projet'!$E$10+1,1))</f>
        <v>248.1486444660062</v>
      </c>
      <c r="AO108" s="59">
        <f t="shared" si="90"/>
        <v>293.34458072322127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1.9286971754347055</v>
      </c>
      <c r="AV108" s="21">
        <f>EXP(-LN(2)/25)*AV107+(1-EXP(-LN(2)/25))/(LN(2)/25)*Calculateur!AQ108*Calculateur!AS108*VLOOKUP('Données projet'!$B$10,Paramètres!$A$1:$I$89,3,0)*0.475*44/12</f>
        <v>4.2547174664536476</v>
      </c>
      <c r="AW108" s="21">
        <f>EXP(-LN(2)/2)*AW107+(1-EXP(-LN(2)/2))/(LN(2)/2)*AQ108*AT108*VLOOKUP('Données projet'!$B$10,Paramètres!$A$1:$I$89,3,0)*0.475*44/12</f>
        <v>1.2956053449707638E-10</v>
      </c>
      <c r="AX108" s="21">
        <f t="shared" si="60"/>
        <v>6.1834146420179135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210.04871822652808</v>
      </c>
      <c r="BJ108" s="59">
        <f t="shared" si="92"/>
        <v>250.17540614049324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1.6531690075154626</v>
      </c>
      <c r="BQ108" s="21">
        <f>EXP(-LN(2)/25)*BQ107+(1-EXP(-LN(2)/25))/(LN(2)/25)*Calculateur!BL108*Calculateur!BN108*VLOOKUP('Données projet'!$B$11,Paramètres!$A$1:$I$89,3,0)*0.475*44/12</f>
        <v>3.4788391980196773</v>
      </c>
      <c r="BR108" s="21">
        <f>EXP(-LN(2)/2)*BR107+(1-EXP(-LN(2)/2))/(LN(2)/2)*BL108*BO108*VLOOKUP('Données projet'!$B$11,Paramètres!$A$1:$I$89,3,0)*0.475*44/12</f>
        <v>1.1089214885666836E-10</v>
      </c>
      <c r="BS108" s="22">
        <f t="shared" si="63"/>
        <v>5.1320082056460317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34.000000000000014</v>
      </c>
      <c r="BY108" s="12">
        <f>IF('Données projet'!$A$114&gt;35,BY107+BX108-CG107,IF(A108&lt;'Données projet'!$A$114,$BV$205^A108,IF(A108='Données projet'!$A$114,'Données projet'!$B$114,BY107+BX108-CG107)))</f>
        <v>1116.1538461538453</v>
      </c>
      <c r="BZ108" s="13">
        <f>BY108*VLOOKUP('Données projet'!$B$12,Paramètres!$A$1:$I$89,3,0)*VLOOKUP('Données projet'!$B$12,Paramètres!$A$1:$I$89,5,0)</f>
        <v>536.86999999999955</v>
      </c>
      <c r="CA108" s="13">
        <f t="shared" si="93"/>
        <v>119.03219271253907</v>
      </c>
      <c r="CB108" s="20">
        <f t="shared" si="64"/>
        <v>1142.3629856410046</v>
      </c>
      <c r="CC108" s="59">
        <f t="shared" si="65"/>
        <v>1435.6963189743378</v>
      </c>
      <c r="CD108" s="59">
        <f ca="1">AVERAGE(OFFSET($CC$3,0,0,'Données projet'!$E$12+1,1))-AVERAGE(OFFSET($H$3,0,0,'Données projet'!$E$12+1,1))</f>
        <v>304.15237106473313</v>
      </c>
      <c r="CE108" s="59">
        <f t="shared" si="94"/>
        <v>120.85458928724336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255.5374979188561</v>
      </c>
      <c r="T109" s="59">
        <f t="shared" si="88"/>
        <v>343.10418468620901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0.6859604662424359</v>
      </c>
      <c r="AA109" s="21">
        <f>EXP(-LN(2)/25)*AA108+(1-EXP(-LN(2)/25))/(LN(2)/25)*Calculateur!V109*Calculateur!X109*VLOOKUP('Données projet'!$B$9,Paramètres!$A$1:$I$89,3,0)*0.475*44/12</f>
        <v>1.9404781256296626</v>
      </c>
      <c r="AB109" s="21">
        <f>EXP(-LN(2)/2)*AB108+(1-EXP(-LN(2)/2))/(LN(2)/2)*V109*Y109*VLOOKUP('Données projet'!$B$9,Paramètres!$A$1:$I$89,3,0)*0.475*44/12</f>
        <v>6.1578323928336105E-12</v>
      </c>
      <c r="AC109" s="22">
        <f t="shared" si="57"/>
        <v>2.626438591878256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5.6843418860808015E-13</v>
      </c>
      <c r="AJ109" s="13">
        <f>AI109*VLOOKUP('Données projet'!$B$10,Paramètres!$A$1:$I$89,3,0)*VLOOKUP('Données projet'!$B$10,Paramètres!$A$1:$I$89,5,0)</f>
        <v>3.1036506698001181E-13</v>
      </c>
      <c r="AK109" s="13">
        <f t="shared" si="89"/>
        <v>4.086682523110923E-12</v>
      </c>
      <c r="AL109" s="20">
        <f t="shared" si="58"/>
        <v>7.6581912194083782E-12</v>
      </c>
      <c r="AM109" s="59">
        <f t="shared" si="59"/>
        <v>293.33333333334099</v>
      </c>
      <c r="AN109" s="59">
        <f ca="1">AVERAGE(OFFSET($AM$3,0,0,'Données projet'!$E$10+1,1))-AVERAGE(OFFSET($H$3,0,0,'Données projet'!$E$10+1,1))</f>
        <v>248.1486444660062</v>
      </c>
      <c r="AO109" s="59">
        <f t="shared" si="90"/>
        <v>293.34458072322127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1.8908766002135493</v>
      </c>
      <c r="AV109" s="21">
        <f>EXP(-LN(2)/25)*AV108+(1-EXP(-LN(2)/25))/(LN(2)/25)*Calculateur!AQ109*Calculateur!AS109*VLOOKUP('Données projet'!$B$10,Paramètres!$A$1:$I$89,3,0)*0.475*44/12</f>
        <v>4.1383719935876053</v>
      </c>
      <c r="AW109" s="21">
        <f>EXP(-LN(2)/2)*AW108+(1-EXP(-LN(2)/2))/(LN(2)/2)*AQ109*AT109*VLOOKUP('Données projet'!$B$10,Paramètres!$A$1:$I$89,3,0)*0.475*44/12</f>
        <v>9.161313251703633E-11</v>
      </c>
      <c r="AX109" s="21">
        <f t="shared" si="60"/>
        <v>6.0292485938927678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210.04871822652808</v>
      </c>
      <c r="BJ109" s="59">
        <f t="shared" si="92"/>
        <v>250.17540614049324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1.6207513716116142</v>
      </c>
      <c r="BQ109" s="21">
        <f>EXP(-LN(2)/25)*BQ108+(1-EXP(-LN(2)/25))/(LN(2)/25)*Calculateur!BL109*Calculateur!BN109*VLOOKUP('Données projet'!$B$11,Paramètres!$A$1:$I$89,3,0)*0.475*44/12</f>
        <v>3.383710157205627</v>
      </c>
      <c r="BR109" s="21">
        <f>EXP(-LN(2)/2)*BR108+(1-EXP(-LN(2)/2))/(LN(2)/2)*BL109*BO109*VLOOKUP('Données projet'!$B$11,Paramètres!$A$1:$I$89,3,0)*0.475*44/12</f>
        <v>7.8412590436898252E-11</v>
      </c>
      <c r="BS109" s="22">
        <f t="shared" si="63"/>
        <v>5.0044615288956544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34.000000000000014</v>
      </c>
      <c r="BY109" s="12">
        <f>IF('Données projet'!$A$114&gt;35,BY108+BX109-CG108,IF(A109&lt;'Données projet'!$A$114,$BV$205^A109,IF(A109='Données projet'!$A$114,'Données projet'!$B$114,BY108+BX109-CG108)))</f>
        <v>1150.1538461538453</v>
      </c>
      <c r="BZ109" s="13">
        <f>BY109*VLOOKUP('Données projet'!$B$12,Paramètres!$A$1:$I$89,3,0)*VLOOKUP('Données projet'!$B$12,Paramètres!$A$1:$I$89,5,0)</f>
        <v>553.22399999999959</v>
      </c>
      <c r="CA109" s="13">
        <f t="shared" si="93"/>
        <v>122.23044685055707</v>
      </c>
      <c r="CB109" s="20">
        <f t="shared" si="64"/>
        <v>1176.4164949313861</v>
      </c>
      <c r="CC109" s="59">
        <f t="shared" si="65"/>
        <v>1469.7498282647193</v>
      </c>
      <c r="CD109" s="59">
        <f ca="1">AVERAGE(OFFSET($CC$3,0,0,'Données projet'!$E$12+1,1))-AVERAGE(OFFSET($H$3,0,0,'Données projet'!$E$12+1,1))</f>
        <v>304.15237106473313</v>
      </c>
      <c r="CE109" s="59">
        <f t="shared" si="94"/>
        <v>120.85458928724336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255.5374979188561</v>
      </c>
      <c r="T110" s="59">
        <f t="shared" si="88"/>
        <v>343.10418468620901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0.67250919989399305</v>
      </c>
      <c r="AA110" s="21">
        <f>EXP(-LN(2)/25)*AA109+(1-EXP(-LN(2)/25))/(LN(2)/25)*Calculateur!V110*Calculateur!X110*VLOOKUP('Données projet'!$B$9,Paramètres!$A$1:$I$89,3,0)*0.475*44/12</f>
        <v>1.88741564923901</v>
      </c>
      <c r="AB110" s="21">
        <f>EXP(-LN(2)/2)*AB109+(1-EXP(-LN(2)/2))/(LN(2)/2)*V110*Y110*VLOOKUP('Données projet'!$B$9,Paramètres!$A$1:$I$89,3,0)*0.475*44/12</f>
        <v>4.3542450423828301E-12</v>
      </c>
      <c r="AC110" s="22">
        <f t="shared" si="57"/>
        <v>2.5599248491373574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5.6843418860808015E-13</v>
      </c>
      <c r="AJ110" s="13">
        <f>AI110*VLOOKUP('Données projet'!$B$10,Paramètres!$A$1:$I$89,3,0)*VLOOKUP('Données projet'!$B$10,Paramètres!$A$1:$I$89,5,0)</f>
        <v>3.1036506698001181E-13</v>
      </c>
      <c r="AK110" s="13">
        <f t="shared" si="89"/>
        <v>4.086682523110923E-12</v>
      </c>
      <c r="AL110" s="20">
        <f t="shared" si="58"/>
        <v>7.6581912194083782E-12</v>
      </c>
      <c r="AM110" s="59">
        <f t="shared" si="59"/>
        <v>293.33333333334099</v>
      </c>
      <c r="AN110" s="59">
        <f ca="1">AVERAGE(OFFSET($AM$3,0,0,'Données projet'!$E$10+1,1))-AVERAGE(OFFSET($H$3,0,0,'Données projet'!$E$10+1,1))</f>
        <v>248.1486444660062</v>
      </c>
      <c r="AO110" s="59">
        <f t="shared" si="90"/>
        <v>293.34458072322127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1.8537976634042068</v>
      </c>
      <c r="AV110" s="21">
        <f>EXP(-LN(2)/25)*AV109+(1-EXP(-LN(2)/25))/(LN(2)/25)*Calculateur!AQ110*Calculateur!AS110*VLOOKUP('Données projet'!$B$10,Paramètres!$A$1:$I$89,3,0)*0.475*44/12</f>
        <v>4.0252079937954273</v>
      </c>
      <c r="AW110" s="21">
        <f>EXP(-LN(2)/2)*AW109+(1-EXP(-LN(2)/2))/(LN(2)/2)*AQ110*AT110*VLOOKUP('Données projet'!$B$10,Paramètres!$A$1:$I$89,3,0)*0.475*44/12</f>
        <v>6.478026724853819E-11</v>
      </c>
      <c r="AX110" s="21">
        <f t="shared" si="60"/>
        <v>5.8790056572644147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210.04871822652808</v>
      </c>
      <c r="BJ110" s="59">
        <f t="shared" si="92"/>
        <v>250.17540614049324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1.5889694257750349</v>
      </c>
      <c r="BQ110" s="21">
        <f>EXP(-LN(2)/25)*BQ109+(1-EXP(-LN(2)/25))/(LN(2)/25)*Calculateur!BL110*Calculateur!BN110*VLOOKUP('Données projet'!$B$11,Paramètres!$A$1:$I$89,3,0)*0.475*44/12</f>
        <v>3.2911824250152555</v>
      </c>
      <c r="BR110" s="21">
        <f>EXP(-LN(2)/2)*BR109+(1-EXP(-LN(2)/2))/(LN(2)/2)*BL110*BO110*VLOOKUP('Données projet'!$B$11,Paramètres!$A$1:$I$89,3,0)*0.475*44/12</f>
        <v>5.5446074428334182E-11</v>
      </c>
      <c r="BS110" s="22">
        <f t="shared" si="63"/>
        <v>4.8801518508457367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34.000000000000014</v>
      </c>
      <c r="BY110" s="12">
        <f>IF('Données projet'!$A$114&gt;35,BY109+BX110-CG109,IF(A110&lt;'Données projet'!$A$114,$BV$205^A110,IF(A110='Données projet'!$A$114,'Données projet'!$B$114,BY109+BX110-CG109)))</f>
        <v>1184.1538461538453</v>
      </c>
      <c r="BZ110" s="13">
        <f>BY110*VLOOKUP('Données projet'!$B$12,Paramètres!$A$1:$I$89,3,0)*VLOOKUP('Données projet'!$B$12,Paramètres!$A$1:$I$89,5,0)</f>
        <v>569.57799999999963</v>
      </c>
      <c r="CA110" s="13">
        <f t="shared" si="93"/>
        <v>125.41771323791652</v>
      </c>
      <c r="CB110" s="20">
        <f t="shared" si="64"/>
        <v>1210.4508672227037</v>
      </c>
      <c r="CC110" s="59">
        <f t="shared" si="65"/>
        <v>1503.7842005560369</v>
      </c>
      <c r="CD110" s="59">
        <f ca="1">AVERAGE(OFFSET($CC$3,0,0,'Données projet'!$E$12+1,1))-AVERAGE(OFFSET($H$3,0,0,'Données projet'!$E$12+1,1))</f>
        <v>304.15237106473313</v>
      </c>
      <c r="CE110" s="59">
        <f t="shared" si="94"/>
        <v>120.85458928724336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255.5374979188561</v>
      </c>
      <c r="T111" s="59">
        <f t="shared" si="88"/>
        <v>343.10418468620901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0.65932170467418083</v>
      </c>
      <c r="AA111" s="21">
        <f>EXP(-LN(2)/25)*AA110+(1-EXP(-LN(2)/25))/(LN(2)/25)*Calculateur!V111*Calculateur!X111*VLOOKUP('Données projet'!$B$9,Paramètres!$A$1:$I$89,3,0)*0.475*44/12</f>
        <v>1.8358041690556939</v>
      </c>
      <c r="AB111" s="21">
        <f>EXP(-LN(2)/2)*AB110+(1-EXP(-LN(2)/2))/(LN(2)/2)*V111*Y111*VLOOKUP('Données projet'!$B$9,Paramètres!$A$1:$I$89,3,0)*0.475*44/12</f>
        <v>3.0789161964168052E-12</v>
      </c>
      <c r="AC111" s="22">
        <f t="shared" si="57"/>
        <v>2.4951258737329538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5.6843418860808015E-13</v>
      </c>
      <c r="AJ111" s="13">
        <f>AI111*VLOOKUP('Données projet'!$B$10,Paramètres!$A$1:$I$89,3,0)*VLOOKUP('Données projet'!$B$10,Paramètres!$A$1:$I$89,5,0)</f>
        <v>3.1036506698001181E-13</v>
      </c>
      <c r="AK111" s="13">
        <f t="shared" si="89"/>
        <v>4.086682523110923E-12</v>
      </c>
      <c r="AL111" s="20">
        <f t="shared" si="58"/>
        <v>7.6581912194083782E-12</v>
      </c>
      <c r="AM111" s="59">
        <f t="shared" si="59"/>
        <v>293.33333333334099</v>
      </c>
      <c r="AN111" s="59">
        <f ca="1">AVERAGE(OFFSET($AM$3,0,0,'Données projet'!$E$10+1,1))-AVERAGE(OFFSET($H$3,0,0,'Données projet'!$E$10+1,1))</f>
        <v>248.1486444660062</v>
      </c>
      <c r="AO111" s="59">
        <f t="shared" si="90"/>
        <v>293.34458072322127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1.8174458219297771</v>
      </c>
      <c r="AV111" s="21">
        <f>EXP(-LN(2)/25)*AV110+(1-EXP(-LN(2)/25))/(LN(2)/25)*Calculateur!AQ111*Calculateur!AS111*VLOOKUP('Données projet'!$B$10,Paramètres!$A$1:$I$89,3,0)*0.475*44/12</f>
        <v>3.9151384695286024</v>
      </c>
      <c r="AW111" s="21">
        <f>EXP(-LN(2)/2)*AW110+(1-EXP(-LN(2)/2))/(LN(2)/2)*AQ111*AT111*VLOOKUP('Données projet'!$B$10,Paramètres!$A$1:$I$89,3,0)*0.475*44/12</f>
        <v>4.5806566258518165E-11</v>
      </c>
      <c r="AX111" s="21">
        <f t="shared" si="60"/>
        <v>5.7325842915041862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210.04871822652808</v>
      </c>
      <c r="BJ111" s="59">
        <f t="shared" si="92"/>
        <v>250.17540614049324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1.5578107045112379</v>
      </c>
      <c r="BQ111" s="21">
        <f>EXP(-LN(2)/25)*BQ110+(1-EXP(-LN(2)/25))/(LN(2)/25)*Calculateur!BL111*Calculateur!BN111*VLOOKUP('Données projet'!$B$11,Paramètres!$A$1:$I$89,3,0)*0.475*44/12</f>
        <v>3.2011848685274518</v>
      </c>
      <c r="BR111" s="21">
        <f>EXP(-LN(2)/2)*BR110+(1-EXP(-LN(2)/2))/(LN(2)/2)*BL111*BO111*VLOOKUP('Données projet'!$B$11,Paramètres!$A$1:$I$89,3,0)*0.475*44/12</f>
        <v>3.9206295218449126E-11</v>
      </c>
      <c r="BS111" s="22">
        <f t="shared" si="63"/>
        <v>4.7589955730778959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34.000000000000014</v>
      </c>
      <c r="BY111" s="12">
        <f>IF('Données projet'!$A$114&gt;35,BY110+BX111-CG110,IF(A111&lt;'Données projet'!$A$114,$BV$205^A111,IF(A111='Données projet'!$A$114,'Données projet'!$B$114,BY110+BX111-CG110)))</f>
        <v>1218.1538461538453</v>
      </c>
      <c r="BZ111" s="13">
        <f>BY111*VLOOKUP('Données projet'!$B$12,Paramètres!$A$1:$I$89,3,0)*VLOOKUP('Données projet'!$B$12,Paramètres!$A$1:$I$89,5,0)</f>
        <v>585.93199999999956</v>
      </c>
      <c r="CA111" s="13">
        <f t="shared" si="93"/>
        <v>128.59434359280618</v>
      </c>
      <c r="CB111" s="20">
        <f t="shared" si="64"/>
        <v>1244.4667150908033</v>
      </c>
      <c r="CC111" s="59">
        <f t="shared" si="65"/>
        <v>1537.8000484241365</v>
      </c>
      <c r="CD111" s="59">
        <f ca="1">AVERAGE(OFFSET($CC$3,0,0,'Données projet'!$E$12+1,1))-AVERAGE(OFFSET($H$3,0,0,'Données projet'!$E$12+1,1))</f>
        <v>304.15237106473313</v>
      </c>
      <c r="CE111" s="59">
        <f t="shared" si="94"/>
        <v>120.85458928724336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255.5374979188561</v>
      </c>
      <c r="T112" s="59">
        <f t="shared" si="88"/>
        <v>343.10418468620901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0.64639280819205136</v>
      </c>
      <c r="AA112" s="21">
        <f>EXP(-LN(2)/25)*AA111+(1-EXP(-LN(2)/25))/(LN(2)/25)*Calculateur!V112*Calculateur!X112*VLOOKUP('Données projet'!$B$9,Paramètres!$A$1:$I$89,3,0)*0.475*44/12</f>
        <v>1.7856040075121205</v>
      </c>
      <c r="AB112" s="21">
        <f>EXP(-LN(2)/2)*AB111+(1-EXP(-LN(2)/2))/(LN(2)/2)*V112*Y112*VLOOKUP('Données projet'!$B$9,Paramètres!$A$1:$I$89,3,0)*0.475*44/12</f>
        <v>2.1771225211914151E-12</v>
      </c>
      <c r="AC112" s="22">
        <f t="shared" si="57"/>
        <v>2.4319968157063485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5.6843418860808015E-13</v>
      </c>
      <c r="AJ112" s="13">
        <f>AI112*VLOOKUP('Données projet'!$B$10,Paramètres!$A$1:$I$89,3,0)*VLOOKUP('Données projet'!$B$10,Paramètres!$A$1:$I$89,5,0)</f>
        <v>3.1036506698001181E-13</v>
      </c>
      <c r="AK112" s="13">
        <f t="shared" si="89"/>
        <v>4.086682523110923E-12</v>
      </c>
      <c r="AL112" s="20">
        <f t="shared" si="58"/>
        <v>7.6581912194083782E-12</v>
      </c>
      <c r="AM112" s="59">
        <f t="shared" si="59"/>
        <v>293.33333333334099</v>
      </c>
      <c r="AN112" s="59">
        <f ca="1">AVERAGE(OFFSET($AM$3,0,0,'Données projet'!$E$10+1,1))-AVERAGE(OFFSET($H$3,0,0,'Données projet'!$E$10+1,1))</f>
        <v>248.1486444660062</v>
      </c>
      <c r="AO112" s="59">
        <f t="shared" si="90"/>
        <v>293.34458072322127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1.781806817894227</v>
      </c>
      <c r="AV112" s="21">
        <f>EXP(-LN(2)/25)*AV111+(1-EXP(-LN(2)/25))/(LN(2)/25)*Calculateur!AQ112*Calculateur!AS112*VLOOKUP('Données projet'!$B$10,Paramètres!$A$1:$I$89,3,0)*0.475*44/12</f>
        <v>3.8080788021911589</v>
      </c>
      <c r="AW112" s="21">
        <f>EXP(-LN(2)/2)*AW111+(1-EXP(-LN(2)/2))/(LN(2)/2)*AQ112*AT112*VLOOKUP('Données projet'!$B$10,Paramètres!$A$1:$I$89,3,0)*0.475*44/12</f>
        <v>3.2390133624269095E-11</v>
      </c>
      <c r="AX112" s="21">
        <f t="shared" si="60"/>
        <v>5.5898856201177765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210.04871822652808</v>
      </c>
      <c r="BJ112" s="59">
        <f t="shared" si="92"/>
        <v>250.17540614049324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1.5272629867664806</v>
      </c>
      <c r="BQ112" s="21">
        <f>EXP(-LN(2)/25)*BQ111+(1-EXP(-LN(2)/25))/(LN(2)/25)*Calculateur!BL112*Calculateur!BN112*VLOOKUP('Données projet'!$B$11,Paramètres!$A$1:$I$89,3,0)*0.475*44/12</f>
        <v>3.1136482999545727</v>
      </c>
      <c r="BR112" s="21">
        <f>EXP(-LN(2)/2)*BR111+(1-EXP(-LN(2)/2))/(LN(2)/2)*BL112*BO112*VLOOKUP('Données projet'!$B$11,Paramètres!$A$1:$I$89,3,0)*0.475*44/12</f>
        <v>2.7723037214167091E-11</v>
      </c>
      <c r="BS112" s="22">
        <f t="shared" si="63"/>
        <v>4.6409112867487758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34.000000000000014</v>
      </c>
      <c r="BY112" s="12">
        <f>IF('Données projet'!$A$114&gt;35,BY111+BX112-CG111,IF(A112&lt;'Données projet'!$A$114,$BV$205^A112,IF(A112='Données projet'!$A$114,'Données projet'!$B$114,BY111+BX112-CG111)))</f>
        <v>1252.1538461538453</v>
      </c>
      <c r="BZ112" s="13">
        <f>BY112*VLOOKUP('Données projet'!$B$12,Paramètres!$A$1:$I$89,3,0)*VLOOKUP('Données projet'!$B$12,Paramètres!$A$1:$I$89,5,0)</f>
        <v>602.2859999999996</v>
      </c>
      <c r="CA112" s="13">
        <f t="shared" si="93"/>
        <v>131.76066888262602</v>
      </c>
      <c r="CB112" s="20">
        <f t="shared" si="64"/>
        <v>1278.4646149705729</v>
      </c>
      <c r="CC112" s="59">
        <f t="shared" si="65"/>
        <v>1571.7979483039062</v>
      </c>
      <c r="CD112" s="59">
        <f ca="1">AVERAGE(OFFSET($CC$3,0,0,'Données projet'!$E$12+1,1))-AVERAGE(OFFSET($H$3,0,0,'Données projet'!$E$12+1,1))</f>
        <v>304.15237106473313</v>
      </c>
      <c r="CE112" s="59">
        <f t="shared" si="94"/>
        <v>120.85458928724336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255.5374979188561</v>
      </c>
      <c r="T113" s="59">
        <f t="shared" si="88"/>
        <v>343.10418468620901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0.63371743948408821</v>
      </c>
      <c r="AA113" s="21">
        <f>EXP(-LN(2)/25)*AA112+(1-EXP(-LN(2)/25))/(LN(2)/25)*Calculateur!V113*Calculateur!X113*VLOOKUP('Données projet'!$B$9,Paramètres!$A$1:$I$89,3,0)*0.475*44/12</f>
        <v>1.7367765720258679</v>
      </c>
      <c r="AB113" s="21">
        <f>EXP(-LN(2)/2)*AB112+(1-EXP(-LN(2)/2))/(LN(2)/2)*V113*Y113*VLOOKUP('Données projet'!$B$9,Paramètres!$A$1:$I$89,3,0)*0.475*44/12</f>
        <v>1.5394580982084026E-12</v>
      </c>
      <c r="AC113" s="22">
        <f t="shared" si="57"/>
        <v>2.3704940115114956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5.6843418860808015E-13</v>
      </c>
      <c r="AJ113" s="13">
        <f>AI113*VLOOKUP('Données projet'!$B$10,Paramètres!$A$1:$I$89,3,0)*VLOOKUP('Données projet'!$B$10,Paramètres!$A$1:$I$89,5,0)</f>
        <v>3.1036506698001181E-13</v>
      </c>
      <c r="AK113" s="13">
        <f t="shared" si="89"/>
        <v>4.086682523110923E-12</v>
      </c>
      <c r="AL113" s="20">
        <f t="shared" si="58"/>
        <v>7.6581912194083782E-12</v>
      </c>
      <c r="AM113" s="59">
        <f t="shared" si="59"/>
        <v>293.33333333334099</v>
      </c>
      <c r="AN113" s="59">
        <f ca="1">AVERAGE(OFFSET($AM$3,0,0,'Données projet'!$E$10+1,1))-AVERAGE(OFFSET($H$3,0,0,'Données projet'!$E$10+1,1))</f>
        <v>248.1486444660062</v>
      </c>
      <c r="AO113" s="59">
        <f t="shared" si="90"/>
        <v>293.34458072322127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1.7468666729901681</v>
      </c>
      <c r="AV113" s="21">
        <f>EXP(-LN(2)/25)*AV112+(1-EXP(-LN(2)/25))/(LN(2)/25)*Calculateur!AQ113*Calculateur!AS113*VLOOKUP('Données projet'!$B$10,Paramètres!$A$1:$I$89,3,0)*0.475*44/12</f>
        <v>3.7039466870870807</v>
      </c>
      <c r="AW113" s="21">
        <f>EXP(-LN(2)/2)*AW112+(1-EXP(-LN(2)/2))/(LN(2)/2)*AQ113*AT113*VLOOKUP('Données projet'!$B$10,Paramètres!$A$1:$I$89,3,0)*0.475*44/12</f>
        <v>2.2903283129259083E-11</v>
      </c>
      <c r="AX113" s="21">
        <f t="shared" si="60"/>
        <v>5.4508133601001525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210.04871822652808</v>
      </c>
      <c r="BJ113" s="59">
        <f t="shared" si="92"/>
        <v>250.17540614049324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1.4973142911344302</v>
      </c>
      <c r="BQ113" s="21">
        <f>EXP(-LN(2)/25)*BQ112+(1-EXP(-LN(2)/25))/(LN(2)/25)*Calculateur!BL113*Calculateur!BN113*VLOOKUP('Données projet'!$B$11,Paramètres!$A$1:$I$89,3,0)*0.475*44/12</f>
        <v>3.0285054234526672</v>
      </c>
      <c r="BR113" s="21">
        <f>EXP(-LN(2)/2)*BR112+(1-EXP(-LN(2)/2))/(LN(2)/2)*BL113*BO113*VLOOKUP('Données projet'!$B$11,Paramètres!$A$1:$I$89,3,0)*0.475*44/12</f>
        <v>1.9603147609224563E-11</v>
      </c>
      <c r="BS113" s="22">
        <f t="shared" si="63"/>
        <v>4.5258197146067003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1286.1538461538462</v>
      </c>
      <c r="BW113" s="12">
        <f>VLOOKUP(A113,'Données projet'!$A$113:$I$133,9,0)</f>
        <v>34.000000000000014</v>
      </c>
      <c r="BX113" s="12">
        <f t="array" ref="BX113">INDEX(BW:BW,MIN(IF(ISNUMBER(BW113:BW309),ROW(BW113:BW309),"")))</f>
        <v>34.000000000000014</v>
      </c>
      <c r="BY113" s="12">
        <f>IF('Données projet'!$A$114&gt;35,BY112+BX113-CG112,IF(A113&lt;'Données projet'!$A$114,$BV$205^A113,IF(A113='Données projet'!$A$114,'Données projet'!$B$114,BY112+BX113-CG112)))</f>
        <v>1286.1538461538453</v>
      </c>
      <c r="BZ113" s="13">
        <f>BY113*VLOOKUP('Données projet'!$B$12,Paramètres!$A$1:$I$89,3,0)*VLOOKUP('Données projet'!$B$12,Paramètres!$A$1:$I$89,5,0)</f>
        <v>618.63999999999965</v>
      </c>
      <c r="CA113" s="13">
        <f t="shared" si="93"/>
        <v>134.91700107802515</v>
      </c>
      <c r="CB113" s="20">
        <f t="shared" si="64"/>
        <v>1312.4451102108931</v>
      </c>
      <c r="CC113" s="59">
        <f t="shared" si="65"/>
        <v>1605.7784435442263</v>
      </c>
      <c r="CD113" s="59">
        <f ca="1">AVERAGE(OFFSET($CC$3,0,0,'Données projet'!$E$12+1,1))-AVERAGE(OFFSET($H$3,0,0,'Données projet'!$E$12+1,1))</f>
        <v>304.15237106473313</v>
      </c>
      <c r="CE113" s="59">
        <f t="shared" si="94"/>
        <v>120.85458928724336</v>
      </c>
      <c r="CF113" s="15">
        <f>IF(ISNA(VLOOKUP(A113,'Données projet'!$A$113:$I$133,3,0)),0,VLOOKUP(A113,'Données projet'!$A$113:$I$133,3,0))</f>
        <v>8</v>
      </c>
      <c r="CG113" s="15">
        <f>IF(ISNA(VLOOKUP(A113,'Données projet'!$A$113:$I$133,4,0)),0,VLOOKUP(A113,'Données projet'!$A$113:$I$133,4,0))</f>
        <v>8.4615384615384617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255.5374979188561</v>
      </c>
      <c r="T114" s="59">
        <f t="shared" si="88"/>
        <v>343.10418468620901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0.62129062702527671</v>
      </c>
      <c r="AA114" s="21">
        <f>EXP(-LN(2)/25)*AA113+(1-EXP(-LN(2)/25))/(LN(2)/25)*Calculateur!V114*Calculateur!X114*VLOOKUP('Données projet'!$B$9,Paramètres!$A$1:$I$89,3,0)*0.475*44/12</f>
        <v>1.6892843253307102</v>
      </c>
      <c r="AB114" s="21">
        <f>EXP(-LN(2)/2)*AB113+(1-EXP(-LN(2)/2))/(LN(2)/2)*V114*Y114*VLOOKUP('Données projet'!$B$9,Paramètres!$A$1:$I$89,3,0)*0.475*44/12</f>
        <v>1.0885612605957075E-12</v>
      </c>
      <c r="AC114" s="22">
        <f t="shared" si="57"/>
        <v>2.3105749523570753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5.6843418860808015E-13</v>
      </c>
      <c r="AJ114" s="13">
        <f>AI114*VLOOKUP('Données projet'!$B$10,Paramètres!$A$1:$I$89,3,0)*VLOOKUP('Données projet'!$B$10,Paramètres!$A$1:$I$89,5,0)</f>
        <v>3.1036506698001181E-13</v>
      </c>
      <c r="AK114" s="13">
        <f t="shared" si="89"/>
        <v>4.086682523110923E-12</v>
      </c>
      <c r="AL114" s="20">
        <f t="shared" si="58"/>
        <v>7.6581912194083782E-12</v>
      </c>
      <c r="AM114" s="59">
        <f t="shared" si="59"/>
        <v>293.33333333334099</v>
      </c>
      <c r="AN114" s="59">
        <f ca="1">AVERAGE(OFFSET($AM$3,0,0,'Données projet'!$E$10+1,1))-AVERAGE(OFFSET($H$3,0,0,'Données projet'!$E$10+1,1))</f>
        <v>248.1486444660062</v>
      </c>
      <c r="AO114" s="59">
        <f t="shared" si="90"/>
        <v>293.34458072322127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1.7126116830162936</v>
      </c>
      <c r="AV114" s="21">
        <f>EXP(-LN(2)/25)*AV113+(1-EXP(-LN(2)/25))/(LN(2)/25)*Calculateur!AQ114*Calculateur!AS114*VLOOKUP('Données projet'!$B$10,Paramètres!$A$1:$I$89,3,0)*0.475*44/12</f>
        <v>3.6026620701465939</v>
      </c>
      <c r="AW114" s="21">
        <f>EXP(-LN(2)/2)*AW113+(1-EXP(-LN(2)/2))/(LN(2)/2)*AQ114*AT114*VLOOKUP('Données projet'!$B$10,Paramètres!$A$1:$I$89,3,0)*0.475*44/12</f>
        <v>1.6195066812134547E-11</v>
      </c>
      <c r="AX114" s="21">
        <f t="shared" si="60"/>
        <v>5.315273753179083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210.04871822652808</v>
      </c>
      <c r="BJ114" s="59">
        <f t="shared" si="92"/>
        <v>250.17540614049324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1.4679528711568235</v>
      </c>
      <c r="BQ114" s="21">
        <f>EXP(-LN(2)/25)*BQ113+(1-EXP(-LN(2)/25))/(LN(2)/25)*Calculateur!BL114*Calculateur!BN114*VLOOKUP('Données projet'!$B$11,Paramètres!$A$1:$I$89,3,0)*0.475*44/12</f>
        <v>2.9456907833861754</v>
      </c>
      <c r="BR114" s="21">
        <f>EXP(-LN(2)/2)*BR113+(1-EXP(-LN(2)/2))/(LN(2)/2)*BL114*BO114*VLOOKUP('Données projet'!$B$11,Paramètres!$A$1:$I$89,3,0)*0.475*44/12</f>
        <v>1.3861518607083546E-11</v>
      </c>
      <c r="BS114" s="22">
        <f t="shared" si="63"/>
        <v>4.4136436545568607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1277.6923076923067</v>
      </c>
      <c r="BZ114" s="13">
        <f>BY114*VLOOKUP('Données projet'!$B$12,Paramètres!$A$1:$I$89,3,0)*VLOOKUP('Données projet'!$B$12,Paramètres!$A$1:$I$89,5,0)</f>
        <v>614.5699999999996</v>
      </c>
      <c r="CA114" s="13">
        <f t="shared" si="93"/>
        <v>134.13240620831178</v>
      </c>
      <c r="CB114" s="20">
        <f t="shared" si="64"/>
        <v>1303.9900241461421</v>
      </c>
      <c r="CC114" s="59">
        <f t="shared" si="65"/>
        <v>1597.3233574794754</v>
      </c>
      <c r="CD114" s="59">
        <f ca="1">AVERAGE(OFFSET($CC$3,0,0,'Données projet'!$E$12+1,1))-AVERAGE(OFFSET($H$3,0,0,'Données projet'!$E$12+1,1))</f>
        <v>304.15237106473313</v>
      </c>
      <c r="CE114" s="59">
        <f t="shared" si="94"/>
        <v>120.85458928724336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255.5374979188561</v>
      </c>
      <c r="T115" s="59">
        <f t="shared" si="88"/>
        <v>343.10418468620901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0.60910749677917531</v>
      </c>
      <c r="AA115" s="21">
        <f>EXP(-LN(2)/25)*AA114+(1-EXP(-LN(2)/25))/(LN(2)/25)*Calculateur!V115*Calculateur!X115*VLOOKUP('Données projet'!$B$9,Paramètres!$A$1:$I$89,3,0)*0.475*44/12</f>
        <v>1.6430907566189401</v>
      </c>
      <c r="AB115" s="21">
        <f>EXP(-LN(2)/2)*AB114+(1-EXP(-LN(2)/2))/(LN(2)/2)*V115*Y115*VLOOKUP('Données projet'!$B$9,Paramètres!$A$1:$I$89,3,0)*0.475*44/12</f>
        <v>7.6972904910420131E-13</v>
      </c>
      <c r="AC115" s="22">
        <f t="shared" si="57"/>
        <v>2.2521982533988849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5.6843418860808015E-13</v>
      </c>
      <c r="AJ115" s="13">
        <f>AI115*VLOOKUP('Données projet'!$B$10,Paramètres!$A$1:$I$89,3,0)*VLOOKUP('Données projet'!$B$10,Paramètres!$A$1:$I$89,5,0)</f>
        <v>3.1036506698001181E-13</v>
      </c>
      <c r="AK115" s="13">
        <f t="shared" si="89"/>
        <v>4.086682523110923E-12</v>
      </c>
      <c r="AL115" s="20">
        <f t="shared" si="58"/>
        <v>7.6581912194083782E-12</v>
      </c>
      <c r="AM115" s="59">
        <f t="shared" si="59"/>
        <v>293.33333333334099</v>
      </c>
      <c r="AN115" s="59">
        <f ca="1">AVERAGE(OFFSET($AM$3,0,0,'Données projet'!$E$10+1,1))-AVERAGE(OFFSET($H$3,0,0,'Données projet'!$E$10+1,1))</f>
        <v>248.1486444660062</v>
      </c>
      <c r="AO115" s="59">
        <f t="shared" si="90"/>
        <v>293.34458072322127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1.679028412502326</v>
      </c>
      <c r="AV115" s="21">
        <f>EXP(-LN(2)/25)*AV114+(1-EXP(-LN(2)/25))/(LN(2)/25)*Calculateur!AQ115*Calculateur!AS115*VLOOKUP('Données projet'!$B$10,Paramètres!$A$1:$I$89,3,0)*0.475*44/12</f>
        <v>3.5041470863826709</v>
      </c>
      <c r="AW115" s="21">
        <f>EXP(-LN(2)/2)*AW114+(1-EXP(-LN(2)/2))/(LN(2)/2)*AQ115*AT115*VLOOKUP('Données projet'!$B$10,Paramètres!$A$1:$I$89,3,0)*0.475*44/12</f>
        <v>1.1451641564629541E-11</v>
      </c>
      <c r="AX115" s="21">
        <f t="shared" si="60"/>
        <v>5.183175498896448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210.04871822652808</v>
      </c>
      <c r="BJ115" s="59">
        <f t="shared" si="92"/>
        <v>250.17540614049324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1.4391672107162798</v>
      </c>
      <c r="BQ115" s="21">
        <f>EXP(-LN(2)/25)*BQ114+(1-EXP(-LN(2)/25))/(LN(2)/25)*Calculateur!BL115*Calculateur!BN115*VLOOKUP('Données projet'!$B$11,Paramètres!$A$1:$I$89,3,0)*0.475*44/12</f>
        <v>2.8651407140073344</v>
      </c>
      <c r="BR115" s="21">
        <f>EXP(-LN(2)/2)*BR114+(1-EXP(-LN(2)/2))/(LN(2)/2)*BL115*BO115*VLOOKUP('Données projet'!$B$11,Paramètres!$A$1:$I$89,3,0)*0.475*44/12</f>
        <v>9.8015738046122815E-12</v>
      </c>
      <c r="BS115" s="22">
        <f t="shared" si="63"/>
        <v>4.3043079247334166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1277.6923076923067</v>
      </c>
      <c r="BZ115" s="13">
        <f>BY115*VLOOKUP('Données projet'!$B$12,Paramètres!$A$1:$I$89,3,0)*VLOOKUP('Données projet'!$B$12,Paramètres!$A$1:$I$89,5,0)</f>
        <v>614.5699999999996</v>
      </c>
      <c r="CA115" s="13">
        <f t="shared" si="93"/>
        <v>134.13240620831178</v>
      </c>
      <c r="CB115" s="20">
        <f t="shared" si="64"/>
        <v>1303.9900241461421</v>
      </c>
      <c r="CC115" s="59">
        <f t="shared" si="65"/>
        <v>1597.3233574794754</v>
      </c>
      <c r="CD115" s="59">
        <f ca="1">AVERAGE(OFFSET($CC$3,0,0,'Données projet'!$E$12+1,1))-AVERAGE(OFFSET($H$3,0,0,'Données projet'!$E$12+1,1))</f>
        <v>304.15237106473313</v>
      </c>
      <c r="CE115" s="59">
        <f t="shared" si="94"/>
        <v>120.85458928724336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255.5374979188561</v>
      </c>
      <c r="T116" s="59">
        <f t="shared" si="88"/>
        <v>343.10418468620901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0.59716327028622429</v>
      </c>
      <c r="AA116" s="21">
        <f>EXP(-LN(2)/25)*AA115+(1-EXP(-LN(2)/25))/(LN(2)/25)*Calculateur!V116*Calculateur!X116*VLOOKUP('Données projet'!$B$9,Paramètres!$A$1:$I$89,3,0)*0.475*44/12</f>
        <v>1.5981603534728077</v>
      </c>
      <c r="AB116" s="21">
        <f>EXP(-LN(2)/2)*AB115+(1-EXP(-LN(2)/2))/(LN(2)/2)*V116*Y116*VLOOKUP('Données projet'!$B$9,Paramètres!$A$1:$I$89,3,0)*0.475*44/12</f>
        <v>5.4428063029785376E-13</v>
      </c>
      <c r="AC116" s="22">
        <f t="shared" si="57"/>
        <v>2.1953236237595766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5.6843418860808015E-13</v>
      </c>
      <c r="AJ116" s="13">
        <f>AI116*VLOOKUP('Données projet'!$B$10,Paramètres!$A$1:$I$89,3,0)*VLOOKUP('Données projet'!$B$10,Paramètres!$A$1:$I$89,5,0)</f>
        <v>3.1036506698001181E-13</v>
      </c>
      <c r="AK116" s="13">
        <f t="shared" si="89"/>
        <v>4.086682523110923E-12</v>
      </c>
      <c r="AL116" s="20">
        <f t="shared" si="58"/>
        <v>7.6581912194083782E-12</v>
      </c>
      <c r="AM116" s="59">
        <f t="shared" si="59"/>
        <v>293.33333333334099</v>
      </c>
      <c r="AN116" s="59">
        <f ca="1">AVERAGE(OFFSET($AM$3,0,0,'Données projet'!$E$10+1,1))-AVERAGE(OFFSET($H$3,0,0,'Données projet'!$E$10+1,1))</f>
        <v>248.1486444660062</v>
      </c>
      <c r="AO116" s="59">
        <f t="shared" si="90"/>
        <v>293.34458072322127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1.646103689439365</v>
      </c>
      <c r="AV116" s="21">
        <f>EXP(-LN(2)/25)*AV115+(1-EXP(-LN(2)/25))/(LN(2)/25)*Calculateur!AQ116*Calculateur!AS116*VLOOKUP('Données projet'!$B$10,Paramètres!$A$1:$I$89,3,0)*0.475*44/12</f>
        <v>3.4083260000304505</v>
      </c>
      <c r="AW116" s="21">
        <f>EXP(-LN(2)/2)*AW115+(1-EXP(-LN(2)/2))/(LN(2)/2)*AQ116*AT116*VLOOKUP('Données projet'!$B$10,Paramètres!$A$1:$I$89,3,0)*0.475*44/12</f>
        <v>8.0975334060672737E-12</v>
      </c>
      <c r="AX116" s="21">
        <f t="shared" si="60"/>
        <v>5.0544296894779128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210.04871822652808</v>
      </c>
      <c r="BJ116" s="59">
        <f t="shared" si="92"/>
        <v>250.17540614049324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1.4109460195194561</v>
      </c>
      <c r="BQ116" s="21">
        <f>EXP(-LN(2)/25)*BQ115+(1-EXP(-LN(2)/25))/(LN(2)/25)*Calculateur!BL116*Calculateur!BN116*VLOOKUP('Données projet'!$B$11,Paramètres!$A$1:$I$89,3,0)*0.475*44/12</f>
        <v>2.7867932905116022</v>
      </c>
      <c r="BR116" s="21">
        <f>EXP(-LN(2)/2)*BR115+(1-EXP(-LN(2)/2))/(LN(2)/2)*BL116*BO116*VLOOKUP('Données projet'!$B$11,Paramètres!$A$1:$I$89,3,0)*0.475*44/12</f>
        <v>6.9307593035417728E-12</v>
      </c>
      <c r="BS116" s="22">
        <f t="shared" si="63"/>
        <v>4.1977393100379885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1277.6923076923067</v>
      </c>
      <c r="BZ116" s="13">
        <f>BY116*VLOOKUP('Données projet'!$B$12,Paramètres!$A$1:$I$89,3,0)*VLOOKUP('Données projet'!$B$12,Paramètres!$A$1:$I$89,5,0)</f>
        <v>614.5699999999996</v>
      </c>
      <c r="CA116" s="13">
        <f t="shared" si="93"/>
        <v>134.13240620831178</v>
      </c>
      <c r="CB116" s="20">
        <f t="shared" si="64"/>
        <v>1303.9900241461421</v>
      </c>
      <c r="CC116" s="59">
        <f t="shared" si="65"/>
        <v>1597.3233574794754</v>
      </c>
      <c r="CD116" s="59">
        <f ca="1">AVERAGE(OFFSET($CC$3,0,0,'Données projet'!$E$12+1,1))-AVERAGE(OFFSET($H$3,0,0,'Données projet'!$E$12+1,1))</f>
        <v>304.15237106473313</v>
      </c>
      <c r="CE116" s="59">
        <f t="shared" si="94"/>
        <v>120.85458928724336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255.5374979188561</v>
      </c>
      <c r="T117" s="59">
        <f t="shared" si="88"/>
        <v>343.10418468620901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0.58545326278954124</v>
      </c>
      <c r="AA117" s="21">
        <f>EXP(-LN(2)/25)*AA116+(1-EXP(-LN(2)/25))/(LN(2)/25)*Calculateur!V117*Calculateur!X117*VLOOKUP('Données projet'!$B$9,Paramètres!$A$1:$I$89,3,0)*0.475*44/12</f>
        <v>1.5544585745634933</v>
      </c>
      <c r="AB117" s="21">
        <f>EXP(-LN(2)/2)*AB116+(1-EXP(-LN(2)/2))/(LN(2)/2)*V117*Y117*VLOOKUP('Données projet'!$B$9,Paramètres!$A$1:$I$89,3,0)*0.475*44/12</f>
        <v>3.8486452455210066E-13</v>
      </c>
      <c r="AC117" s="22">
        <f t="shared" si="57"/>
        <v>2.1399118373534196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5.6843418860808015E-13</v>
      </c>
      <c r="AJ117" s="13">
        <f>AI117*VLOOKUP('Données projet'!$B$10,Paramètres!$A$1:$I$89,3,0)*VLOOKUP('Données projet'!$B$10,Paramètres!$A$1:$I$89,5,0)</f>
        <v>3.1036506698001181E-13</v>
      </c>
      <c r="AK117" s="13">
        <f t="shared" si="89"/>
        <v>4.086682523110923E-12</v>
      </c>
      <c r="AL117" s="20">
        <f t="shared" si="58"/>
        <v>7.6581912194083782E-12</v>
      </c>
      <c r="AM117" s="59">
        <f t="shared" si="59"/>
        <v>293.33333333334099</v>
      </c>
      <c r="AN117" s="59">
        <f ca="1">AVERAGE(OFFSET($AM$3,0,0,'Données projet'!$E$10+1,1))-AVERAGE(OFFSET($H$3,0,0,'Données projet'!$E$10+1,1))</f>
        <v>248.1486444660062</v>
      </c>
      <c r="AO117" s="59">
        <f t="shared" si="90"/>
        <v>293.34458072322127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1.6138246001135705</v>
      </c>
      <c r="AV117" s="21">
        <f>EXP(-LN(2)/25)*AV116+(1-EXP(-LN(2)/25))/(LN(2)/25)*Calculateur!AQ117*Calculateur!AS117*VLOOKUP('Données projet'!$B$10,Paramètres!$A$1:$I$89,3,0)*0.475*44/12</f>
        <v>3.3151251463235432</v>
      </c>
      <c r="AW117" s="21">
        <f>EXP(-LN(2)/2)*AW116+(1-EXP(-LN(2)/2))/(LN(2)/2)*AQ117*AT117*VLOOKUP('Données projet'!$B$10,Paramètres!$A$1:$I$89,3,0)*0.475*44/12</f>
        <v>5.7258207823147707E-12</v>
      </c>
      <c r="AX117" s="21">
        <f t="shared" si="60"/>
        <v>4.9289497464428402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210.04871822652808</v>
      </c>
      <c r="BJ117" s="59">
        <f t="shared" si="92"/>
        <v>250.17540614049324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1.383278228668775</v>
      </c>
      <c r="BQ117" s="21">
        <f>EXP(-LN(2)/25)*BQ116+(1-EXP(-LN(2)/25))/(LN(2)/25)*Calculateur!BL117*Calculateur!BN117*VLOOKUP('Données projet'!$B$11,Paramètres!$A$1:$I$89,3,0)*0.475*44/12</f>
        <v>2.7105882814314728</v>
      </c>
      <c r="BR117" s="21">
        <f>EXP(-LN(2)/2)*BR116+(1-EXP(-LN(2)/2))/(LN(2)/2)*BL117*BO117*VLOOKUP('Données projet'!$B$11,Paramètres!$A$1:$I$89,3,0)*0.475*44/12</f>
        <v>4.9007869023061408E-12</v>
      </c>
      <c r="BS117" s="22">
        <f t="shared" si="63"/>
        <v>4.0938665101051486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1277.6923076923067</v>
      </c>
      <c r="BZ117" s="13">
        <f>BY117*VLOOKUP('Données projet'!$B$12,Paramètres!$A$1:$I$89,3,0)*VLOOKUP('Données projet'!$B$12,Paramètres!$A$1:$I$89,5,0)</f>
        <v>614.5699999999996</v>
      </c>
      <c r="CA117" s="13">
        <f t="shared" si="93"/>
        <v>134.13240620831178</v>
      </c>
      <c r="CB117" s="20">
        <f t="shared" si="64"/>
        <v>1303.9900241461421</v>
      </c>
      <c r="CC117" s="59">
        <f t="shared" si="65"/>
        <v>1597.3233574794754</v>
      </c>
      <c r="CD117" s="59">
        <f ca="1">AVERAGE(OFFSET($CC$3,0,0,'Données projet'!$E$12+1,1))-AVERAGE(OFFSET($H$3,0,0,'Données projet'!$E$12+1,1))</f>
        <v>304.15237106473313</v>
      </c>
      <c r="CE117" s="59">
        <f t="shared" si="94"/>
        <v>120.85458928724336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255.5374979188561</v>
      </c>
      <c r="T118" s="59">
        <f t="shared" si="88"/>
        <v>343.10418468620901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0.57397288139746883</v>
      </c>
      <c r="AA118" s="21">
        <f>EXP(-LN(2)/25)*AA117+(1-EXP(-LN(2)/25))/(LN(2)/25)*Calculateur!V118*Calculateur!X118*VLOOKUP('Données projet'!$B$9,Paramètres!$A$1:$I$89,3,0)*0.475*44/12</f>
        <v>1.5119518230966309</v>
      </c>
      <c r="AB118" s="21">
        <f>EXP(-LN(2)/2)*AB117+(1-EXP(-LN(2)/2))/(LN(2)/2)*V118*Y118*VLOOKUP('Données projet'!$B$9,Paramètres!$A$1:$I$89,3,0)*0.475*44/12</f>
        <v>2.7214031514892688E-13</v>
      </c>
      <c r="AC118" s="22">
        <f t="shared" si="57"/>
        <v>2.0859247044943721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5.6843418860808015E-13</v>
      </c>
      <c r="AJ118" s="13">
        <f>AI118*VLOOKUP('Données projet'!$B$10,Paramètres!$A$1:$I$89,3,0)*VLOOKUP('Données projet'!$B$10,Paramètres!$A$1:$I$89,5,0)</f>
        <v>3.1036506698001181E-13</v>
      </c>
      <c r="AK118" s="13">
        <f t="shared" si="89"/>
        <v>4.086682523110923E-12</v>
      </c>
      <c r="AL118" s="20">
        <f t="shared" si="58"/>
        <v>7.6581912194083782E-12</v>
      </c>
      <c r="AM118" s="59">
        <f t="shared" si="59"/>
        <v>293.33333333334099</v>
      </c>
      <c r="AN118" s="59">
        <f ca="1">AVERAGE(OFFSET($AM$3,0,0,'Données projet'!$E$10+1,1))-AVERAGE(OFFSET($H$3,0,0,'Données projet'!$E$10+1,1))</f>
        <v>248.1486444660062</v>
      </c>
      <c r="AO118" s="59">
        <f t="shared" si="90"/>
        <v>293.34458072322127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1.5821784840411544</v>
      </c>
      <c r="AV118" s="21">
        <f>EXP(-LN(2)/25)*AV117+(1-EXP(-LN(2)/25))/(LN(2)/25)*Calculateur!AQ118*Calculateur!AS118*VLOOKUP('Données projet'!$B$10,Paramètres!$A$1:$I$89,3,0)*0.475*44/12</f>
        <v>3.2244728748624714</v>
      </c>
      <c r="AW118" s="21">
        <f>EXP(-LN(2)/2)*AW117+(1-EXP(-LN(2)/2))/(LN(2)/2)*AQ118*AT118*VLOOKUP('Données projet'!$B$10,Paramètres!$A$1:$I$89,3,0)*0.475*44/12</f>
        <v>4.0487667030336369E-12</v>
      </c>
      <c r="AX118" s="21">
        <f t="shared" si="60"/>
        <v>4.8066513589076747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210.04871822652808</v>
      </c>
      <c r="BJ118" s="59">
        <f t="shared" si="92"/>
        <v>250.17540614049324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1.3561529863209898</v>
      </c>
      <c r="BQ118" s="21">
        <f>EXP(-LN(2)/25)*BQ117+(1-EXP(-LN(2)/25))/(LN(2)/25)*Calculateur!BL118*Calculateur!BN118*VLOOKUP('Données projet'!$B$11,Paramètres!$A$1:$I$89,3,0)*0.475*44/12</f>
        <v>2.6364671023320865</v>
      </c>
      <c r="BR118" s="21">
        <f>EXP(-LN(2)/2)*BR117+(1-EXP(-LN(2)/2))/(LN(2)/2)*BL118*BO118*VLOOKUP('Données projet'!$B$11,Paramètres!$A$1:$I$89,3,0)*0.475*44/12</f>
        <v>3.4653796517708864E-12</v>
      </c>
      <c r="BS118" s="22">
        <f t="shared" si="63"/>
        <v>3.9926200886565417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1277.6923076923067</v>
      </c>
      <c r="BZ118" s="13">
        <f>BY118*VLOOKUP('Données projet'!$B$12,Paramètres!$A$1:$I$89,3,0)*VLOOKUP('Données projet'!$B$12,Paramètres!$A$1:$I$89,5,0)</f>
        <v>614.5699999999996</v>
      </c>
      <c r="CA118" s="13">
        <f t="shared" si="93"/>
        <v>134.13240620831178</v>
      </c>
      <c r="CB118" s="20">
        <f t="shared" si="64"/>
        <v>1303.9900241461421</v>
      </c>
      <c r="CC118" s="59">
        <f t="shared" si="65"/>
        <v>1597.3233574794754</v>
      </c>
      <c r="CD118" s="59">
        <f ca="1">AVERAGE(OFFSET($CC$3,0,0,'Données projet'!$E$12+1,1))-AVERAGE(OFFSET($H$3,0,0,'Données projet'!$E$12+1,1))</f>
        <v>304.15237106473313</v>
      </c>
      <c r="CE118" s="59">
        <f t="shared" si="94"/>
        <v>120.85458928724336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255.5374979188561</v>
      </c>
      <c r="T119" s="59">
        <f t="shared" si="88"/>
        <v>343.10418468620901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0.56271762328215369</v>
      </c>
      <c r="AA119" s="21">
        <f>EXP(-LN(2)/25)*AA118+(1-EXP(-LN(2)/25))/(LN(2)/25)*Calculateur!V119*Calculateur!X119*VLOOKUP('Données projet'!$B$9,Paramètres!$A$1:$I$89,3,0)*0.475*44/12</f>
        <v>1.4706074209839628</v>
      </c>
      <c r="AB119" s="21">
        <f>EXP(-LN(2)/2)*AB118+(1-EXP(-LN(2)/2))/(LN(2)/2)*V119*Y119*VLOOKUP('Données projet'!$B$9,Paramètres!$A$1:$I$89,3,0)*0.475*44/12</f>
        <v>1.9243226227605033E-13</v>
      </c>
      <c r="AC119" s="22">
        <f t="shared" si="57"/>
        <v>2.0333250442663089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5.6843418860808015E-13</v>
      </c>
      <c r="AJ119" s="13">
        <f>AI119*VLOOKUP('Données projet'!$B$10,Paramètres!$A$1:$I$89,3,0)*VLOOKUP('Données projet'!$B$10,Paramètres!$A$1:$I$89,5,0)</f>
        <v>3.1036506698001181E-13</v>
      </c>
      <c r="AK119" s="13">
        <f t="shared" si="89"/>
        <v>4.086682523110923E-12</v>
      </c>
      <c r="AL119" s="20">
        <f t="shared" si="58"/>
        <v>7.6581912194083782E-12</v>
      </c>
      <c r="AM119" s="59">
        <f t="shared" si="59"/>
        <v>293.33333333334099</v>
      </c>
      <c r="AN119" s="59">
        <f ca="1">AVERAGE(OFFSET($AM$3,0,0,'Données projet'!$E$10+1,1))-AVERAGE(OFFSET($H$3,0,0,'Données projet'!$E$10+1,1))</f>
        <v>248.1486444660062</v>
      </c>
      <c r="AO119" s="59">
        <f t="shared" si="90"/>
        <v>293.34458072322127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1.5511529290026935</v>
      </c>
      <c r="AV119" s="21">
        <f>EXP(-LN(2)/25)*AV118+(1-EXP(-LN(2)/25))/(LN(2)/25)*Calculateur!AQ119*Calculateur!AS119*VLOOKUP('Données projet'!$B$10,Paramètres!$A$1:$I$89,3,0)*0.475*44/12</f>
        <v>3.1362994945316984</v>
      </c>
      <c r="AW119" s="21">
        <f>EXP(-LN(2)/2)*AW118+(1-EXP(-LN(2)/2))/(LN(2)/2)*AQ119*AT119*VLOOKUP('Données projet'!$B$10,Paramètres!$A$1:$I$89,3,0)*0.475*44/12</f>
        <v>2.8629103911573853E-12</v>
      </c>
      <c r="AX119" s="21">
        <f t="shared" si="60"/>
        <v>4.6874524235372546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210.04871822652808</v>
      </c>
      <c r="BJ119" s="59">
        <f t="shared" si="92"/>
        <v>250.17540614049324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1.3295596534308805</v>
      </c>
      <c r="BQ119" s="21">
        <f>EXP(-LN(2)/25)*BQ118+(1-EXP(-LN(2)/25))/(LN(2)/25)*Calculateur!BL119*Calculateur!BN119*VLOOKUP('Données projet'!$B$11,Paramètres!$A$1:$I$89,3,0)*0.475*44/12</f>
        <v>2.5643727707730366</v>
      </c>
      <c r="BR119" s="21">
        <f>EXP(-LN(2)/2)*BR118+(1-EXP(-LN(2)/2))/(LN(2)/2)*BL119*BO119*VLOOKUP('Données projet'!$B$11,Paramètres!$A$1:$I$89,3,0)*0.475*44/12</f>
        <v>2.4503934511530704E-12</v>
      </c>
      <c r="BS119" s="22">
        <f t="shared" si="63"/>
        <v>3.8939324242063673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1277.6923076923067</v>
      </c>
      <c r="BZ119" s="13">
        <f>BY119*VLOOKUP('Données projet'!$B$12,Paramètres!$A$1:$I$89,3,0)*VLOOKUP('Données projet'!$B$12,Paramètres!$A$1:$I$89,5,0)</f>
        <v>614.5699999999996</v>
      </c>
      <c r="CA119" s="13">
        <f t="shared" si="93"/>
        <v>134.13240620831178</v>
      </c>
      <c r="CB119" s="20">
        <f t="shared" si="64"/>
        <v>1303.9900241461421</v>
      </c>
      <c r="CC119" s="59">
        <f t="shared" si="65"/>
        <v>1597.3233574794754</v>
      </c>
      <c r="CD119" s="59">
        <f ca="1">AVERAGE(OFFSET($CC$3,0,0,'Données projet'!$E$12+1,1))-AVERAGE(OFFSET($H$3,0,0,'Données projet'!$E$12+1,1))</f>
        <v>304.15237106473313</v>
      </c>
      <c r="CE119" s="59">
        <f t="shared" si="94"/>
        <v>120.85458928724336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255.5374979188561</v>
      </c>
      <c r="T120" s="59">
        <f t="shared" si="88"/>
        <v>343.10418468620901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0.55168307391345028</v>
      </c>
      <c r="AA120" s="21">
        <f>EXP(-LN(2)/25)*AA119+(1-EXP(-LN(2)/25))/(LN(2)/25)*Calculateur!V120*Calculateur!X120*VLOOKUP('Données projet'!$B$9,Paramètres!$A$1:$I$89,3,0)*0.475*44/12</f>
        <v>1.4303935837212731</v>
      </c>
      <c r="AB120" s="21">
        <f>EXP(-LN(2)/2)*AB119+(1-EXP(-LN(2)/2))/(LN(2)/2)*V120*Y120*VLOOKUP('Données projet'!$B$9,Paramètres!$A$1:$I$89,3,0)*0.475*44/12</f>
        <v>1.3607015757446344E-13</v>
      </c>
      <c r="AC120" s="22">
        <f t="shared" si="57"/>
        <v>1.9820766576348594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5.6843418860808015E-13</v>
      </c>
      <c r="AJ120" s="13">
        <f>AI120*VLOOKUP('Données projet'!$B$10,Paramètres!$A$1:$I$89,3,0)*VLOOKUP('Données projet'!$B$10,Paramètres!$A$1:$I$89,5,0)</f>
        <v>3.1036506698001181E-13</v>
      </c>
      <c r="AK120" s="13">
        <f t="shared" si="89"/>
        <v>4.086682523110923E-12</v>
      </c>
      <c r="AL120" s="20">
        <f t="shared" si="58"/>
        <v>7.6581912194083782E-12</v>
      </c>
      <c r="AM120" s="59">
        <f t="shared" si="59"/>
        <v>293.33333333334099</v>
      </c>
      <c r="AN120" s="59">
        <f ca="1">AVERAGE(OFFSET($AM$3,0,0,'Données projet'!$E$10+1,1))-AVERAGE(OFFSET($H$3,0,0,'Données projet'!$E$10+1,1))</f>
        <v>248.1486444660062</v>
      </c>
      <c r="AO120" s="59">
        <f t="shared" si="90"/>
        <v>293.34458072322127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1.5207357661748169</v>
      </c>
      <c r="AV120" s="21">
        <f>EXP(-LN(2)/25)*AV119+(1-EXP(-LN(2)/25))/(LN(2)/25)*Calculateur!AQ120*Calculateur!AS120*VLOOKUP('Données projet'!$B$10,Paramètres!$A$1:$I$89,3,0)*0.475*44/12</f>
        <v>3.0505372199229068</v>
      </c>
      <c r="AW120" s="21">
        <f>EXP(-LN(2)/2)*AW119+(1-EXP(-LN(2)/2))/(LN(2)/2)*AQ120*AT120*VLOOKUP('Données projet'!$B$10,Paramètres!$A$1:$I$89,3,0)*0.475*44/12</f>
        <v>2.0243833515168184E-12</v>
      </c>
      <c r="AX120" s="21">
        <f t="shared" si="60"/>
        <v>4.5712729860997481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210.04871822652808</v>
      </c>
      <c r="BJ120" s="59">
        <f t="shared" si="92"/>
        <v>250.17540614049324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1.3034877995784147</v>
      </c>
      <c r="BQ120" s="21">
        <f>EXP(-LN(2)/25)*BQ119+(1-EXP(-LN(2)/25))/(LN(2)/25)*Calculateur!BL120*Calculateur!BN120*VLOOKUP('Données projet'!$B$11,Paramètres!$A$1:$I$89,3,0)*0.475*44/12</f>
        <v>2.4942498625017451</v>
      </c>
      <c r="BR120" s="21">
        <f>EXP(-LN(2)/2)*BR119+(1-EXP(-LN(2)/2))/(LN(2)/2)*BL120*BO120*VLOOKUP('Données projet'!$B$11,Paramètres!$A$1:$I$89,3,0)*0.475*44/12</f>
        <v>1.7326898258854432E-12</v>
      </c>
      <c r="BS120" s="22">
        <f t="shared" si="63"/>
        <v>3.7977376620818926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1277.6923076923067</v>
      </c>
      <c r="BZ120" s="13">
        <f>BY120*VLOOKUP('Données projet'!$B$12,Paramètres!$A$1:$I$89,3,0)*VLOOKUP('Données projet'!$B$12,Paramètres!$A$1:$I$89,5,0)</f>
        <v>614.5699999999996</v>
      </c>
      <c r="CA120" s="13">
        <f t="shared" si="93"/>
        <v>134.13240620831178</v>
      </c>
      <c r="CB120" s="20">
        <f t="shared" si="64"/>
        <v>1303.9900241461421</v>
      </c>
      <c r="CC120" s="59">
        <f t="shared" si="65"/>
        <v>1597.3233574794754</v>
      </c>
      <c r="CD120" s="59">
        <f ca="1">AVERAGE(OFFSET($CC$3,0,0,'Données projet'!$E$12+1,1))-AVERAGE(OFFSET($H$3,0,0,'Données projet'!$E$12+1,1))</f>
        <v>304.15237106473313</v>
      </c>
      <c r="CE120" s="59">
        <f t="shared" si="94"/>
        <v>120.85458928724336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255.5374979188561</v>
      </c>
      <c r="T121" s="59">
        <f t="shared" si="88"/>
        <v>343.10418468620901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0.54086490532745668</v>
      </c>
      <c r="AA121" s="21">
        <f>EXP(-LN(2)/25)*AA120+(1-EXP(-LN(2)/25))/(LN(2)/25)*Calculateur!V121*Calculateur!X121*VLOOKUP('Données projet'!$B$9,Paramètres!$A$1:$I$89,3,0)*0.475*44/12</f>
        <v>1.3912793959532856</v>
      </c>
      <c r="AB121" s="21">
        <f>EXP(-LN(2)/2)*AB120+(1-EXP(-LN(2)/2))/(LN(2)/2)*V121*Y121*VLOOKUP('Données projet'!$B$9,Paramètres!$A$1:$I$89,3,0)*0.475*44/12</f>
        <v>9.6216131138025164E-14</v>
      </c>
      <c r="AC121" s="22">
        <f t="shared" si="57"/>
        <v>1.9321443012808384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5.6843418860808015E-13</v>
      </c>
      <c r="AJ121" s="13">
        <f>AI121*VLOOKUP('Données projet'!$B$10,Paramètres!$A$1:$I$89,3,0)*VLOOKUP('Données projet'!$B$10,Paramètres!$A$1:$I$89,5,0)</f>
        <v>3.1036506698001181E-13</v>
      </c>
      <c r="AK121" s="13">
        <f t="shared" si="89"/>
        <v>4.086682523110923E-12</v>
      </c>
      <c r="AL121" s="20">
        <f t="shared" si="58"/>
        <v>7.6581912194083782E-12</v>
      </c>
      <c r="AM121" s="59">
        <f t="shared" si="59"/>
        <v>293.33333333334099</v>
      </c>
      <c r="AN121" s="59">
        <f ca="1">AVERAGE(OFFSET($AM$3,0,0,'Données projet'!$E$10+1,1))-AVERAGE(OFFSET($H$3,0,0,'Données projet'!$E$10+1,1))</f>
        <v>248.1486444660062</v>
      </c>
      <c r="AO121" s="59">
        <f t="shared" si="90"/>
        <v>293.34458072322127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1.4909150653573575</v>
      </c>
      <c r="AV121" s="21">
        <f>EXP(-LN(2)/25)*AV120+(1-EXP(-LN(2)/25))/(LN(2)/25)*Calculateur!AQ121*Calculateur!AS121*VLOOKUP('Données projet'!$B$10,Paramètres!$A$1:$I$89,3,0)*0.475*44/12</f>
        <v>2.9671201192233347</v>
      </c>
      <c r="AW121" s="21">
        <f>EXP(-LN(2)/2)*AW120+(1-EXP(-LN(2)/2))/(LN(2)/2)*AQ121*AT121*VLOOKUP('Données projet'!$B$10,Paramètres!$A$1:$I$89,3,0)*0.475*44/12</f>
        <v>1.4314551955786927E-12</v>
      </c>
      <c r="AX121" s="21">
        <f t="shared" si="60"/>
        <v>4.4580351845821244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210.04871822652808</v>
      </c>
      <c r="BJ121" s="59">
        <f t="shared" si="92"/>
        <v>250.17540614049324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1.2779271988777352</v>
      </c>
      <c r="BQ121" s="21">
        <f>EXP(-LN(2)/25)*BQ120+(1-EXP(-LN(2)/25))/(LN(2)/25)*Calculateur!BL121*Calculateur!BN121*VLOOKUP('Données projet'!$B$11,Paramètres!$A$1:$I$89,3,0)*0.475*44/12</f>
        <v>2.4260444688447351</v>
      </c>
      <c r="BR121" s="21">
        <f>EXP(-LN(2)/2)*BR120+(1-EXP(-LN(2)/2))/(LN(2)/2)*BL121*BO121*VLOOKUP('Données projet'!$B$11,Paramètres!$A$1:$I$89,3,0)*0.475*44/12</f>
        <v>1.2251967255765352E-12</v>
      </c>
      <c r="BS121" s="22">
        <f t="shared" si="63"/>
        <v>3.7039716677236956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1277.6923076923067</v>
      </c>
      <c r="BZ121" s="13">
        <f>BY121*VLOOKUP('Données projet'!$B$12,Paramètres!$A$1:$I$89,3,0)*VLOOKUP('Données projet'!$B$12,Paramètres!$A$1:$I$89,5,0)</f>
        <v>614.5699999999996</v>
      </c>
      <c r="CA121" s="13">
        <f t="shared" si="93"/>
        <v>134.13240620831178</v>
      </c>
      <c r="CB121" s="20">
        <f t="shared" si="64"/>
        <v>1303.9900241461421</v>
      </c>
      <c r="CC121" s="59">
        <f t="shared" si="65"/>
        <v>1597.3233574794754</v>
      </c>
      <c r="CD121" s="59">
        <f ca="1">AVERAGE(OFFSET($CC$3,0,0,'Données projet'!$E$12+1,1))-AVERAGE(OFFSET($H$3,0,0,'Données projet'!$E$12+1,1))</f>
        <v>304.15237106473313</v>
      </c>
      <c r="CE121" s="59">
        <f t="shared" si="94"/>
        <v>120.85458928724336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255.5374979188561</v>
      </c>
      <c r="T122" s="59">
        <f t="shared" si="88"/>
        <v>343.10418468620901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0.5302588744290031</v>
      </c>
      <c r="AA122" s="21">
        <f>EXP(-LN(2)/25)*AA121+(1-EXP(-LN(2)/25))/(LN(2)/25)*Calculateur!V122*Calculateur!X122*VLOOKUP('Données projet'!$B$9,Paramètres!$A$1:$I$89,3,0)*0.475*44/12</f>
        <v>1.3532347877067394</v>
      </c>
      <c r="AB122" s="21">
        <f>EXP(-LN(2)/2)*AB121+(1-EXP(-LN(2)/2))/(LN(2)/2)*V122*Y122*VLOOKUP('Données projet'!$B$9,Paramètres!$A$1:$I$89,3,0)*0.475*44/12</f>
        <v>6.803507878723172E-14</v>
      </c>
      <c r="AC122" s="22">
        <f t="shared" si="57"/>
        <v>1.8834936621358105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5.6843418860808015E-13</v>
      </c>
      <c r="AJ122" s="13">
        <f>AI122*VLOOKUP('Données projet'!$B$10,Paramètres!$A$1:$I$89,3,0)*VLOOKUP('Données projet'!$B$10,Paramètres!$A$1:$I$89,5,0)</f>
        <v>3.1036506698001181E-13</v>
      </c>
      <c r="AK122" s="13">
        <f t="shared" si="89"/>
        <v>4.086682523110923E-12</v>
      </c>
      <c r="AL122" s="20">
        <f t="shared" si="58"/>
        <v>7.6581912194083782E-12</v>
      </c>
      <c r="AM122" s="59">
        <f t="shared" si="59"/>
        <v>293.33333333334099</v>
      </c>
      <c r="AN122" s="59">
        <f ca="1">AVERAGE(OFFSET($AM$3,0,0,'Données projet'!$E$10+1,1))-AVERAGE(OFFSET($H$3,0,0,'Données projet'!$E$10+1,1))</f>
        <v>248.1486444660062</v>
      </c>
      <c r="AO122" s="59">
        <f t="shared" si="90"/>
        <v>293.34458072322127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1.461679130294097</v>
      </c>
      <c r="AV122" s="21">
        <f>EXP(-LN(2)/25)*AV121+(1-EXP(-LN(2)/25))/(LN(2)/25)*Calculateur!AQ122*Calculateur!AS122*VLOOKUP('Données projet'!$B$10,Paramètres!$A$1:$I$89,3,0)*0.475*44/12</f>
        <v>2.885984063529107</v>
      </c>
      <c r="AW122" s="21">
        <f>EXP(-LN(2)/2)*AW121+(1-EXP(-LN(2)/2))/(LN(2)/2)*AQ122*AT122*VLOOKUP('Données projet'!$B$10,Paramètres!$A$1:$I$89,3,0)*0.475*44/12</f>
        <v>1.0121916757584092E-12</v>
      </c>
      <c r="AX122" s="21">
        <f t="shared" si="60"/>
        <v>4.3476631938242161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210.04871822652808</v>
      </c>
      <c r="BJ122" s="59">
        <f t="shared" si="92"/>
        <v>250.17540614049324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1.252867825966369</v>
      </c>
      <c r="BQ122" s="21">
        <f>EXP(-LN(2)/25)*BQ121+(1-EXP(-LN(2)/25))/(LN(2)/25)*Calculateur!BL122*Calculateur!BN122*VLOOKUP('Données projet'!$B$11,Paramètres!$A$1:$I$89,3,0)*0.475*44/12</f>
        <v>2.3597041552640419</v>
      </c>
      <c r="BR122" s="21">
        <f>EXP(-LN(2)/2)*BR121+(1-EXP(-LN(2)/2))/(LN(2)/2)*BL122*BO122*VLOOKUP('Données projet'!$B$11,Paramètres!$A$1:$I$89,3,0)*0.475*44/12</f>
        <v>8.6634491294272159E-13</v>
      </c>
      <c r="BS122" s="22">
        <f t="shared" si="63"/>
        <v>3.6125719812312771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1277.6923076923067</v>
      </c>
      <c r="BZ122" s="13">
        <f>BY122*VLOOKUP('Données projet'!$B$12,Paramètres!$A$1:$I$89,3,0)*VLOOKUP('Données projet'!$B$12,Paramètres!$A$1:$I$89,5,0)</f>
        <v>614.5699999999996</v>
      </c>
      <c r="CA122" s="13">
        <f t="shared" si="93"/>
        <v>134.13240620831178</v>
      </c>
      <c r="CB122" s="20">
        <f t="shared" si="64"/>
        <v>1303.9900241461421</v>
      </c>
      <c r="CC122" s="59">
        <f t="shared" si="65"/>
        <v>1597.3233574794754</v>
      </c>
      <c r="CD122" s="59">
        <f ca="1">AVERAGE(OFFSET($CC$3,0,0,'Données projet'!$E$12+1,1))-AVERAGE(OFFSET($H$3,0,0,'Données projet'!$E$12+1,1))</f>
        <v>304.15237106473313</v>
      </c>
      <c r="CE122" s="59">
        <f t="shared" si="94"/>
        <v>120.85458928724336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255.5374979188561</v>
      </c>
      <c r="T123" s="59">
        <f t="shared" si="88"/>
        <v>343.10418468620901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0.51986082132742806</v>
      </c>
      <c r="AA123" s="21">
        <f>EXP(-LN(2)/25)*AA122+(1-EXP(-LN(2)/25))/(LN(2)/25)*Calculateur!V123*Calculateur!X123*VLOOKUP('Données projet'!$B$9,Paramètres!$A$1:$I$89,3,0)*0.475*44/12</f>
        <v>1.3162305112733741</v>
      </c>
      <c r="AB123" s="21">
        <f>EXP(-LN(2)/2)*AB122+(1-EXP(-LN(2)/2))/(LN(2)/2)*V123*Y123*VLOOKUP('Données projet'!$B$9,Paramètres!$A$1:$I$89,3,0)*0.475*44/12</f>
        <v>4.8108065569012582E-14</v>
      </c>
      <c r="AC123" s="22">
        <f t="shared" si="57"/>
        <v>1.8360913326008503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5.6843418860808015E-13</v>
      </c>
      <c r="AJ123" s="13">
        <f>AI123*VLOOKUP('Données projet'!$B$10,Paramètres!$A$1:$I$89,3,0)*VLOOKUP('Données projet'!$B$10,Paramètres!$A$1:$I$89,5,0)</f>
        <v>3.1036506698001181E-13</v>
      </c>
      <c r="AK123" s="13">
        <f t="shared" si="89"/>
        <v>4.086682523110923E-12</v>
      </c>
      <c r="AL123" s="20">
        <f t="shared" si="58"/>
        <v>7.6581912194083782E-12</v>
      </c>
      <c r="AM123" s="59">
        <f t="shared" si="59"/>
        <v>293.33333333334099</v>
      </c>
      <c r="AN123" s="59">
        <f ca="1">AVERAGE(OFFSET($AM$3,0,0,'Données projet'!$E$10+1,1))-AVERAGE(OFFSET($H$3,0,0,'Données projet'!$E$10+1,1))</f>
        <v>248.1486444660062</v>
      </c>
      <c r="AO123" s="59">
        <f t="shared" si="90"/>
        <v>293.34458072322127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1.4330164940852674</v>
      </c>
      <c r="AV123" s="21">
        <f>EXP(-LN(2)/25)*AV122+(1-EXP(-LN(2)/25))/(LN(2)/25)*Calculateur!AQ123*Calculateur!AS123*VLOOKUP('Données projet'!$B$10,Paramètres!$A$1:$I$89,3,0)*0.475*44/12</f>
        <v>2.8070666775445976</v>
      </c>
      <c r="AW123" s="21">
        <f>EXP(-LN(2)/2)*AW122+(1-EXP(-LN(2)/2))/(LN(2)/2)*AQ123*AT123*VLOOKUP('Données projet'!$B$10,Paramètres!$A$1:$I$89,3,0)*0.475*44/12</f>
        <v>7.1572759778934633E-13</v>
      </c>
      <c r="AX123" s="21">
        <f t="shared" si="60"/>
        <v>4.2400831716305811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210.04871822652808</v>
      </c>
      <c r="BJ123" s="59">
        <f t="shared" si="92"/>
        <v>250.17540614049324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1.2282998520730866</v>
      </c>
      <c r="BQ123" s="21">
        <f>EXP(-LN(2)/25)*BQ122+(1-EXP(-LN(2)/25))/(LN(2)/25)*Calculateur!BL123*Calculateur!BN123*VLOOKUP('Données projet'!$B$11,Paramètres!$A$1:$I$89,3,0)*0.475*44/12</f>
        <v>2.2951779210468981</v>
      </c>
      <c r="BR123" s="21">
        <f>EXP(-LN(2)/2)*BR122+(1-EXP(-LN(2)/2))/(LN(2)/2)*BL123*BO123*VLOOKUP('Données projet'!$B$11,Paramètres!$A$1:$I$89,3,0)*0.475*44/12</f>
        <v>6.125983627882676E-13</v>
      </c>
      <c r="BS123" s="22">
        <f t="shared" si="63"/>
        <v>3.5234777731205971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1277.6923076923067</v>
      </c>
      <c r="BZ123" s="13">
        <f>BY123*VLOOKUP('Données projet'!$B$12,Paramètres!$A$1:$I$89,3,0)*VLOOKUP('Données projet'!$B$12,Paramètres!$A$1:$I$89,5,0)</f>
        <v>614.5699999999996</v>
      </c>
      <c r="CA123" s="13">
        <f t="shared" si="93"/>
        <v>134.13240620831178</v>
      </c>
      <c r="CB123" s="20">
        <f t="shared" si="64"/>
        <v>1303.9900241461421</v>
      </c>
      <c r="CC123" s="59">
        <f t="shared" si="65"/>
        <v>1597.3233574794754</v>
      </c>
      <c r="CD123" s="59">
        <f ca="1">AVERAGE(OFFSET($CC$3,0,0,'Données projet'!$E$12+1,1))-AVERAGE(OFFSET($H$3,0,0,'Données projet'!$E$12+1,1))</f>
        <v>304.15237106473313</v>
      </c>
      <c r="CE123" s="59">
        <f t="shared" si="94"/>
        <v>120.85458928724336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255.5374979188561</v>
      </c>
      <c r="T124" s="59">
        <f t="shared" si="88"/>
        <v>343.10418468620901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0.50966666770498881</v>
      </c>
      <c r="AA124" s="21">
        <f>EXP(-LN(2)/25)*AA123+(1-EXP(-LN(2)/25))/(LN(2)/25)*Calculateur!V124*Calculateur!X124*VLOOKUP('Données projet'!$B$9,Paramètres!$A$1:$I$89,3,0)*0.475*44/12</f>
        <v>1.2802381187250493</v>
      </c>
      <c r="AB124" s="21">
        <f>EXP(-LN(2)/2)*AB123+(1-EXP(-LN(2)/2))/(LN(2)/2)*V124*Y124*VLOOKUP('Données projet'!$B$9,Paramètres!$A$1:$I$89,3,0)*0.475*44/12</f>
        <v>3.401753939361586E-14</v>
      </c>
      <c r="AC124" s="22">
        <f t="shared" si="57"/>
        <v>1.7899047864300721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5.6843418860808015E-13</v>
      </c>
      <c r="AJ124" s="13">
        <f>AI124*VLOOKUP('Données projet'!$B$10,Paramètres!$A$1:$I$89,3,0)*VLOOKUP('Données projet'!$B$10,Paramètres!$A$1:$I$89,5,0)</f>
        <v>3.1036506698001181E-13</v>
      </c>
      <c r="AK124" s="13">
        <f t="shared" si="89"/>
        <v>4.086682523110923E-12</v>
      </c>
      <c r="AL124" s="20">
        <f t="shared" si="58"/>
        <v>7.6581912194083782E-12</v>
      </c>
      <c r="AM124" s="59">
        <f t="shared" si="59"/>
        <v>293.33333333334099</v>
      </c>
      <c r="AN124" s="59">
        <f ca="1">AVERAGE(OFFSET($AM$3,0,0,'Données projet'!$E$10+1,1))-AVERAGE(OFFSET($H$3,0,0,'Données projet'!$E$10+1,1))</f>
        <v>248.1486444660062</v>
      </c>
      <c r="AO124" s="59">
        <f t="shared" si="90"/>
        <v>293.34458072322127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1.404915914690011</v>
      </c>
      <c r="AV124" s="21">
        <f>EXP(-LN(2)/25)*AV123+(1-EXP(-LN(2)/25))/(LN(2)/25)*Calculateur!AQ124*Calculateur!AS124*VLOOKUP('Données projet'!$B$10,Paramètres!$A$1:$I$89,3,0)*0.475*44/12</f>
        <v>2.7303072916299196</v>
      </c>
      <c r="AW124" s="21">
        <f>EXP(-LN(2)/2)*AW123+(1-EXP(-LN(2)/2))/(LN(2)/2)*AQ124*AT124*VLOOKUP('Données projet'!$B$10,Paramètres!$A$1:$I$89,3,0)*0.475*44/12</f>
        <v>5.0609583787920461E-13</v>
      </c>
      <c r="AX124" s="21">
        <f t="shared" si="60"/>
        <v>4.1352232063204371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210.04871822652808</v>
      </c>
      <c r="BJ124" s="59">
        <f t="shared" si="92"/>
        <v>250.17540614049324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1.2042136411628668</v>
      </c>
      <c r="BQ124" s="21">
        <f>EXP(-LN(2)/25)*BQ123+(1-EXP(-LN(2)/25))/(LN(2)/25)*Calculateur!BL124*Calculateur!BN124*VLOOKUP('Données projet'!$B$11,Paramètres!$A$1:$I$89,3,0)*0.475*44/12</f>
        <v>2.2324161600977095</v>
      </c>
      <c r="BR124" s="21">
        <f>EXP(-LN(2)/2)*BR123+(1-EXP(-LN(2)/2))/(LN(2)/2)*BL124*BO124*VLOOKUP('Données projet'!$B$11,Paramètres!$A$1:$I$89,3,0)*0.475*44/12</f>
        <v>4.331724564713608E-13</v>
      </c>
      <c r="BS124" s="22">
        <f t="shared" si="63"/>
        <v>3.436629801261009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1277.6923076923067</v>
      </c>
      <c r="BZ124" s="13">
        <f>BY124*VLOOKUP('Données projet'!$B$12,Paramètres!$A$1:$I$89,3,0)*VLOOKUP('Données projet'!$B$12,Paramètres!$A$1:$I$89,5,0)</f>
        <v>614.5699999999996</v>
      </c>
      <c r="CA124" s="13">
        <f t="shared" si="93"/>
        <v>134.13240620831178</v>
      </c>
      <c r="CB124" s="20">
        <f t="shared" si="64"/>
        <v>1303.9900241461421</v>
      </c>
      <c r="CC124" s="59">
        <f t="shared" si="65"/>
        <v>1597.3233574794754</v>
      </c>
      <c r="CD124" s="59">
        <f ca="1">AVERAGE(OFFSET($CC$3,0,0,'Données projet'!$E$12+1,1))-AVERAGE(OFFSET($H$3,0,0,'Données projet'!$E$12+1,1))</f>
        <v>304.15237106473313</v>
      </c>
      <c r="CE124" s="59">
        <f t="shared" si="94"/>
        <v>120.85458928724336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255.5374979188561</v>
      </c>
      <c r="T125" s="59">
        <f t="shared" si="88"/>
        <v>343.10418468620901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0.4996724152172658</v>
      </c>
      <c r="AA125" s="21">
        <f>EXP(-LN(2)/25)*AA124+(1-EXP(-LN(2)/25))/(LN(2)/25)*Calculateur!V125*Calculateur!X125*VLOOKUP('Données projet'!$B$9,Paramètres!$A$1:$I$89,3,0)*0.475*44/12</f>
        <v>1.2452299400437161</v>
      </c>
      <c r="AB125" s="21">
        <f>EXP(-LN(2)/2)*AB124+(1-EXP(-LN(2)/2))/(LN(2)/2)*V125*Y125*VLOOKUP('Données projet'!$B$9,Paramètres!$A$1:$I$89,3,0)*0.475*44/12</f>
        <v>2.4054032784506291E-14</v>
      </c>
      <c r="AC125" s="22">
        <f t="shared" si="57"/>
        <v>1.7449023552610059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5.6843418860808015E-13</v>
      </c>
      <c r="AJ125" s="13">
        <f>AI125*VLOOKUP('Données projet'!$B$10,Paramètres!$A$1:$I$89,3,0)*VLOOKUP('Données projet'!$B$10,Paramètres!$A$1:$I$89,5,0)</f>
        <v>3.1036506698001181E-13</v>
      </c>
      <c r="AK125" s="13">
        <f t="shared" si="89"/>
        <v>4.086682523110923E-12</v>
      </c>
      <c r="AL125" s="20">
        <f t="shared" si="58"/>
        <v>7.6581912194083782E-12</v>
      </c>
      <c r="AM125" s="59">
        <f t="shared" si="59"/>
        <v>293.33333333334099</v>
      </c>
      <c r="AN125" s="59">
        <f ca="1">AVERAGE(OFFSET($AM$3,0,0,'Données projet'!$E$10+1,1))-AVERAGE(OFFSET($H$3,0,0,'Données projet'!$E$10+1,1))</f>
        <v>248.1486444660062</v>
      </c>
      <c r="AO125" s="59">
        <f t="shared" si="90"/>
        <v>293.34458072322127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1.3773663705170345</v>
      </c>
      <c r="AV125" s="21">
        <f>EXP(-LN(2)/25)*AV124+(1-EXP(-LN(2)/25))/(LN(2)/25)*Calculateur!AQ125*Calculateur!AS125*VLOOKUP('Données projet'!$B$10,Paramètres!$A$1:$I$89,3,0)*0.475*44/12</f>
        <v>2.6556468951596792</v>
      </c>
      <c r="AW125" s="21">
        <f>EXP(-LN(2)/2)*AW124+(1-EXP(-LN(2)/2))/(LN(2)/2)*AQ125*AT125*VLOOKUP('Données projet'!$B$10,Paramètres!$A$1:$I$89,3,0)*0.475*44/12</f>
        <v>3.5786379889467317E-13</v>
      </c>
      <c r="AX125" s="21">
        <f t="shared" si="60"/>
        <v>4.0330132656770719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210.04871822652808</v>
      </c>
      <c r="BJ125" s="59">
        <f t="shared" si="92"/>
        <v>250.17540614049324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1.1805997461574584</v>
      </c>
      <c r="BQ125" s="21">
        <f>EXP(-LN(2)/25)*BQ124+(1-EXP(-LN(2)/25))/(LN(2)/25)*Calculateur!BL125*Calculateur!BN125*VLOOKUP('Données projet'!$B$11,Paramètres!$A$1:$I$89,3,0)*0.475*44/12</f>
        <v>2.1713706228021739</v>
      </c>
      <c r="BR125" s="21">
        <f>EXP(-LN(2)/2)*BR124+(1-EXP(-LN(2)/2))/(LN(2)/2)*BL125*BO125*VLOOKUP('Données projet'!$B$11,Paramètres!$A$1:$I$89,3,0)*0.475*44/12</f>
        <v>3.062991813941338E-13</v>
      </c>
      <c r="BS125" s="22">
        <f t="shared" si="63"/>
        <v>3.3519703689599387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1277.6923076923067</v>
      </c>
      <c r="BZ125" s="13">
        <f>BY125*VLOOKUP('Données projet'!$B$12,Paramètres!$A$1:$I$89,3,0)*VLOOKUP('Données projet'!$B$12,Paramètres!$A$1:$I$89,5,0)</f>
        <v>614.5699999999996</v>
      </c>
      <c r="CA125" s="13">
        <f t="shared" si="93"/>
        <v>134.13240620831178</v>
      </c>
      <c r="CB125" s="20">
        <f t="shared" si="64"/>
        <v>1303.9900241461421</v>
      </c>
      <c r="CC125" s="59">
        <f t="shared" si="65"/>
        <v>1597.3233574794754</v>
      </c>
      <c r="CD125" s="59">
        <f ca="1">AVERAGE(OFFSET($CC$3,0,0,'Données projet'!$E$12+1,1))-AVERAGE(OFFSET($H$3,0,0,'Données projet'!$E$12+1,1))</f>
        <v>304.15237106473313</v>
      </c>
      <c r="CE125" s="59">
        <f t="shared" si="94"/>
        <v>120.85458928724336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255.5374979188561</v>
      </c>
      <c r="T126" s="59">
        <f t="shared" si="88"/>
        <v>343.10418468620901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0.48987414392493495</v>
      </c>
      <c r="AA126" s="21">
        <f>EXP(-LN(2)/25)*AA125+(1-EXP(-LN(2)/25))/(LN(2)/25)*Calculateur!V126*Calculateur!X126*VLOOKUP('Données projet'!$B$9,Paramètres!$A$1:$I$89,3,0)*0.475*44/12</f>
        <v>1.2111790618494243</v>
      </c>
      <c r="AB126" s="21">
        <f>EXP(-LN(2)/2)*AB125+(1-EXP(-LN(2)/2))/(LN(2)/2)*V126*Y126*VLOOKUP('Données projet'!$B$9,Paramètres!$A$1:$I$89,3,0)*0.475*44/12</f>
        <v>1.700876969680793E-14</v>
      </c>
      <c r="AC126" s="22">
        <f t="shared" si="57"/>
        <v>1.7010532057743764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5.6843418860808015E-13</v>
      </c>
      <c r="AJ126" s="13">
        <f>AI126*VLOOKUP('Données projet'!$B$10,Paramètres!$A$1:$I$89,3,0)*VLOOKUP('Données projet'!$B$10,Paramètres!$A$1:$I$89,5,0)</f>
        <v>3.1036506698001181E-13</v>
      </c>
      <c r="AK126" s="13">
        <f t="shared" si="89"/>
        <v>4.086682523110923E-12</v>
      </c>
      <c r="AL126" s="20">
        <f t="shared" si="58"/>
        <v>7.6581912194083782E-12</v>
      </c>
      <c r="AM126" s="59">
        <f t="shared" si="59"/>
        <v>293.33333333334099</v>
      </c>
      <c r="AN126" s="59">
        <f ca="1">AVERAGE(OFFSET($AM$3,0,0,'Données projet'!$E$10+1,1))-AVERAGE(OFFSET($H$3,0,0,'Données projet'!$E$10+1,1))</f>
        <v>248.1486444660062</v>
      </c>
      <c r="AO126" s="59">
        <f t="shared" si="90"/>
        <v>293.34458072322127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1.3503570561017275</v>
      </c>
      <c r="AV126" s="21">
        <f>EXP(-LN(2)/25)*AV125+(1-EXP(-LN(2)/25))/(LN(2)/25)*Calculateur!AQ126*Calculateur!AS126*VLOOKUP('Données projet'!$B$10,Paramètres!$A$1:$I$89,3,0)*0.475*44/12</f>
        <v>2.5830280911571371</v>
      </c>
      <c r="AW126" s="21">
        <f>EXP(-LN(2)/2)*AW125+(1-EXP(-LN(2)/2))/(LN(2)/2)*AQ126*AT126*VLOOKUP('Données projet'!$B$10,Paramètres!$A$1:$I$89,3,0)*0.475*44/12</f>
        <v>2.530479189396023E-13</v>
      </c>
      <c r="AX126" s="21">
        <f t="shared" si="60"/>
        <v>3.9333851472591177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210.04871822652808</v>
      </c>
      <c r="BJ126" s="59">
        <f t="shared" si="92"/>
        <v>250.17540614049324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1.1574489052300523</v>
      </c>
      <c r="BQ126" s="21">
        <f>EXP(-LN(2)/25)*BQ125+(1-EXP(-LN(2)/25))/(LN(2)/25)*Calculateur!BL126*Calculateur!BN126*VLOOKUP('Données projet'!$B$11,Paramètres!$A$1:$I$89,3,0)*0.475*44/12</f>
        <v>2.1119943789342299</v>
      </c>
      <c r="BR126" s="21">
        <f>EXP(-LN(2)/2)*BR125+(1-EXP(-LN(2)/2))/(LN(2)/2)*BL126*BO126*VLOOKUP('Données projet'!$B$11,Paramètres!$A$1:$I$89,3,0)*0.475*44/12</f>
        <v>2.165862282356804E-13</v>
      </c>
      <c r="BS126" s="22">
        <f t="shared" si="63"/>
        <v>3.2694432841644989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1277.6923076923067</v>
      </c>
      <c r="BZ126" s="13">
        <f>BY126*VLOOKUP('Données projet'!$B$12,Paramètres!$A$1:$I$89,3,0)*VLOOKUP('Données projet'!$B$12,Paramètres!$A$1:$I$89,5,0)</f>
        <v>614.5699999999996</v>
      </c>
      <c r="CA126" s="13">
        <f t="shared" si="93"/>
        <v>134.13240620831178</v>
      </c>
      <c r="CB126" s="20">
        <f t="shared" si="64"/>
        <v>1303.9900241461421</v>
      </c>
      <c r="CC126" s="59">
        <f t="shared" si="65"/>
        <v>1597.3233574794754</v>
      </c>
      <c r="CD126" s="59">
        <f ca="1">AVERAGE(OFFSET($CC$3,0,0,'Données projet'!$E$12+1,1))-AVERAGE(OFFSET($H$3,0,0,'Données projet'!$E$12+1,1))</f>
        <v>304.15237106473313</v>
      </c>
      <c r="CE126" s="59">
        <f t="shared" si="94"/>
        <v>120.85458928724336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255.5374979188561</v>
      </c>
      <c r="T127" s="59">
        <f t="shared" si="88"/>
        <v>343.10418468620901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0.48026801075629133</v>
      </c>
      <c r="AA127" s="21">
        <f>EXP(-LN(2)/25)*AA126+(1-EXP(-LN(2)/25))/(LN(2)/25)*Calculateur!V127*Calculateur!X127*VLOOKUP('Données projet'!$B$9,Paramètres!$A$1:$I$89,3,0)*0.475*44/12</f>
        <v>1.1780593067100131</v>
      </c>
      <c r="AB127" s="21">
        <f>EXP(-LN(2)/2)*AB126+(1-EXP(-LN(2)/2))/(LN(2)/2)*V127*Y127*VLOOKUP('Données projet'!$B$9,Paramètres!$A$1:$I$89,3,0)*0.475*44/12</f>
        <v>1.2027016392253146E-14</v>
      </c>
      <c r="AC127" s="22">
        <f t="shared" si="57"/>
        <v>1.6583273174663165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5.6843418860808015E-13</v>
      </c>
      <c r="AJ127" s="13">
        <f>AI127*VLOOKUP('Données projet'!$B$10,Paramètres!$A$1:$I$89,3,0)*VLOOKUP('Données projet'!$B$10,Paramètres!$A$1:$I$89,5,0)</f>
        <v>3.1036506698001181E-13</v>
      </c>
      <c r="AK127" s="13">
        <f t="shared" si="89"/>
        <v>4.086682523110923E-12</v>
      </c>
      <c r="AL127" s="20">
        <f t="shared" si="58"/>
        <v>7.6581912194083782E-12</v>
      </c>
      <c r="AM127" s="59">
        <f t="shared" si="59"/>
        <v>293.33333333334099</v>
      </c>
      <c r="AN127" s="59">
        <f ca="1">AVERAGE(OFFSET($AM$3,0,0,'Données projet'!$E$10+1,1))-AVERAGE(OFFSET($H$3,0,0,'Données projet'!$E$10+1,1))</f>
        <v>248.1486444660062</v>
      </c>
      <c r="AO127" s="59">
        <f t="shared" si="90"/>
        <v>293.34458072322127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1.3238773778680495</v>
      </c>
      <c r="AV127" s="21">
        <f>EXP(-LN(2)/25)*AV126+(1-EXP(-LN(2)/25))/(LN(2)/25)*Calculateur!AQ127*Calculateur!AS127*VLOOKUP('Données projet'!$B$10,Paramètres!$A$1:$I$89,3,0)*0.475*44/12</f>
        <v>2.5123950521689014</v>
      </c>
      <c r="AW127" s="21">
        <f>EXP(-LN(2)/2)*AW126+(1-EXP(-LN(2)/2))/(LN(2)/2)*AQ127*AT127*VLOOKUP('Données projet'!$B$10,Paramètres!$A$1:$I$89,3,0)*0.475*44/12</f>
        <v>1.7893189944733658E-13</v>
      </c>
      <c r="AX127" s="21">
        <f t="shared" si="60"/>
        <v>3.83627243003713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210.04871822652808</v>
      </c>
      <c r="BJ127" s="59">
        <f t="shared" si="92"/>
        <v>250.17540614049324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1.1347520381726139</v>
      </c>
      <c r="BQ127" s="21">
        <f>EXP(-LN(2)/25)*BQ126+(1-EXP(-LN(2)/25))/(LN(2)/25)*Calculateur!BL127*Calculateur!BN127*VLOOKUP('Données projet'!$B$11,Paramètres!$A$1:$I$89,3,0)*0.475*44/12</f>
        <v>2.054241781577316</v>
      </c>
      <c r="BR127" s="21">
        <f>EXP(-LN(2)/2)*BR126+(1-EXP(-LN(2)/2))/(LN(2)/2)*BL127*BO127*VLOOKUP('Données projet'!$B$11,Paramètres!$A$1:$I$89,3,0)*0.475*44/12</f>
        <v>1.531495906970669E-13</v>
      </c>
      <c r="BS127" s="22">
        <f t="shared" si="63"/>
        <v>3.1889938197500833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1277.6923076923067</v>
      </c>
      <c r="BZ127" s="13">
        <f>BY127*VLOOKUP('Données projet'!$B$12,Paramètres!$A$1:$I$89,3,0)*VLOOKUP('Données projet'!$B$12,Paramètres!$A$1:$I$89,5,0)</f>
        <v>614.5699999999996</v>
      </c>
      <c r="CA127" s="13">
        <f t="shared" si="93"/>
        <v>134.13240620831178</v>
      </c>
      <c r="CB127" s="20">
        <f t="shared" si="64"/>
        <v>1303.9900241461421</v>
      </c>
      <c r="CC127" s="59">
        <f t="shared" si="65"/>
        <v>1597.3233574794754</v>
      </c>
      <c r="CD127" s="59">
        <f ca="1">AVERAGE(OFFSET($CC$3,0,0,'Données projet'!$E$12+1,1))-AVERAGE(OFFSET($H$3,0,0,'Données projet'!$E$12+1,1))</f>
        <v>304.15237106473313</v>
      </c>
      <c r="CE127" s="59">
        <f t="shared" si="94"/>
        <v>120.85458928724336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255.5374979188561</v>
      </c>
      <c r="T128" s="59">
        <f t="shared" si="88"/>
        <v>343.10418468620901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0.47085024799992214</v>
      </c>
      <c r="AA128" s="21">
        <f>EXP(-LN(2)/25)*AA127+(1-EXP(-LN(2)/25))/(LN(2)/25)*Calculateur!V128*Calculateur!X128*VLOOKUP('Données projet'!$B$9,Paramètres!$A$1:$I$89,3,0)*0.475*44/12</f>
        <v>1.1458452130165813</v>
      </c>
      <c r="AB128" s="21">
        <f>EXP(-LN(2)/2)*AB127+(1-EXP(-LN(2)/2))/(LN(2)/2)*V128*Y128*VLOOKUP('Données projet'!$B$9,Paramètres!$A$1:$I$89,3,0)*0.475*44/12</f>
        <v>8.504384848403965E-15</v>
      </c>
      <c r="AC128" s="22">
        <f t="shared" si="57"/>
        <v>1.6166954610165118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5.6843418860808015E-13</v>
      </c>
      <c r="AJ128" s="13">
        <f>AI128*VLOOKUP('Données projet'!$B$10,Paramètres!$A$1:$I$89,3,0)*VLOOKUP('Données projet'!$B$10,Paramètres!$A$1:$I$89,5,0)</f>
        <v>3.1036506698001181E-13</v>
      </c>
      <c r="AK128" s="13">
        <f t="shared" si="89"/>
        <v>4.086682523110923E-12</v>
      </c>
      <c r="AL128" s="20">
        <f t="shared" si="58"/>
        <v>7.6581912194083782E-12</v>
      </c>
      <c r="AM128" s="59">
        <f t="shared" si="59"/>
        <v>293.33333333334099</v>
      </c>
      <c r="AN128" s="59">
        <f ca="1">AVERAGE(OFFSET($AM$3,0,0,'Données projet'!$E$10+1,1))-AVERAGE(OFFSET($H$3,0,0,'Données projet'!$E$10+1,1))</f>
        <v>248.1486444660062</v>
      </c>
      <c r="AO128" s="59">
        <f t="shared" si="90"/>
        <v>293.34458072322127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1.297916949973525</v>
      </c>
      <c r="AV128" s="21">
        <f>EXP(-LN(2)/25)*AV127+(1-EXP(-LN(2)/25))/(LN(2)/25)*Calculateur!AQ128*Calculateur!AS128*VLOOKUP('Données projet'!$B$10,Paramètres!$A$1:$I$89,3,0)*0.475*44/12</f>
        <v>2.4436934773462293</v>
      </c>
      <c r="AW128" s="21">
        <f>EXP(-LN(2)/2)*AW127+(1-EXP(-LN(2)/2))/(LN(2)/2)*AQ128*AT128*VLOOKUP('Données projet'!$B$10,Paramètres!$A$1:$I$89,3,0)*0.475*44/12</f>
        <v>1.2652395946980115E-13</v>
      </c>
      <c r="AX128" s="21">
        <f t="shared" si="60"/>
        <v>3.7416104273198809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210.04871822652808</v>
      </c>
      <c r="BJ128" s="59">
        <f t="shared" si="92"/>
        <v>250.17540614049324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1.1125002428344501</v>
      </c>
      <c r="BQ128" s="21">
        <f>EXP(-LN(2)/25)*BQ127+(1-EXP(-LN(2)/25))/(LN(2)/25)*Calculateur!BL128*Calculateur!BN128*VLOOKUP('Données projet'!$B$11,Paramètres!$A$1:$I$89,3,0)*0.475*44/12</f>
        <v>1.998068432032204</v>
      </c>
      <c r="BR128" s="21">
        <f>EXP(-LN(2)/2)*BR127+(1-EXP(-LN(2)/2))/(LN(2)/2)*BL128*BO128*VLOOKUP('Données projet'!$B$11,Paramètres!$A$1:$I$89,3,0)*0.475*44/12</f>
        <v>1.082931141178402E-13</v>
      </c>
      <c r="BS128" s="22">
        <f t="shared" si="63"/>
        <v>3.1105686748667623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1277.6923076923067</v>
      </c>
      <c r="BZ128" s="13">
        <f>BY128*VLOOKUP('Données projet'!$B$12,Paramètres!$A$1:$I$89,3,0)*VLOOKUP('Données projet'!$B$12,Paramètres!$A$1:$I$89,5,0)</f>
        <v>614.5699999999996</v>
      </c>
      <c r="CA128" s="13">
        <f t="shared" si="93"/>
        <v>134.13240620831178</v>
      </c>
      <c r="CB128" s="20">
        <f t="shared" si="64"/>
        <v>1303.9900241461421</v>
      </c>
      <c r="CC128" s="59">
        <f t="shared" si="65"/>
        <v>1597.3233574794754</v>
      </c>
      <c r="CD128" s="59">
        <f ca="1">AVERAGE(OFFSET($CC$3,0,0,'Données projet'!$E$12+1,1))-AVERAGE(OFFSET($H$3,0,0,'Données projet'!$E$12+1,1))</f>
        <v>304.15237106473313</v>
      </c>
      <c r="CE128" s="59">
        <f t="shared" si="94"/>
        <v>120.85458928724336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255.5374979188561</v>
      </c>
      <c r="T129" s="59">
        <f t="shared" si="88"/>
        <v>343.10418468620901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0.46161716182693724</v>
      </c>
      <c r="AA129" s="21">
        <f>EXP(-LN(2)/25)*AA128+(1-EXP(-LN(2)/25))/(LN(2)/25)*Calculateur!V129*Calculateur!X129*VLOOKUP('Données projet'!$B$9,Paramètres!$A$1:$I$89,3,0)*0.475*44/12</f>
        <v>1.114512015409262</v>
      </c>
      <c r="AB129" s="21">
        <f>EXP(-LN(2)/2)*AB128+(1-EXP(-LN(2)/2))/(LN(2)/2)*V129*Y129*VLOOKUP('Données projet'!$B$9,Paramètres!$A$1:$I$89,3,0)*0.475*44/12</f>
        <v>6.0135081961265728E-15</v>
      </c>
      <c r="AC129" s="22">
        <f t="shared" si="57"/>
        <v>1.5761291772362054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5.6843418860808015E-13</v>
      </c>
      <c r="AJ129" s="13">
        <f>AI129*VLOOKUP('Données projet'!$B$10,Paramètres!$A$1:$I$89,3,0)*VLOOKUP('Données projet'!$B$10,Paramètres!$A$1:$I$89,5,0)</f>
        <v>3.1036506698001181E-13</v>
      </c>
      <c r="AK129" s="13">
        <f t="shared" si="89"/>
        <v>4.086682523110923E-12</v>
      </c>
      <c r="AL129" s="20">
        <f t="shared" si="58"/>
        <v>7.6581912194083782E-12</v>
      </c>
      <c r="AM129" s="59">
        <f t="shared" si="59"/>
        <v>293.33333333334099</v>
      </c>
      <c r="AN129" s="59">
        <f ca="1">AVERAGE(OFFSET($AM$3,0,0,'Données projet'!$E$10+1,1))-AVERAGE(OFFSET($H$3,0,0,'Données projet'!$E$10+1,1))</f>
        <v>248.1486444660062</v>
      </c>
      <c r="AO129" s="59">
        <f t="shared" si="90"/>
        <v>293.34458072322127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1.2724655902357147</v>
      </c>
      <c r="AV129" s="21">
        <f>EXP(-LN(2)/25)*AV128+(1-EXP(-LN(2)/25))/(LN(2)/25)*Calculateur!AQ129*Calculateur!AS129*VLOOKUP('Données projet'!$B$10,Paramètres!$A$1:$I$89,3,0)*0.475*44/12</f>
        <v>2.3768705506999419</v>
      </c>
      <c r="AW129" s="21">
        <f>EXP(-LN(2)/2)*AW128+(1-EXP(-LN(2)/2))/(LN(2)/2)*AQ129*AT129*VLOOKUP('Données projet'!$B$10,Paramètres!$A$1:$I$89,3,0)*0.475*44/12</f>
        <v>8.9465949723668291E-14</v>
      </c>
      <c r="AX129" s="21">
        <f t="shared" si="60"/>
        <v>3.6493361409357461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210.04871822652808</v>
      </c>
      <c r="BJ129" s="59">
        <f t="shared" si="92"/>
        <v>250.17540614049324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1.0906847916306126</v>
      </c>
      <c r="BQ129" s="21">
        <f>EXP(-LN(2)/25)*BQ128+(1-EXP(-LN(2)/25))/(LN(2)/25)*Calculateur!BL129*Calculateur!BN129*VLOOKUP('Données projet'!$B$11,Paramètres!$A$1:$I$89,3,0)*0.475*44/12</f>
        <v>1.9434311456844311</v>
      </c>
      <c r="BR129" s="21">
        <f>EXP(-LN(2)/2)*BR128+(1-EXP(-LN(2)/2))/(LN(2)/2)*BL129*BO129*VLOOKUP('Données projet'!$B$11,Paramètres!$A$1:$I$89,3,0)*0.475*44/12</f>
        <v>7.6574795348533449E-14</v>
      </c>
      <c r="BS129" s="22">
        <f t="shared" si="63"/>
        <v>3.0341159373151201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1277.6923076923067</v>
      </c>
      <c r="BZ129" s="13">
        <f>BY129*VLOOKUP('Données projet'!$B$12,Paramètres!$A$1:$I$89,3,0)*VLOOKUP('Données projet'!$B$12,Paramètres!$A$1:$I$89,5,0)</f>
        <v>614.5699999999996</v>
      </c>
      <c r="CA129" s="13">
        <f t="shared" si="93"/>
        <v>134.13240620831178</v>
      </c>
      <c r="CB129" s="20">
        <f t="shared" si="64"/>
        <v>1303.9900241461421</v>
      </c>
      <c r="CC129" s="59">
        <f t="shared" si="65"/>
        <v>1597.3233574794754</v>
      </c>
      <c r="CD129" s="59">
        <f ca="1">AVERAGE(OFFSET($CC$3,0,0,'Données projet'!$E$12+1,1))-AVERAGE(OFFSET($H$3,0,0,'Données projet'!$E$12+1,1))</f>
        <v>304.15237106473313</v>
      </c>
      <c r="CE129" s="59">
        <f t="shared" si="94"/>
        <v>120.85458928724336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255.5374979188561</v>
      </c>
      <c r="T130" s="59">
        <f t="shared" si="88"/>
        <v>343.10418468620901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0.45256513084217809</v>
      </c>
      <c r="AA130" s="21">
        <f>EXP(-LN(2)/25)*AA129+(1-EXP(-LN(2)/25))/(LN(2)/25)*Calculateur!V130*Calculateur!X130*VLOOKUP('Données projet'!$B$9,Paramètres!$A$1:$I$89,3,0)*0.475*44/12</f>
        <v>1.0840356257382562</v>
      </c>
      <c r="AB130" s="21">
        <f>EXP(-LN(2)/2)*AB129+(1-EXP(-LN(2)/2))/(LN(2)/2)*V130*Y130*VLOOKUP('Données projet'!$B$9,Paramètres!$A$1:$I$89,3,0)*0.475*44/12</f>
        <v>4.2521924242019825E-15</v>
      </c>
      <c r="AC130" s="22">
        <f t="shared" si="57"/>
        <v>1.5366007565804385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5.6843418860808015E-13</v>
      </c>
      <c r="AJ130" s="13">
        <f>AI130*VLOOKUP('Données projet'!$B$10,Paramètres!$A$1:$I$89,3,0)*VLOOKUP('Données projet'!$B$10,Paramètres!$A$1:$I$89,5,0)</f>
        <v>3.1036506698001181E-13</v>
      </c>
      <c r="AK130" s="13">
        <f t="shared" si="89"/>
        <v>4.086682523110923E-12</v>
      </c>
      <c r="AL130" s="20">
        <f t="shared" si="58"/>
        <v>7.6581912194083782E-12</v>
      </c>
      <c r="AM130" s="59">
        <f t="shared" si="59"/>
        <v>293.33333333334099</v>
      </c>
      <c r="AN130" s="59">
        <f ca="1">AVERAGE(OFFSET($AM$3,0,0,'Données projet'!$E$10+1,1))-AVERAGE(OFFSET($H$3,0,0,'Données projet'!$E$10+1,1))</f>
        <v>248.1486444660062</v>
      </c>
      <c r="AO130" s="59">
        <f t="shared" si="90"/>
        <v>293.34458072322127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1.2475133161385661</v>
      </c>
      <c r="AV130" s="21">
        <f>EXP(-LN(2)/25)*AV129+(1-EXP(-LN(2)/25))/(LN(2)/25)*Calculateur!AQ130*Calculateur!AS130*VLOOKUP('Données projet'!$B$10,Paramètres!$A$1:$I$89,3,0)*0.475*44/12</f>
        <v>2.311874900496862</v>
      </c>
      <c r="AW130" s="21">
        <f>EXP(-LN(2)/2)*AW129+(1-EXP(-LN(2)/2))/(LN(2)/2)*AQ130*AT130*VLOOKUP('Données projet'!$B$10,Paramètres!$A$1:$I$89,3,0)*0.475*44/12</f>
        <v>6.3261979734900576E-14</v>
      </c>
      <c r="AX130" s="21">
        <f t="shared" si="60"/>
        <v>3.5593882166354911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210.04871822652808</v>
      </c>
      <c r="BJ130" s="59">
        <f t="shared" si="92"/>
        <v>250.17540614049324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1.0692971281187711</v>
      </c>
      <c r="BQ130" s="21">
        <f>EXP(-LN(2)/25)*BQ129+(1-EXP(-LN(2)/25))/(LN(2)/25)*Calculateur!BL130*Calculateur!BN130*VLOOKUP('Données projet'!$B$11,Paramètres!$A$1:$I$89,3,0)*0.475*44/12</f>
        <v>1.8902879188050881</v>
      </c>
      <c r="BR130" s="21">
        <f>EXP(-LN(2)/2)*BR129+(1-EXP(-LN(2)/2))/(LN(2)/2)*BL130*BO130*VLOOKUP('Données projet'!$B$11,Paramètres!$A$1:$I$89,3,0)*0.475*44/12</f>
        <v>5.41465570589201E-14</v>
      </c>
      <c r="BS130" s="22">
        <f t="shared" si="63"/>
        <v>2.9595850469239133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1277.6923076923067</v>
      </c>
      <c r="BZ130" s="13">
        <f>BY130*VLOOKUP('Données projet'!$B$12,Paramètres!$A$1:$I$89,3,0)*VLOOKUP('Données projet'!$B$12,Paramètres!$A$1:$I$89,5,0)</f>
        <v>614.5699999999996</v>
      </c>
      <c r="CA130" s="13">
        <f t="shared" si="93"/>
        <v>134.13240620831178</v>
      </c>
      <c r="CB130" s="20">
        <f t="shared" si="64"/>
        <v>1303.9900241461421</v>
      </c>
      <c r="CC130" s="59">
        <f t="shared" si="65"/>
        <v>1597.3233574794754</v>
      </c>
      <c r="CD130" s="59">
        <f ca="1">AVERAGE(OFFSET($CC$3,0,0,'Données projet'!$E$12+1,1))-AVERAGE(OFFSET($H$3,0,0,'Données projet'!$E$12+1,1))</f>
        <v>304.15237106473313</v>
      </c>
      <c r="CE130" s="59">
        <f t="shared" si="94"/>
        <v>120.85458928724336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255.5374979188561</v>
      </c>
      <c r="T131" s="59">
        <f t="shared" si="88"/>
        <v>343.10418468620901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0.44369060466383636</v>
      </c>
      <c r="AA131" s="21">
        <f>EXP(-LN(2)/25)*AA130+(1-EXP(-LN(2)/25))/(LN(2)/25)*Calculateur!V131*Calculateur!X131*VLOOKUP('Données projet'!$B$9,Paramètres!$A$1:$I$89,3,0)*0.475*44/12</f>
        <v>1.0543926145454876</v>
      </c>
      <c r="AB131" s="21">
        <f>EXP(-LN(2)/2)*AB130+(1-EXP(-LN(2)/2))/(LN(2)/2)*V131*Y131*VLOOKUP('Données projet'!$B$9,Paramètres!$A$1:$I$89,3,0)*0.475*44/12</f>
        <v>3.0067540980632864E-15</v>
      </c>
      <c r="AC131" s="22">
        <f t="shared" si="57"/>
        <v>1.498083219209327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5.6843418860808015E-13</v>
      </c>
      <c r="AJ131" s="13">
        <f>AI131*VLOOKUP('Données projet'!$B$10,Paramètres!$A$1:$I$89,3,0)*VLOOKUP('Données projet'!$B$10,Paramètres!$A$1:$I$89,5,0)</f>
        <v>3.1036506698001181E-13</v>
      </c>
      <c r="AK131" s="13">
        <f t="shared" si="89"/>
        <v>4.086682523110923E-12</v>
      </c>
      <c r="AL131" s="20">
        <f t="shared" si="58"/>
        <v>7.6581912194083782E-12</v>
      </c>
      <c r="AM131" s="59">
        <f t="shared" si="59"/>
        <v>293.33333333334099</v>
      </c>
      <c r="AN131" s="59">
        <f ca="1">AVERAGE(OFFSET($AM$3,0,0,'Données projet'!$E$10+1,1))-AVERAGE(OFFSET($H$3,0,0,'Données projet'!$E$10+1,1))</f>
        <v>248.1486444660062</v>
      </c>
      <c r="AO131" s="59">
        <f t="shared" si="90"/>
        <v>293.34458072322127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1.2230503409170783</v>
      </c>
      <c r="AV131" s="21">
        <f>EXP(-LN(2)/25)*AV130+(1-EXP(-LN(2)/25))/(LN(2)/25)*Calculateur!AQ131*Calculateur!AS131*VLOOKUP('Données projet'!$B$10,Paramètres!$A$1:$I$89,3,0)*0.475*44/12</f>
        <v>2.248656559766558</v>
      </c>
      <c r="AW131" s="21">
        <f>EXP(-LN(2)/2)*AW130+(1-EXP(-LN(2)/2))/(LN(2)/2)*AQ131*AT131*VLOOKUP('Données projet'!$B$10,Paramètres!$A$1:$I$89,3,0)*0.475*44/12</f>
        <v>4.4732974861834146E-14</v>
      </c>
      <c r="AX131" s="21">
        <f t="shared" si="60"/>
        <v>3.4717069006836812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210.04871822652808</v>
      </c>
      <c r="BJ131" s="59">
        <f t="shared" si="92"/>
        <v>250.17540614049324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1.04832886364321</v>
      </c>
      <c r="BQ131" s="21">
        <f>EXP(-LN(2)/25)*BQ130+(1-EXP(-LN(2)/25))/(LN(2)/25)*Calculateur!BL131*Calculateur!BN131*VLOOKUP('Données projet'!$B$11,Paramètres!$A$1:$I$89,3,0)*0.475*44/12</f>
        <v>1.8385978962594416</v>
      </c>
      <c r="BR131" s="21">
        <f>EXP(-LN(2)/2)*BR130+(1-EXP(-LN(2)/2))/(LN(2)/2)*BL131*BO131*VLOOKUP('Données projet'!$B$11,Paramètres!$A$1:$I$89,3,0)*0.475*44/12</f>
        <v>3.8287397674266725E-14</v>
      </c>
      <c r="BS131" s="22">
        <f t="shared" si="63"/>
        <v>2.88692675990269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1277.6923076923067</v>
      </c>
      <c r="BZ131" s="13">
        <f>BY131*VLOOKUP('Données projet'!$B$12,Paramètres!$A$1:$I$89,3,0)*VLOOKUP('Données projet'!$B$12,Paramètres!$A$1:$I$89,5,0)</f>
        <v>614.5699999999996</v>
      </c>
      <c r="CA131" s="13">
        <f t="shared" si="93"/>
        <v>134.13240620831178</v>
      </c>
      <c r="CB131" s="20">
        <f t="shared" si="64"/>
        <v>1303.9900241461421</v>
      </c>
      <c r="CC131" s="59">
        <f t="shared" si="65"/>
        <v>1597.3233574794754</v>
      </c>
      <c r="CD131" s="59">
        <f ca="1">AVERAGE(OFFSET($CC$3,0,0,'Données projet'!$E$12+1,1))-AVERAGE(OFFSET($H$3,0,0,'Données projet'!$E$12+1,1))</f>
        <v>304.15237106473313</v>
      </c>
      <c r="CE131" s="59">
        <f t="shared" si="94"/>
        <v>120.85458928724336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255.5374979188561</v>
      </c>
      <c r="T132" s="59">
        <f t="shared" si="88"/>
        <v>343.10418468620901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0.4349901025309254</v>
      </c>
      <c r="AA132" s="21">
        <f>EXP(-LN(2)/25)*AA131+(1-EXP(-LN(2)/25))/(LN(2)/25)*Calculateur!V132*Calculateur!X132*VLOOKUP('Données projet'!$B$9,Paramètres!$A$1:$I$89,3,0)*0.475*44/12</f>
        <v>1.0255601930526435</v>
      </c>
      <c r="AB132" s="21">
        <f>EXP(-LN(2)/2)*AB131+(1-EXP(-LN(2)/2))/(LN(2)/2)*V132*Y132*VLOOKUP('Données projet'!$B$9,Paramètres!$A$1:$I$89,3,0)*0.475*44/12</f>
        <v>2.1260962121009913E-15</v>
      </c>
      <c r="AC132" s="22">
        <f t="shared" ref="AC132:AC153" si="111">SUM(Z132:AB132)</f>
        <v>1.460550295583571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5.6843418860808015E-13</v>
      </c>
      <c r="AJ132" s="13">
        <f>AI132*VLOOKUP('Données projet'!$B$10,Paramètres!$A$1:$I$89,3,0)*VLOOKUP('Données projet'!$B$10,Paramètres!$A$1:$I$89,5,0)</f>
        <v>3.1036506698001181E-13</v>
      </c>
      <c r="AK132" s="13">
        <f t="shared" si="89"/>
        <v>4.086682523110923E-12</v>
      </c>
      <c r="AL132" s="20">
        <f t="shared" ref="AL132:AL153" si="112">(AJ132+AK132)*0.475*44/12</f>
        <v>7.6581912194083782E-12</v>
      </c>
      <c r="AM132" s="59">
        <f t="shared" ref="AM132:AM195" si="113">AL132+(AD132+AE132)*44/12</f>
        <v>293.33333333334099</v>
      </c>
      <c r="AN132" s="59">
        <f ca="1">AVERAGE(OFFSET($AM$3,0,0,'Données projet'!$E$10+1,1))-AVERAGE(OFFSET($H$3,0,0,'Données projet'!$E$10+1,1))</f>
        <v>248.1486444660062</v>
      </c>
      <c r="AO132" s="59">
        <f t="shared" si="90"/>
        <v>293.34458072322127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1.1990670697187422</v>
      </c>
      <c r="AV132" s="21">
        <f>EXP(-LN(2)/25)*AV131+(1-EXP(-LN(2)/25))/(LN(2)/25)*Calculateur!AQ132*Calculateur!AS132*VLOOKUP('Données projet'!$B$10,Paramètres!$A$1:$I$89,3,0)*0.475*44/12</f>
        <v>2.1871669278880321</v>
      </c>
      <c r="AW132" s="21">
        <f>EXP(-LN(2)/2)*AW131+(1-EXP(-LN(2)/2))/(LN(2)/2)*AQ132*AT132*VLOOKUP('Données projet'!$B$10,Paramètres!$A$1:$I$89,3,0)*0.475*44/12</f>
        <v>3.1630989867450288E-14</v>
      </c>
      <c r="AX132" s="21">
        <f t="shared" ref="AX132:AX153" si="114">SUM(AU132:AW132)</f>
        <v>3.3862339976068059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210.04871822652808</v>
      </c>
      <c r="BJ132" s="59">
        <f t="shared" si="92"/>
        <v>250.17540614049324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1.0277717740446362</v>
      </c>
      <c r="BQ132" s="21">
        <f>EXP(-LN(2)/25)*BQ131+(1-EXP(-LN(2)/25))/(LN(2)/25)*Calculateur!BL132*Calculateur!BN132*VLOOKUP('Données projet'!$B$11,Paramètres!$A$1:$I$89,3,0)*0.475*44/12</f>
        <v>1.788321340098566</v>
      </c>
      <c r="BR132" s="21">
        <f>EXP(-LN(2)/2)*BR131+(1-EXP(-LN(2)/2))/(LN(2)/2)*BL132*BO132*VLOOKUP('Données projet'!$B$11,Paramètres!$A$1:$I$89,3,0)*0.475*44/12</f>
        <v>2.707327852946005E-14</v>
      </c>
      <c r="BS132" s="22">
        <f t="shared" ref="BS132:BS153" si="117">SUM(BP132:BR132)</f>
        <v>2.816093114143229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1277.6923076923067</v>
      </c>
      <c r="BZ132" s="13">
        <f>BY132*VLOOKUP('Données projet'!$B$12,Paramètres!$A$1:$I$89,3,0)*VLOOKUP('Données projet'!$B$12,Paramètres!$A$1:$I$89,5,0)</f>
        <v>614.5699999999996</v>
      </c>
      <c r="CA132" s="13">
        <f t="shared" si="93"/>
        <v>134.13240620831178</v>
      </c>
      <c r="CB132" s="20">
        <f t="shared" ref="CB132:CB153" si="118">(BZ132+CA132)*0.475*44/12</f>
        <v>1303.9900241461421</v>
      </c>
      <c r="CC132" s="59">
        <f t="shared" ref="CC132:CC195" si="119">CB132+(BT132+BU132)*44/12</f>
        <v>1597.3233574794754</v>
      </c>
      <c r="CD132" s="59">
        <f ca="1">AVERAGE(OFFSET($CC$3,0,0,'Données projet'!$E$12+1,1))-AVERAGE(OFFSET($H$3,0,0,'Données projet'!$E$12+1,1))</f>
        <v>304.15237106473313</v>
      </c>
      <c r="CE132" s="59">
        <f t="shared" si="94"/>
        <v>120.85458928724336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255.5374979188561</v>
      </c>
      <c r="T133" s="59">
        <f t="shared" ref="T133:T196" si="142">$T$3</f>
        <v>343.10418468620901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0.42646021193805855</v>
      </c>
      <c r="AA133" s="21">
        <f>EXP(-LN(2)/25)*AA132+(1-EXP(-LN(2)/25))/(LN(2)/25)*Calculateur!V133*Calculateur!X133*VLOOKUP('Données projet'!$B$9,Paramètres!$A$1:$I$89,3,0)*0.475*44/12</f>
        <v>0.99751619564175231</v>
      </c>
      <c r="AB133" s="21">
        <f>EXP(-LN(2)/2)*AB132+(1-EXP(-LN(2)/2))/(LN(2)/2)*V133*Y133*VLOOKUP('Données projet'!$B$9,Paramètres!$A$1:$I$89,3,0)*0.475*44/12</f>
        <v>1.5033770490316432E-15</v>
      </c>
      <c r="AC133" s="22">
        <f t="shared" si="111"/>
        <v>1.4239764075798125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5.6843418860808015E-13</v>
      </c>
      <c r="AJ133" s="13">
        <f>AI133*VLOOKUP('Données projet'!$B$10,Paramètres!$A$1:$I$89,3,0)*VLOOKUP('Données projet'!$B$10,Paramètres!$A$1:$I$89,5,0)</f>
        <v>3.1036506698001181E-13</v>
      </c>
      <c r="AK133" s="13">
        <f t="shared" ref="AK133:AK153" si="143">EXP(-1.0587+0.8836*LN(AJ133)+0.284)</f>
        <v>4.086682523110923E-12</v>
      </c>
      <c r="AL133" s="20">
        <f t="shared" si="112"/>
        <v>7.6581912194083782E-12</v>
      </c>
      <c r="AM133" s="59">
        <f t="shared" si="113"/>
        <v>293.33333333334099</v>
      </c>
      <c r="AN133" s="59">
        <f ca="1">AVERAGE(OFFSET($AM$3,0,0,'Données projet'!$E$10+1,1))-AVERAGE(OFFSET($H$3,0,0,'Données projet'!$E$10+1,1))</f>
        <v>248.1486444660062</v>
      </c>
      <c r="AO133" s="59">
        <f t="shared" ref="AO133:AO196" si="144">$AO$3</f>
        <v>293.34458072322127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1.1755540958402546</v>
      </c>
      <c r="AV133" s="21">
        <f>EXP(-LN(2)/25)*AV132+(1-EXP(-LN(2)/25))/(LN(2)/25)*Calculateur!AQ133*Calculateur!AS133*VLOOKUP('Données projet'!$B$10,Paramètres!$A$1:$I$89,3,0)*0.475*44/12</f>
        <v>2.1273587332268238</v>
      </c>
      <c r="AW133" s="21">
        <f>EXP(-LN(2)/2)*AW132+(1-EXP(-LN(2)/2))/(LN(2)/2)*AQ133*AT133*VLOOKUP('Données projet'!$B$10,Paramètres!$A$1:$I$89,3,0)*0.475*44/12</f>
        <v>2.2366487430917073E-14</v>
      </c>
      <c r="AX133" s="21">
        <f t="shared" si="114"/>
        <v>3.3029128290671004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210.04871822652808</v>
      </c>
      <c r="BJ133" s="59">
        <f t="shared" ref="BJ133:BJ196" si="146">$BJ$3</f>
        <v>250.17540614049324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1.0076177964345039</v>
      </c>
      <c r="BQ133" s="21">
        <f>EXP(-LN(2)/25)*BQ132+(1-EXP(-LN(2)/25))/(LN(2)/25)*Calculateur!BL133*Calculateur!BN133*VLOOKUP('Données projet'!$B$11,Paramètres!$A$1:$I$89,3,0)*0.475*44/12</f>
        <v>1.7394195990098387</v>
      </c>
      <c r="BR133" s="21">
        <f>EXP(-LN(2)/2)*BR132+(1-EXP(-LN(2)/2))/(LN(2)/2)*BL133*BO133*VLOOKUP('Données projet'!$B$11,Paramètres!$A$1:$I$89,3,0)*0.475*44/12</f>
        <v>1.9143698837133362E-14</v>
      </c>
      <c r="BS133" s="22">
        <f t="shared" si="117"/>
        <v>2.7470373954443619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1277.6923076923067</v>
      </c>
      <c r="BZ133" s="13">
        <f>BY133*VLOOKUP('Données projet'!$B$12,Paramètres!$A$1:$I$89,3,0)*VLOOKUP('Données projet'!$B$12,Paramètres!$A$1:$I$89,5,0)</f>
        <v>614.5699999999996</v>
      </c>
      <c r="CA133" s="13">
        <f t="shared" ref="CA133:CA153" si="147">EXP(-1.0587+0.8836*LN(BZ133)+0.284)</f>
        <v>134.13240620831178</v>
      </c>
      <c r="CB133" s="20">
        <f t="shared" si="118"/>
        <v>1303.9900241461421</v>
      </c>
      <c r="CC133" s="59">
        <f t="shared" si="119"/>
        <v>1597.3233574794754</v>
      </c>
      <c r="CD133" s="59">
        <f ca="1">AVERAGE(OFFSET($CC$3,0,0,'Données projet'!$E$12+1,1))-AVERAGE(OFFSET($H$3,0,0,'Données projet'!$E$12+1,1))</f>
        <v>304.15237106473313</v>
      </c>
      <c r="CE133" s="59">
        <f t="shared" ref="CE133:CE196" si="148">$CE$3</f>
        <v>120.85458928724336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255.5374979188561</v>
      </c>
      <c r="T134" s="59">
        <f t="shared" si="142"/>
        <v>343.10418468620901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0.41809758729699825</v>
      </c>
      <c r="AA134" s="21">
        <f>EXP(-LN(2)/25)*AA133+(1-EXP(-LN(2)/25))/(LN(2)/25)*Calculateur!V134*Calculateur!X134*VLOOKUP('Données projet'!$B$9,Paramètres!$A$1:$I$89,3,0)*0.475*44/12</f>
        <v>0.97023906281483174</v>
      </c>
      <c r="AB134" s="21">
        <f>EXP(-LN(2)/2)*AB133+(1-EXP(-LN(2)/2))/(LN(2)/2)*V134*Y134*VLOOKUP('Données projet'!$B$9,Paramètres!$A$1:$I$89,3,0)*0.475*44/12</f>
        <v>1.0630481060504956E-15</v>
      </c>
      <c r="AC134" s="22">
        <f t="shared" si="111"/>
        <v>1.388336650111831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5.6843418860808015E-13</v>
      </c>
      <c r="AJ134" s="13">
        <f>AI134*VLOOKUP('Données projet'!$B$10,Paramètres!$A$1:$I$89,3,0)*VLOOKUP('Données projet'!$B$10,Paramètres!$A$1:$I$89,5,0)</f>
        <v>3.1036506698001181E-13</v>
      </c>
      <c r="AK134" s="13">
        <f t="shared" si="143"/>
        <v>4.086682523110923E-12</v>
      </c>
      <c r="AL134" s="20">
        <f t="shared" si="112"/>
        <v>7.6581912194083782E-12</v>
      </c>
      <c r="AM134" s="59">
        <f t="shared" si="113"/>
        <v>293.33333333334099</v>
      </c>
      <c r="AN134" s="59">
        <f ca="1">AVERAGE(OFFSET($AM$3,0,0,'Données projet'!$E$10+1,1))-AVERAGE(OFFSET($H$3,0,0,'Données projet'!$E$10+1,1))</f>
        <v>248.1486444660062</v>
      </c>
      <c r="AO134" s="59">
        <f t="shared" si="144"/>
        <v>293.34458072322127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1.152502197038026</v>
      </c>
      <c r="AV134" s="21">
        <f>EXP(-LN(2)/25)*AV133+(1-EXP(-LN(2)/25))/(LN(2)/25)*Calculateur!AQ134*Calculateur!AS134*VLOOKUP('Données projet'!$B$10,Paramètres!$A$1:$I$89,3,0)*0.475*44/12</f>
        <v>2.0691859967938027</v>
      </c>
      <c r="AW134" s="21">
        <f>EXP(-LN(2)/2)*AW133+(1-EXP(-LN(2)/2))/(LN(2)/2)*AQ134*AT134*VLOOKUP('Données projet'!$B$10,Paramètres!$A$1:$I$89,3,0)*0.475*44/12</f>
        <v>1.5815494933725144E-14</v>
      </c>
      <c r="AX134" s="21">
        <f t="shared" si="114"/>
        <v>3.2216881938318447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210.04871822652808</v>
      </c>
      <c r="BJ134" s="59">
        <f t="shared" si="146"/>
        <v>250.17540614049324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0.98785902603259379</v>
      </c>
      <c r="BQ134" s="21">
        <f>EXP(-LN(2)/25)*BQ133+(1-EXP(-LN(2)/25))/(LN(2)/25)*Calculateur!BL134*Calculateur!BN134*VLOOKUP('Données projet'!$B$11,Paramètres!$A$1:$I$89,3,0)*0.475*44/12</f>
        <v>1.6918550786028135</v>
      </c>
      <c r="BR134" s="21">
        <f>EXP(-LN(2)/2)*BR133+(1-EXP(-LN(2)/2))/(LN(2)/2)*BL134*BO134*VLOOKUP('Données projet'!$B$11,Paramètres!$A$1:$I$89,3,0)*0.475*44/12</f>
        <v>1.3536639264730025E-14</v>
      </c>
      <c r="BS134" s="22">
        <f t="shared" si="117"/>
        <v>2.6797141046354205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1277.6923076923067</v>
      </c>
      <c r="BZ134" s="13">
        <f>BY134*VLOOKUP('Données projet'!$B$12,Paramètres!$A$1:$I$89,3,0)*VLOOKUP('Données projet'!$B$12,Paramètres!$A$1:$I$89,5,0)</f>
        <v>614.5699999999996</v>
      </c>
      <c r="CA134" s="13">
        <f t="shared" si="147"/>
        <v>134.13240620831178</v>
      </c>
      <c r="CB134" s="20">
        <f t="shared" si="118"/>
        <v>1303.9900241461421</v>
      </c>
      <c r="CC134" s="59">
        <f t="shared" si="119"/>
        <v>1597.3233574794754</v>
      </c>
      <c r="CD134" s="59">
        <f ca="1">AVERAGE(OFFSET($CC$3,0,0,'Données projet'!$E$12+1,1))-AVERAGE(OFFSET($H$3,0,0,'Données projet'!$E$12+1,1))</f>
        <v>304.15237106473313</v>
      </c>
      <c r="CE134" s="59">
        <f t="shared" si="148"/>
        <v>120.85458928724336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255.5374979188561</v>
      </c>
      <c r="T135" s="59">
        <f t="shared" si="142"/>
        <v>343.10418468620901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0.40989894862445181</v>
      </c>
      <c r="AA135" s="21">
        <f>EXP(-LN(2)/25)*AA134+(1-EXP(-LN(2)/25))/(LN(2)/25)*Calculateur!V135*Calculateur!X135*VLOOKUP('Données projet'!$B$9,Paramètres!$A$1:$I$89,3,0)*0.475*44/12</f>
        <v>0.94370782461950542</v>
      </c>
      <c r="AB135" s="21">
        <f>EXP(-LN(2)/2)*AB134+(1-EXP(-LN(2)/2))/(LN(2)/2)*V135*Y135*VLOOKUP('Données projet'!$B$9,Paramètres!$A$1:$I$89,3,0)*0.475*44/12</f>
        <v>7.5168852451582159E-16</v>
      </c>
      <c r="AC135" s="22">
        <f t="shared" si="111"/>
        <v>1.3536067732439578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5.6843418860808015E-13</v>
      </c>
      <c r="AJ135" s="13">
        <f>AI135*VLOOKUP('Données projet'!$B$10,Paramètres!$A$1:$I$89,3,0)*VLOOKUP('Données projet'!$B$10,Paramètres!$A$1:$I$89,5,0)</f>
        <v>3.1036506698001181E-13</v>
      </c>
      <c r="AK135" s="13">
        <f t="shared" si="143"/>
        <v>4.086682523110923E-12</v>
      </c>
      <c r="AL135" s="20">
        <f t="shared" si="112"/>
        <v>7.6581912194083782E-12</v>
      </c>
      <c r="AM135" s="59">
        <f t="shared" si="113"/>
        <v>293.33333333334099</v>
      </c>
      <c r="AN135" s="59">
        <f ca="1">AVERAGE(OFFSET($AM$3,0,0,'Données projet'!$E$10+1,1))-AVERAGE(OFFSET($H$3,0,0,'Données projet'!$E$10+1,1))</f>
        <v>248.1486444660062</v>
      </c>
      <c r="AO135" s="59">
        <f t="shared" si="144"/>
        <v>293.34458072322127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1.1299023319110393</v>
      </c>
      <c r="AV135" s="21">
        <f>EXP(-LN(2)/25)*AV134+(1-EXP(-LN(2)/25))/(LN(2)/25)*Calculateur!AQ135*Calculateur!AS135*VLOOKUP('Données projet'!$B$10,Paramètres!$A$1:$I$89,3,0)*0.475*44/12</f>
        <v>2.0126039968977136</v>
      </c>
      <c r="AW135" s="21">
        <f>EXP(-LN(2)/2)*AW134+(1-EXP(-LN(2)/2))/(LN(2)/2)*AQ135*AT135*VLOOKUP('Données projet'!$B$10,Paramètres!$A$1:$I$89,3,0)*0.475*44/12</f>
        <v>1.1183243715458536E-14</v>
      </c>
      <c r="AX135" s="21">
        <f t="shared" si="114"/>
        <v>3.1425063288087638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210.04871822652808</v>
      </c>
      <c r="BJ135" s="59">
        <f t="shared" si="146"/>
        <v>250.17540614049324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0.96848771306660519</v>
      </c>
      <c r="BQ135" s="21">
        <f>EXP(-LN(2)/25)*BQ134+(1-EXP(-LN(2)/25))/(LN(2)/25)*Calculateur!BL135*Calculateur!BN135*VLOOKUP('Données projet'!$B$11,Paramètres!$A$1:$I$89,3,0)*0.475*44/12</f>
        <v>1.6455912125076277</v>
      </c>
      <c r="BR135" s="21">
        <f>EXP(-LN(2)/2)*BR134+(1-EXP(-LN(2)/2))/(LN(2)/2)*BL135*BO135*VLOOKUP('Données projet'!$B$11,Paramètres!$A$1:$I$89,3,0)*0.475*44/12</f>
        <v>9.5718494185666812E-15</v>
      </c>
      <c r="BS135" s="22">
        <f t="shared" si="117"/>
        <v>2.6140789255742427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1277.6923076923067</v>
      </c>
      <c r="BZ135" s="13">
        <f>BY135*VLOOKUP('Données projet'!$B$12,Paramètres!$A$1:$I$89,3,0)*VLOOKUP('Données projet'!$B$12,Paramètres!$A$1:$I$89,5,0)</f>
        <v>614.5699999999996</v>
      </c>
      <c r="CA135" s="13">
        <f t="shared" si="147"/>
        <v>134.13240620831178</v>
      </c>
      <c r="CB135" s="20">
        <f t="shared" si="118"/>
        <v>1303.9900241461421</v>
      </c>
      <c r="CC135" s="59">
        <f t="shared" si="119"/>
        <v>1597.3233574794754</v>
      </c>
      <c r="CD135" s="59">
        <f ca="1">AVERAGE(OFFSET($CC$3,0,0,'Données projet'!$E$12+1,1))-AVERAGE(OFFSET($H$3,0,0,'Données projet'!$E$12+1,1))</f>
        <v>304.15237106473313</v>
      </c>
      <c r="CE135" s="59">
        <f t="shared" si="148"/>
        <v>120.85458928724336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255.5374979188561</v>
      </c>
      <c r="T136" s="59">
        <f t="shared" si="142"/>
        <v>343.10418468620901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0.40186108025559819</v>
      </c>
      <c r="AA136" s="21">
        <f>EXP(-LN(2)/25)*AA135+(1-EXP(-LN(2)/25))/(LN(2)/25)*Calculateur!V136*Calculateur!X136*VLOOKUP('Données projet'!$B$9,Paramètres!$A$1:$I$89,3,0)*0.475*44/12</f>
        <v>0.91790208452784738</v>
      </c>
      <c r="AB136" s="21">
        <f>EXP(-LN(2)/2)*AB135+(1-EXP(-LN(2)/2))/(LN(2)/2)*V136*Y136*VLOOKUP('Données projet'!$B$9,Paramètres!$A$1:$I$89,3,0)*0.475*44/12</f>
        <v>5.3152405302524782E-16</v>
      </c>
      <c r="AC136" s="22">
        <f t="shared" si="111"/>
        <v>1.319763164783446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5.6843418860808015E-13</v>
      </c>
      <c r="AJ136" s="13">
        <f>AI136*VLOOKUP('Données projet'!$B$10,Paramètres!$A$1:$I$89,3,0)*VLOOKUP('Données projet'!$B$10,Paramètres!$A$1:$I$89,5,0)</f>
        <v>3.1036506698001181E-13</v>
      </c>
      <c r="AK136" s="13">
        <f t="shared" si="143"/>
        <v>4.086682523110923E-12</v>
      </c>
      <c r="AL136" s="20">
        <f t="shared" si="112"/>
        <v>7.6581912194083782E-12</v>
      </c>
      <c r="AM136" s="59">
        <f t="shared" si="113"/>
        <v>293.33333333334099</v>
      </c>
      <c r="AN136" s="59">
        <f ca="1">AVERAGE(OFFSET($AM$3,0,0,'Données projet'!$E$10+1,1))-AVERAGE(OFFSET($H$3,0,0,'Données projet'!$E$10+1,1))</f>
        <v>248.1486444660062</v>
      </c>
      <c r="AO136" s="59">
        <f t="shared" si="144"/>
        <v>293.34458072322127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1.1077456363546361</v>
      </c>
      <c r="AV136" s="21">
        <f>EXP(-LN(2)/25)*AV135+(1-EXP(-LN(2)/25))/(LN(2)/25)*Calculateur!AQ136*Calculateur!AS136*VLOOKUP('Données projet'!$B$10,Paramètres!$A$1:$I$89,3,0)*0.475*44/12</f>
        <v>1.9575692347643012</v>
      </c>
      <c r="AW136" s="21">
        <f>EXP(-LN(2)/2)*AW135+(1-EXP(-LN(2)/2))/(LN(2)/2)*AQ136*AT136*VLOOKUP('Données projet'!$B$10,Paramètres!$A$1:$I$89,3,0)*0.475*44/12</f>
        <v>7.907747466862572E-15</v>
      </c>
      <c r="AX136" s="21">
        <f t="shared" si="114"/>
        <v>3.0653148711189453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210.04871822652808</v>
      </c>
      <c r="BJ136" s="59">
        <f t="shared" si="146"/>
        <v>250.17540614049324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0.94949625973254537</v>
      </c>
      <c r="BQ136" s="21">
        <f>EXP(-LN(2)/25)*BQ135+(1-EXP(-LN(2)/25))/(LN(2)/25)*Calculateur!BL136*Calculateur!BN136*VLOOKUP('Données projet'!$B$11,Paramètres!$A$1:$I$89,3,0)*0.475*44/12</f>
        <v>1.6005924342637259</v>
      </c>
      <c r="BR136" s="21">
        <f>EXP(-LN(2)/2)*BR135+(1-EXP(-LN(2)/2))/(LN(2)/2)*BL136*BO136*VLOOKUP('Données projet'!$B$11,Paramètres!$A$1:$I$89,3,0)*0.475*44/12</f>
        <v>6.7683196323650125E-15</v>
      </c>
      <c r="BS136" s="22">
        <f t="shared" si="117"/>
        <v>2.5500886939962779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1277.6923076923067</v>
      </c>
      <c r="BZ136" s="13">
        <f>BY136*VLOOKUP('Données projet'!$B$12,Paramètres!$A$1:$I$89,3,0)*VLOOKUP('Données projet'!$B$12,Paramètres!$A$1:$I$89,5,0)</f>
        <v>614.5699999999996</v>
      </c>
      <c r="CA136" s="13">
        <f t="shared" si="147"/>
        <v>134.13240620831178</v>
      </c>
      <c r="CB136" s="20">
        <f t="shared" si="118"/>
        <v>1303.9900241461421</v>
      </c>
      <c r="CC136" s="59">
        <f t="shared" si="119"/>
        <v>1597.3233574794754</v>
      </c>
      <c r="CD136" s="59">
        <f ca="1">AVERAGE(OFFSET($CC$3,0,0,'Données projet'!$E$12+1,1))-AVERAGE(OFFSET($H$3,0,0,'Données projet'!$E$12+1,1))</f>
        <v>304.15237106473313</v>
      </c>
      <c r="CE136" s="59">
        <f t="shared" si="148"/>
        <v>120.85458928724336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255.5374979188561</v>
      </c>
      <c r="T137" s="59">
        <f t="shared" si="142"/>
        <v>343.10418468620901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0.39398082958284214</v>
      </c>
      <c r="AA137" s="21">
        <f>EXP(-LN(2)/25)*AA136+(1-EXP(-LN(2)/25))/(LN(2)/25)*Calculateur!V137*Calculateur!X137*VLOOKUP('Données projet'!$B$9,Paramètres!$A$1:$I$89,3,0)*0.475*44/12</f>
        <v>0.89280200375606067</v>
      </c>
      <c r="AB137" s="21">
        <f>EXP(-LN(2)/2)*AB136+(1-EXP(-LN(2)/2))/(LN(2)/2)*V137*Y137*VLOOKUP('Données projet'!$B$9,Paramètres!$A$1:$I$89,3,0)*0.475*44/12</f>
        <v>3.758442622579108E-16</v>
      </c>
      <c r="AC137" s="22">
        <f t="shared" si="111"/>
        <v>1.2867828333389033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5.6843418860808015E-13</v>
      </c>
      <c r="AJ137" s="13">
        <f>AI137*VLOOKUP('Données projet'!$B$10,Paramètres!$A$1:$I$89,3,0)*VLOOKUP('Données projet'!$B$10,Paramètres!$A$1:$I$89,5,0)</f>
        <v>3.1036506698001181E-13</v>
      </c>
      <c r="AK137" s="13">
        <f t="shared" si="143"/>
        <v>4.086682523110923E-12</v>
      </c>
      <c r="AL137" s="20">
        <f t="shared" si="112"/>
        <v>7.6581912194083782E-12</v>
      </c>
      <c r="AM137" s="59">
        <f t="shared" si="113"/>
        <v>293.33333333334099</v>
      </c>
      <c r="AN137" s="59">
        <f ca="1">AVERAGE(OFFSET($AM$3,0,0,'Données projet'!$E$10+1,1))-AVERAGE(OFFSET($H$3,0,0,'Données projet'!$E$10+1,1))</f>
        <v>248.1486444660062</v>
      </c>
      <c r="AO137" s="59">
        <f t="shared" si="144"/>
        <v>293.34458072322127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1.0860234200838441</v>
      </c>
      <c r="AV137" s="21">
        <f>EXP(-LN(2)/25)*AV136+(1-EXP(-LN(2)/25))/(LN(2)/25)*Calculateur!AQ137*Calculateur!AS137*VLOOKUP('Données projet'!$B$10,Paramètres!$A$1:$I$89,3,0)*0.475*44/12</f>
        <v>1.9040394010955795</v>
      </c>
      <c r="AW137" s="21">
        <f>EXP(-LN(2)/2)*AW136+(1-EXP(-LN(2)/2))/(LN(2)/2)*AQ137*AT137*VLOOKUP('Données projet'!$B$10,Paramètres!$A$1:$I$89,3,0)*0.475*44/12</f>
        <v>5.5916218577292682E-15</v>
      </c>
      <c r="AX137" s="21">
        <f t="shared" si="114"/>
        <v>2.9900628211794293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210.04871822652808</v>
      </c>
      <c r="BJ137" s="59">
        <f t="shared" si="146"/>
        <v>250.17540614049324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0.93087721721472372</v>
      </c>
      <c r="BQ137" s="21">
        <f>EXP(-LN(2)/25)*BQ136+(1-EXP(-LN(2)/25))/(LN(2)/25)*Calculateur!BL137*Calculateur!BN137*VLOOKUP('Données projet'!$B$11,Paramètres!$A$1:$I$89,3,0)*0.475*44/12</f>
        <v>1.5568241499772864</v>
      </c>
      <c r="BR137" s="21">
        <f>EXP(-LN(2)/2)*BR136+(1-EXP(-LN(2)/2))/(LN(2)/2)*BL137*BO137*VLOOKUP('Données projet'!$B$11,Paramètres!$A$1:$I$89,3,0)*0.475*44/12</f>
        <v>4.7859247092833406E-15</v>
      </c>
      <c r="BS137" s="22">
        <f t="shared" si="117"/>
        <v>2.487701367192015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1277.6923076923067</v>
      </c>
      <c r="BZ137" s="13">
        <f>BY137*VLOOKUP('Données projet'!$B$12,Paramètres!$A$1:$I$89,3,0)*VLOOKUP('Données projet'!$B$12,Paramètres!$A$1:$I$89,5,0)</f>
        <v>614.5699999999996</v>
      </c>
      <c r="CA137" s="13">
        <f t="shared" si="147"/>
        <v>134.13240620831178</v>
      </c>
      <c r="CB137" s="20">
        <f t="shared" si="118"/>
        <v>1303.9900241461421</v>
      </c>
      <c r="CC137" s="59">
        <f t="shared" si="119"/>
        <v>1597.3233574794754</v>
      </c>
      <c r="CD137" s="59">
        <f ca="1">AVERAGE(OFFSET($CC$3,0,0,'Données projet'!$E$12+1,1))-AVERAGE(OFFSET($H$3,0,0,'Données projet'!$E$12+1,1))</f>
        <v>304.15237106473313</v>
      </c>
      <c r="CE137" s="59">
        <f t="shared" si="148"/>
        <v>120.85458928724336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255.5374979188561</v>
      </c>
      <c r="T138" s="59">
        <f t="shared" si="142"/>
        <v>343.10418468620901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0.38625510581930056</v>
      </c>
      <c r="AA138" s="21">
        <f>EXP(-LN(2)/25)*AA137+(1-EXP(-LN(2)/25))/(LN(2)/25)*Calculateur!V138*Calculateur!X138*VLOOKUP('Données projet'!$B$9,Paramètres!$A$1:$I$89,3,0)*0.475*44/12</f>
        <v>0.86838828601293439</v>
      </c>
      <c r="AB138" s="21">
        <f>EXP(-LN(2)/2)*AB137+(1-EXP(-LN(2)/2))/(LN(2)/2)*V138*Y138*VLOOKUP('Données projet'!$B$9,Paramètres!$A$1:$I$89,3,0)*0.475*44/12</f>
        <v>2.6576202651262391E-16</v>
      </c>
      <c r="AC138" s="22">
        <f t="shared" si="111"/>
        <v>1.2546433918322351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5.6843418860808015E-13</v>
      </c>
      <c r="AJ138" s="13">
        <f>AI138*VLOOKUP('Données projet'!$B$10,Paramètres!$A$1:$I$89,3,0)*VLOOKUP('Données projet'!$B$10,Paramètres!$A$1:$I$89,5,0)</f>
        <v>3.1036506698001181E-13</v>
      </c>
      <c r="AK138" s="13">
        <f t="shared" si="143"/>
        <v>4.086682523110923E-12</v>
      </c>
      <c r="AL138" s="20">
        <f t="shared" si="112"/>
        <v>7.6581912194083782E-12</v>
      </c>
      <c r="AM138" s="59">
        <f t="shared" si="113"/>
        <v>293.33333333334099</v>
      </c>
      <c r="AN138" s="59">
        <f ca="1">AVERAGE(OFFSET($AM$3,0,0,'Données projet'!$E$10+1,1))-AVERAGE(OFFSET($H$3,0,0,'Données projet'!$E$10+1,1))</f>
        <v>248.1486444660062</v>
      </c>
      <c r="AO138" s="59">
        <f t="shared" si="144"/>
        <v>293.34458072322127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1.0647271632248787</v>
      </c>
      <c r="AV138" s="21">
        <f>EXP(-LN(2)/25)*AV137+(1-EXP(-LN(2)/25))/(LN(2)/25)*Calculateur!AQ138*Calculateur!AS138*VLOOKUP('Données projet'!$B$10,Paramètres!$A$1:$I$89,3,0)*0.475*44/12</f>
        <v>1.8519733435435404</v>
      </c>
      <c r="AW138" s="21">
        <f>EXP(-LN(2)/2)*AW137+(1-EXP(-LN(2)/2))/(LN(2)/2)*AQ138*AT138*VLOOKUP('Données projet'!$B$10,Paramètres!$A$1:$I$89,3,0)*0.475*44/12</f>
        <v>3.953873733431286E-15</v>
      </c>
      <c r="AX138" s="21">
        <f t="shared" si="114"/>
        <v>2.9167005067684229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210.04871822652808</v>
      </c>
      <c r="BJ138" s="59">
        <f t="shared" si="146"/>
        <v>250.17540614049324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0.91262328276418192</v>
      </c>
      <c r="BQ138" s="21">
        <f>EXP(-LN(2)/25)*BQ137+(1-EXP(-LN(2)/25))/(LN(2)/25)*Calculateur!BL138*Calculateur!BN138*VLOOKUP('Données projet'!$B$11,Paramètres!$A$1:$I$89,3,0)*0.475*44/12</f>
        <v>1.5142527117263336</v>
      </c>
      <c r="BR138" s="21">
        <f>EXP(-LN(2)/2)*BR137+(1-EXP(-LN(2)/2))/(LN(2)/2)*BL138*BO138*VLOOKUP('Données projet'!$B$11,Paramètres!$A$1:$I$89,3,0)*0.475*44/12</f>
        <v>3.3841598161825062E-15</v>
      </c>
      <c r="BS138" s="22">
        <f t="shared" si="117"/>
        <v>2.4268759944905192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1277.6923076923067</v>
      </c>
      <c r="BZ138" s="13">
        <f>BY138*VLOOKUP('Données projet'!$B$12,Paramètres!$A$1:$I$89,3,0)*VLOOKUP('Données projet'!$B$12,Paramètres!$A$1:$I$89,5,0)</f>
        <v>614.5699999999996</v>
      </c>
      <c r="CA138" s="13">
        <f t="shared" si="147"/>
        <v>134.13240620831178</v>
      </c>
      <c r="CB138" s="20">
        <f t="shared" si="118"/>
        <v>1303.9900241461421</v>
      </c>
      <c r="CC138" s="59">
        <f t="shared" si="119"/>
        <v>1597.3233574794754</v>
      </c>
      <c r="CD138" s="59">
        <f ca="1">AVERAGE(OFFSET($CC$3,0,0,'Données projet'!$E$12+1,1))-AVERAGE(OFFSET($H$3,0,0,'Données projet'!$E$12+1,1))</f>
        <v>304.15237106473313</v>
      </c>
      <c r="CE138" s="59">
        <f t="shared" si="148"/>
        <v>120.85458928724336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255.5374979188561</v>
      </c>
      <c r="T139" s="59">
        <f t="shared" si="142"/>
        <v>343.10418468620901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0.37868087878653584</v>
      </c>
      <c r="AA139" s="21">
        <f>EXP(-LN(2)/25)*AA138+(1-EXP(-LN(2)/25))/(LN(2)/25)*Calculateur!V139*Calculateur!X139*VLOOKUP('Données projet'!$B$9,Paramètres!$A$1:$I$89,3,0)*0.475*44/12</f>
        <v>0.84464216266535541</v>
      </c>
      <c r="AB139" s="21">
        <f>EXP(-LN(2)/2)*AB138+(1-EXP(-LN(2)/2))/(LN(2)/2)*V139*Y139*VLOOKUP('Données projet'!$B$9,Paramètres!$A$1:$I$89,3,0)*0.475*44/12</f>
        <v>1.879221311289554E-16</v>
      </c>
      <c r="AC139" s="22">
        <f t="shared" si="111"/>
        <v>1.2233230414518914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5.6843418860808015E-13</v>
      </c>
      <c r="AJ139" s="13">
        <f>AI139*VLOOKUP('Données projet'!$B$10,Paramètres!$A$1:$I$89,3,0)*VLOOKUP('Données projet'!$B$10,Paramètres!$A$1:$I$89,5,0)</f>
        <v>3.1036506698001181E-13</v>
      </c>
      <c r="AK139" s="13">
        <f t="shared" si="143"/>
        <v>4.086682523110923E-12</v>
      </c>
      <c r="AL139" s="20">
        <f t="shared" si="112"/>
        <v>7.6581912194083782E-12</v>
      </c>
      <c r="AM139" s="59">
        <f t="shared" si="113"/>
        <v>293.33333333334099</v>
      </c>
      <c r="AN139" s="59">
        <f ca="1">AVERAGE(OFFSET($AM$3,0,0,'Données projet'!$E$10+1,1))-AVERAGE(OFFSET($H$3,0,0,'Données projet'!$E$10+1,1))</f>
        <v>248.1486444660062</v>
      </c>
      <c r="AO139" s="59">
        <f t="shared" si="144"/>
        <v>293.34458072322127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1.0438485129734836</v>
      </c>
      <c r="AV139" s="21">
        <f>EXP(-LN(2)/25)*AV138+(1-EXP(-LN(2)/25))/(LN(2)/25)*Calculateur!AQ139*Calculateur!AS139*VLOOKUP('Données projet'!$B$10,Paramètres!$A$1:$I$89,3,0)*0.475*44/12</f>
        <v>1.8013310350732969</v>
      </c>
      <c r="AW139" s="21">
        <f>EXP(-LN(2)/2)*AW138+(1-EXP(-LN(2)/2))/(LN(2)/2)*AQ139*AT139*VLOOKUP('Données projet'!$B$10,Paramètres!$A$1:$I$89,3,0)*0.475*44/12</f>
        <v>2.7958109288646341E-15</v>
      </c>
      <c r="AX139" s="21">
        <f t="shared" si="114"/>
        <v>2.845179548046783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210.04871822652808</v>
      </c>
      <c r="BJ139" s="59">
        <f t="shared" si="146"/>
        <v>250.17540614049324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0.89472729683441465</v>
      </c>
      <c r="BQ139" s="21">
        <f>EXP(-LN(2)/25)*BQ138+(1-EXP(-LN(2)/25))/(LN(2)/25)*Calculateur!BL139*Calculateur!BN139*VLOOKUP('Données projet'!$B$11,Paramètres!$A$1:$I$89,3,0)*0.475*44/12</f>
        <v>1.4728453916930877</v>
      </c>
      <c r="BR139" s="21">
        <f>EXP(-LN(2)/2)*BR138+(1-EXP(-LN(2)/2))/(LN(2)/2)*BL139*BO139*VLOOKUP('Données projet'!$B$11,Paramètres!$A$1:$I$89,3,0)*0.475*44/12</f>
        <v>2.3929623546416703E-15</v>
      </c>
      <c r="BS139" s="22">
        <f t="shared" si="117"/>
        <v>2.3675726885275048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1277.6923076923067</v>
      </c>
      <c r="BZ139" s="13">
        <f>BY139*VLOOKUP('Données projet'!$B$12,Paramètres!$A$1:$I$89,3,0)*VLOOKUP('Données projet'!$B$12,Paramètres!$A$1:$I$89,5,0)</f>
        <v>614.5699999999996</v>
      </c>
      <c r="CA139" s="13">
        <f t="shared" si="147"/>
        <v>134.13240620831178</v>
      </c>
      <c r="CB139" s="20">
        <f t="shared" si="118"/>
        <v>1303.9900241461421</v>
      </c>
      <c r="CC139" s="59">
        <f t="shared" si="119"/>
        <v>1597.3233574794754</v>
      </c>
      <c r="CD139" s="59">
        <f ca="1">AVERAGE(OFFSET($CC$3,0,0,'Données projet'!$E$12+1,1))-AVERAGE(OFFSET($H$3,0,0,'Données projet'!$E$12+1,1))</f>
        <v>304.15237106473313</v>
      </c>
      <c r="CE139" s="59">
        <f t="shared" si="148"/>
        <v>120.85458928724336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255.5374979188561</v>
      </c>
      <c r="T140" s="59">
        <f t="shared" si="142"/>
        <v>343.10418468620901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0.37125517772606126</v>
      </c>
      <c r="AA140" s="21">
        <f>EXP(-LN(2)/25)*AA139+(1-EXP(-LN(2)/25))/(LN(2)/25)*Calculateur!V140*Calculateur!X140*VLOOKUP('Données projet'!$B$9,Paramètres!$A$1:$I$89,3,0)*0.475*44/12</f>
        <v>0.82154537830947039</v>
      </c>
      <c r="AB140" s="21">
        <f>EXP(-LN(2)/2)*AB139+(1-EXP(-LN(2)/2))/(LN(2)/2)*V140*Y140*VLOOKUP('Données projet'!$B$9,Paramètres!$A$1:$I$89,3,0)*0.475*44/12</f>
        <v>1.3288101325631195E-16</v>
      </c>
      <c r="AC140" s="22">
        <f t="shared" si="111"/>
        <v>1.1928005560355319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5.6843418860808015E-13</v>
      </c>
      <c r="AJ140" s="13">
        <f>AI140*VLOOKUP('Données projet'!$B$10,Paramètres!$A$1:$I$89,3,0)*VLOOKUP('Données projet'!$B$10,Paramètres!$A$1:$I$89,5,0)</f>
        <v>3.1036506698001181E-13</v>
      </c>
      <c r="AK140" s="13">
        <f t="shared" si="143"/>
        <v>4.086682523110923E-12</v>
      </c>
      <c r="AL140" s="20">
        <f t="shared" si="112"/>
        <v>7.6581912194083782E-12</v>
      </c>
      <c r="AM140" s="59">
        <f t="shared" si="113"/>
        <v>293.33333333334099</v>
      </c>
      <c r="AN140" s="59">
        <f ca="1">AVERAGE(OFFSET($AM$3,0,0,'Données projet'!$E$10+1,1))-AVERAGE(OFFSET($H$3,0,0,'Données projet'!$E$10+1,1))</f>
        <v>248.1486444660062</v>
      </c>
      <c r="AO140" s="59">
        <f t="shared" si="144"/>
        <v>293.34458072322127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1.0233792803187991</v>
      </c>
      <c r="AV140" s="21">
        <f>EXP(-LN(2)/25)*AV139+(1-EXP(-LN(2)/25))/(LN(2)/25)*Calculateur!AQ140*Calculateur!AS140*VLOOKUP('Données projet'!$B$10,Paramètres!$A$1:$I$89,3,0)*0.475*44/12</f>
        <v>1.7520735431913355</v>
      </c>
      <c r="AW140" s="21">
        <f>EXP(-LN(2)/2)*AW139+(1-EXP(-LN(2)/2))/(LN(2)/2)*AQ140*AT140*VLOOKUP('Données projet'!$B$10,Paramètres!$A$1:$I$89,3,0)*0.475*44/12</f>
        <v>1.976936866715643E-15</v>
      </c>
      <c r="AX140" s="21">
        <f t="shared" si="114"/>
        <v>2.7754528235101361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210.04871822652808</v>
      </c>
      <c r="BJ140" s="59">
        <f t="shared" si="146"/>
        <v>250.17540614049324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0.87718224027325653</v>
      </c>
      <c r="BQ140" s="21">
        <f>EXP(-LN(2)/25)*BQ139+(1-EXP(-LN(2)/25))/(LN(2)/25)*Calculateur!BL140*Calculateur!BN140*VLOOKUP('Données projet'!$B$11,Paramètres!$A$1:$I$89,3,0)*0.475*44/12</f>
        <v>1.4325703570036672</v>
      </c>
      <c r="BR140" s="21">
        <f>EXP(-LN(2)/2)*BR139+(1-EXP(-LN(2)/2))/(LN(2)/2)*BL140*BO140*VLOOKUP('Données projet'!$B$11,Paramètres!$A$1:$I$89,3,0)*0.475*44/12</f>
        <v>1.6920799080912531E-15</v>
      </c>
      <c r="BS140" s="22">
        <f t="shared" si="117"/>
        <v>2.3097525972769253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1277.6923076923067</v>
      </c>
      <c r="BZ140" s="13">
        <f>BY140*VLOOKUP('Données projet'!$B$12,Paramètres!$A$1:$I$89,3,0)*VLOOKUP('Données projet'!$B$12,Paramètres!$A$1:$I$89,5,0)</f>
        <v>614.5699999999996</v>
      </c>
      <c r="CA140" s="13">
        <f t="shared" si="147"/>
        <v>134.13240620831178</v>
      </c>
      <c r="CB140" s="20">
        <f t="shared" si="118"/>
        <v>1303.9900241461421</v>
      </c>
      <c r="CC140" s="59">
        <f t="shared" si="119"/>
        <v>1597.3233574794754</v>
      </c>
      <c r="CD140" s="59">
        <f ca="1">AVERAGE(OFFSET($CC$3,0,0,'Données projet'!$E$12+1,1))-AVERAGE(OFFSET($H$3,0,0,'Données projet'!$E$12+1,1))</f>
        <v>304.15237106473313</v>
      </c>
      <c r="CE140" s="59">
        <f t="shared" si="148"/>
        <v>120.85458928724336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255.5374979188561</v>
      </c>
      <c r="T141" s="59">
        <f t="shared" si="142"/>
        <v>343.10418468620901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0.36397509013415219</v>
      </c>
      <c r="AA141" s="21">
        <f>EXP(-LN(2)/25)*AA140+(1-EXP(-LN(2)/25))/(LN(2)/25)*Calculateur!V141*Calculateur!X141*VLOOKUP('Données projet'!$B$9,Paramètres!$A$1:$I$89,3,0)*0.475*44/12</f>
        <v>0.79908017673640419</v>
      </c>
      <c r="AB141" s="21">
        <f>EXP(-LN(2)/2)*AB140+(1-EXP(-LN(2)/2))/(LN(2)/2)*V141*Y141*VLOOKUP('Données projet'!$B$9,Paramètres!$A$1:$I$89,3,0)*0.475*44/12</f>
        <v>9.3961065564477699E-17</v>
      </c>
      <c r="AC141" s="22">
        <f t="shared" si="111"/>
        <v>1.1630552668705563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5.6843418860808015E-13</v>
      </c>
      <c r="AJ141" s="13">
        <f>AI141*VLOOKUP('Données projet'!$B$10,Paramètres!$A$1:$I$89,3,0)*VLOOKUP('Données projet'!$B$10,Paramètres!$A$1:$I$89,5,0)</f>
        <v>3.1036506698001181E-13</v>
      </c>
      <c r="AK141" s="13">
        <f t="shared" si="143"/>
        <v>4.086682523110923E-12</v>
      </c>
      <c r="AL141" s="20">
        <f t="shared" si="112"/>
        <v>7.6581912194083782E-12</v>
      </c>
      <c r="AM141" s="59">
        <f t="shared" si="113"/>
        <v>293.33333333334099</v>
      </c>
      <c r="AN141" s="59">
        <f ca="1">AVERAGE(OFFSET($AM$3,0,0,'Données projet'!$E$10+1,1))-AVERAGE(OFFSET($H$3,0,0,'Données projet'!$E$10+1,1))</f>
        <v>248.1486444660062</v>
      </c>
      <c r="AO141" s="59">
        <f t="shared" si="144"/>
        <v>293.34458072322127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1.0033114368314739</v>
      </c>
      <c r="AV141" s="21">
        <f>EXP(-LN(2)/25)*AV140+(1-EXP(-LN(2)/25))/(LN(2)/25)*Calculateur!AQ141*Calculateur!AS141*VLOOKUP('Données projet'!$B$10,Paramètres!$A$1:$I$89,3,0)*0.475*44/12</f>
        <v>1.7041630000152252</v>
      </c>
      <c r="AW141" s="21">
        <f>EXP(-LN(2)/2)*AW140+(1-EXP(-LN(2)/2))/(LN(2)/2)*AQ141*AT141*VLOOKUP('Données projet'!$B$10,Paramètres!$A$1:$I$89,3,0)*0.475*44/12</f>
        <v>1.3979054644323171E-15</v>
      </c>
      <c r="AX141" s="21">
        <f t="shared" si="114"/>
        <v>2.7074744368467005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210.04871822652808</v>
      </c>
      <c r="BJ141" s="59">
        <f t="shared" si="146"/>
        <v>250.17540614049324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0.85998123156983486</v>
      </c>
      <c r="BQ141" s="21">
        <f>EXP(-LN(2)/25)*BQ140+(1-EXP(-LN(2)/25))/(LN(2)/25)*Calculateur!BL141*Calculateur!BN141*VLOOKUP('Données projet'!$B$11,Paramètres!$A$1:$I$89,3,0)*0.475*44/12</f>
        <v>1.3933966452558011</v>
      </c>
      <c r="BR141" s="21">
        <f>EXP(-LN(2)/2)*BR140+(1-EXP(-LN(2)/2))/(LN(2)/2)*BL141*BO141*VLOOKUP('Données projet'!$B$11,Paramètres!$A$1:$I$89,3,0)*0.475*44/12</f>
        <v>1.1964811773208351E-15</v>
      </c>
      <c r="BS141" s="22">
        <f t="shared" si="117"/>
        <v>2.2533778768256374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1277.6923076923067</v>
      </c>
      <c r="BZ141" s="13">
        <f>BY141*VLOOKUP('Données projet'!$B$12,Paramètres!$A$1:$I$89,3,0)*VLOOKUP('Données projet'!$B$12,Paramètres!$A$1:$I$89,5,0)</f>
        <v>614.5699999999996</v>
      </c>
      <c r="CA141" s="13">
        <f t="shared" si="147"/>
        <v>134.13240620831178</v>
      </c>
      <c r="CB141" s="20">
        <f t="shared" si="118"/>
        <v>1303.9900241461421</v>
      </c>
      <c r="CC141" s="59">
        <f t="shared" si="119"/>
        <v>1597.3233574794754</v>
      </c>
      <c r="CD141" s="59">
        <f ca="1">AVERAGE(OFFSET($CC$3,0,0,'Données projet'!$E$12+1,1))-AVERAGE(OFFSET($H$3,0,0,'Données projet'!$E$12+1,1))</f>
        <v>304.15237106473313</v>
      </c>
      <c r="CE141" s="59">
        <f t="shared" si="148"/>
        <v>120.85458928724336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255.5374979188561</v>
      </c>
      <c r="T142" s="59">
        <f t="shared" si="142"/>
        <v>343.10418468620901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0.35683776061950551</v>
      </c>
      <c r="AA142" s="21">
        <f>EXP(-LN(2)/25)*AA141+(1-EXP(-LN(2)/25))/(LN(2)/25)*Calculateur!V142*Calculateur!X142*VLOOKUP('Données projet'!$B$9,Paramètres!$A$1:$I$89,3,0)*0.475*44/12</f>
        <v>0.77722928728174701</v>
      </c>
      <c r="AB142" s="21">
        <f>EXP(-LN(2)/2)*AB141+(1-EXP(-LN(2)/2))/(LN(2)/2)*V142*Y142*VLOOKUP('Données projet'!$B$9,Paramètres!$A$1:$I$89,3,0)*0.475*44/12</f>
        <v>6.6440506628155977E-17</v>
      </c>
      <c r="AC142" s="22">
        <f t="shared" si="111"/>
        <v>1.1340670479012525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5.6843418860808015E-13</v>
      </c>
      <c r="AJ142" s="13">
        <f>AI142*VLOOKUP('Données projet'!$B$10,Paramètres!$A$1:$I$89,3,0)*VLOOKUP('Données projet'!$B$10,Paramètres!$A$1:$I$89,5,0)</f>
        <v>3.1036506698001181E-13</v>
      </c>
      <c r="AK142" s="13">
        <f t="shared" si="143"/>
        <v>4.086682523110923E-12</v>
      </c>
      <c r="AL142" s="20">
        <f t="shared" si="112"/>
        <v>7.6581912194083782E-12</v>
      </c>
      <c r="AM142" s="59">
        <f t="shared" si="113"/>
        <v>293.33333333334099</v>
      </c>
      <c r="AN142" s="59">
        <f ca="1">AVERAGE(OFFSET($AM$3,0,0,'Données projet'!$E$10+1,1))-AVERAGE(OFFSET($H$3,0,0,'Données projet'!$E$10+1,1))</f>
        <v>248.1486444660062</v>
      </c>
      <c r="AO142" s="59">
        <f t="shared" si="144"/>
        <v>293.34458072322127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0.98363711151475919</v>
      </c>
      <c r="AV142" s="21">
        <f>EXP(-LN(2)/25)*AV141+(1-EXP(-LN(2)/25))/(LN(2)/25)*Calculateur!AQ142*Calculateur!AS142*VLOOKUP('Données projet'!$B$10,Paramètres!$A$1:$I$89,3,0)*0.475*44/12</f>
        <v>1.6575625731617716</v>
      </c>
      <c r="AW142" s="21">
        <f>EXP(-LN(2)/2)*AW141+(1-EXP(-LN(2)/2))/(LN(2)/2)*AQ142*AT142*VLOOKUP('Données projet'!$B$10,Paramètres!$A$1:$I$89,3,0)*0.475*44/12</f>
        <v>9.884684333578215E-16</v>
      </c>
      <c r="AX142" s="21">
        <f t="shared" si="114"/>
        <v>2.6411996846765318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210.04871822652808</v>
      </c>
      <c r="BJ142" s="59">
        <f t="shared" si="146"/>
        <v>250.17540614049324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0.843117524155508</v>
      </c>
      <c r="BQ142" s="21">
        <f>EXP(-LN(2)/25)*BQ141+(1-EXP(-LN(2)/25))/(LN(2)/25)*Calculateur!BL142*Calculateur!BN142*VLOOKUP('Données projet'!$B$11,Paramètres!$A$1:$I$89,3,0)*0.475*44/12</f>
        <v>1.3552941407157364</v>
      </c>
      <c r="BR142" s="21">
        <f>EXP(-LN(2)/2)*BR141+(1-EXP(-LN(2)/2))/(LN(2)/2)*BL142*BO142*VLOOKUP('Données projet'!$B$11,Paramètres!$A$1:$I$89,3,0)*0.475*44/12</f>
        <v>8.4603995404562656E-16</v>
      </c>
      <c r="BS142" s="22">
        <f t="shared" si="117"/>
        <v>2.1984116648712453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1277.6923076923067</v>
      </c>
      <c r="BZ142" s="13">
        <f>BY142*VLOOKUP('Données projet'!$B$12,Paramètres!$A$1:$I$89,3,0)*VLOOKUP('Données projet'!$B$12,Paramètres!$A$1:$I$89,5,0)</f>
        <v>614.5699999999996</v>
      </c>
      <c r="CA142" s="13">
        <f t="shared" si="147"/>
        <v>134.13240620831178</v>
      </c>
      <c r="CB142" s="20">
        <f t="shared" si="118"/>
        <v>1303.9900241461421</v>
      </c>
      <c r="CC142" s="59">
        <f t="shared" si="119"/>
        <v>1597.3233574794754</v>
      </c>
      <c r="CD142" s="59">
        <f ca="1">AVERAGE(OFFSET($CC$3,0,0,'Données projet'!$E$12+1,1))-AVERAGE(OFFSET($H$3,0,0,'Données projet'!$E$12+1,1))</f>
        <v>304.15237106473313</v>
      </c>
      <c r="CE142" s="59">
        <f t="shared" si="148"/>
        <v>120.85458928724336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255.5374979188561</v>
      </c>
      <c r="T143" s="59">
        <f t="shared" si="142"/>
        <v>343.10418468620901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0.3498403897832999</v>
      </c>
      <c r="AA143" s="21">
        <f>EXP(-LN(2)/25)*AA142+(1-EXP(-LN(2)/25))/(LN(2)/25)*Calculateur!V143*Calculateur!X143*VLOOKUP('Données projet'!$B$9,Paramètres!$A$1:$I$89,3,0)*0.475*44/12</f>
        <v>0.75597591154831578</v>
      </c>
      <c r="AB143" s="21">
        <f>EXP(-LN(2)/2)*AB142+(1-EXP(-LN(2)/2))/(LN(2)/2)*V143*Y143*VLOOKUP('Données projet'!$B$9,Paramètres!$A$1:$I$89,3,0)*0.475*44/12</f>
        <v>4.698053278223885E-17</v>
      </c>
      <c r="AC143" s="22">
        <f t="shared" si="111"/>
        <v>1.1058163013316156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5.6843418860808015E-13</v>
      </c>
      <c r="AJ143" s="13">
        <f>AI143*VLOOKUP('Données projet'!$B$10,Paramètres!$A$1:$I$89,3,0)*VLOOKUP('Données projet'!$B$10,Paramètres!$A$1:$I$89,5,0)</f>
        <v>3.1036506698001181E-13</v>
      </c>
      <c r="AK143" s="13">
        <f t="shared" si="143"/>
        <v>4.086682523110923E-12</v>
      </c>
      <c r="AL143" s="20">
        <f t="shared" si="112"/>
        <v>7.6581912194083782E-12</v>
      </c>
      <c r="AM143" s="59">
        <f t="shared" si="113"/>
        <v>293.33333333334099</v>
      </c>
      <c r="AN143" s="59">
        <f ca="1">AVERAGE(OFFSET($AM$3,0,0,'Données projet'!$E$10+1,1))-AVERAGE(OFFSET($H$3,0,0,'Données projet'!$E$10+1,1))</f>
        <v>248.1486444660062</v>
      </c>
      <c r="AO143" s="59">
        <f t="shared" si="144"/>
        <v>293.34458072322127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0.96434858771735177</v>
      </c>
      <c r="AV143" s="21">
        <f>EXP(-LN(2)/25)*AV142+(1-EXP(-LN(2)/25))/(LN(2)/25)*Calculateur!AQ143*Calculateur!AS143*VLOOKUP('Données projet'!$B$10,Paramètres!$A$1:$I$89,3,0)*0.475*44/12</f>
        <v>1.6122364374312357</v>
      </c>
      <c r="AW143" s="21">
        <f>EXP(-LN(2)/2)*AW142+(1-EXP(-LN(2)/2))/(LN(2)/2)*AQ143*AT143*VLOOKUP('Données projet'!$B$10,Paramètres!$A$1:$I$89,3,0)*0.475*44/12</f>
        <v>6.9895273221615853E-16</v>
      </c>
      <c r="AX143" s="21">
        <f t="shared" si="114"/>
        <v>2.5765850251485882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210.04871822652808</v>
      </c>
      <c r="BJ143" s="59">
        <f t="shared" si="146"/>
        <v>250.17540614049324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0.82658450375773018</v>
      </c>
      <c r="BQ143" s="21">
        <f>EXP(-LN(2)/25)*BQ142+(1-EXP(-LN(2)/25))/(LN(2)/25)*Calculateur!BL143*Calculateur!BN143*VLOOKUP('Données projet'!$B$11,Paramètres!$A$1:$I$89,3,0)*0.475*44/12</f>
        <v>1.3182335511660432</v>
      </c>
      <c r="BR143" s="21">
        <f>EXP(-LN(2)/2)*BR142+(1-EXP(-LN(2)/2))/(LN(2)/2)*BL143*BO143*VLOOKUP('Données projet'!$B$11,Paramètres!$A$1:$I$89,3,0)*0.475*44/12</f>
        <v>5.9824058866041757E-16</v>
      </c>
      <c r="BS143" s="22">
        <f t="shared" si="117"/>
        <v>2.1448180549237739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1277.6923076923067</v>
      </c>
      <c r="BZ143" s="13">
        <f>BY143*VLOOKUP('Données projet'!$B$12,Paramètres!$A$1:$I$89,3,0)*VLOOKUP('Données projet'!$B$12,Paramètres!$A$1:$I$89,5,0)</f>
        <v>614.5699999999996</v>
      </c>
      <c r="CA143" s="13">
        <f t="shared" si="147"/>
        <v>134.13240620831178</v>
      </c>
      <c r="CB143" s="20">
        <f t="shared" si="118"/>
        <v>1303.9900241461421</v>
      </c>
      <c r="CC143" s="59">
        <f t="shared" si="119"/>
        <v>1597.3233574794754</v>
      </c>
      <c r="CD143" s="59">
        <f ca="1">AVERAGE(OFFSET($CC$3,0,0,'Données projet'!$E$12+1,1))-AVERAGE(OFFSET($H$3,0,0,'Données projet'!$E$12+1,1))</f>
        <v>304.15237106473313</v>
      </c>
      <c r="CE143" s="59">
        <f t="shared" si="148"/>
        <v>120.85458928724336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255.5374979188561</v>
      </c>
      <c r="T144" s="59">
        <f t="shared" si="142"/>
        <v>343.10418468620901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0.34298023312121745</v>
      </c>
      <c r="AA144" s="21">
        <f>EXP(-LN(2)/25)*AA143+(1-EXP(-LN(2)/25))/(LN(2)/25)*Calculateur!V144*Calculateur!X144*VLOOKUP('Données projet'!$B$9,Paramètres!$A$1:$I$89,3,0)*0.475*44/12</f>
        <v>0.73530371049198173</v>
      </c>
      <c r="AB144" s="21">
        <f>EXP(-LN(2)/2)*AB143+(1-EXP(-LN(2)/2))/(LN(2)/2)*V144*Y144*VLOOKUP('Données projet'!$B$9,Paramètres!$A$1:$I$89,3,0)*0.475*44/12</f>
        <v>3.3220253314077988E-17</v>
      </c>
      <c r="AC144" s="22">
        <f t="shared" si="111"/>
        <v>1.0782839436131992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5.6843418860808015E-13</v>
      </c>
      <c r="AJ144" s="13">
        <f>AI144*VLOOKUP('Données projet'!$B$10,Paramètres!$A$1:$I$89,3,0)*VLOOKUP('Données projet'!$B$10,Paramètres!$A$1:$I$89,5,0)</f>
        <v>3.1036506698001181E-13</v>
      </c>
      <c r="AK144" s="13">
        <f t="shared" si="143"/>
        <v>4.086682523110923E-12</v>
      </c>
      <c r="AL144" s="20">
        <f t="shared" si="112"/>
        <v>7.6581912194083782E-12</v>
      </c>
      <c r="AM144" s="59">
        <f t="shared" si="113"/>
        <v>293.33333333334099</v>
      </c>
      <c r="AN144" s="59">
        <f ca="1">AVERAGE(OFFSET($AM$3,0,0,'Données projet'!$E$10+1,1))-AVERAGE(OFFSET($H$3,0,0,'Données projet'!$E$10+1,1))</f>
        <v>248.1486444660062</v>
      </c>
      <c r="AO144" s="59">
        <f t="shared" si="144"/>
        <v>293.34458072322127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0.94543830010677365</v>
      </c>
      <c r="AV144" s="21">
        <f>EXP(-LN(2)/25)*AV143+(1-EXP(-LN(2)/25))/(LN(2)/25)*Calculateur!AQ144*Calculateur!AS144*VLOOKUP('Données projet'!$B$10,Paramètres!$A$1:$I$89,3,0)*0.475*44/12</f>
        <v>1.5681497472658492</v>
      </c>
      <c r="AW144" s="21">
        <f>EXP(-LN(2)/2)*AW143+(1-EXP(-LN(2)/2))/(LN(2)/2)*AQ144*AT144*VLOOKUP('Données projet'!$B$10,Paramètres!$A$1:$I$89,3,0)*0.475*44/12</f>
        <v>4.9423421667891075E-16</v>
      </c>
      <c r="AX144" s="21">
        <f t="shared" si="114"/>
        <v>2.5135880473726231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210.04871822652808</v>
      </c>
      <c r="BJ144" s="59">
        <f t="shared" si="146"/>
        <v>250.17540614049324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0.8103756858058061</v>
      </c>
      <c r="BQ144" s="21">
        <f>EXP(-LN(2)/25)*BQ143+(1-EXP(-LN(2)/25))/(LN(2)/25)*Calculateur!BL144*Calculateur!BN144*VLOOKUP('Données projet'!$B$11,Paramètres!$A$1:$I$89,3,0)*0.475*44/12</f>
        <v>1.2821863853865183</v>
      </c>
      <c r="BR144" s="21">
        <f>EXP(-LN(2)/2)*BR143+(1-EXP(-LN(2)/2))/(LN(2)/2)*BL144*BO144*VLOOKUP('Données projet'!$B$11,Paramètres!$A$1:$I$89,3,0)*0.475*44/12</f>
        <v>4.2301997702281328E-16</v>
      </c>
      <c r="BS144" s="22">
        <f t="shared" si="117"/>
        <v>2.092562071192325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1277.6923076923067</v>
      </c>
      <c r="BZ144" s="13">
        <f>BY144*VLOOKUP('Données projet'!$B$12,Paramètres!$A$1:$I$89,3,0)*VLOOKUP('Données projet'!$B$12,Paramètres!$A$1:$I$89,5,0)</f>
        <v>614.5699999999996</v>
      </c>
      <c r="CA144" s="13">
        <f t="shared" si="147"/>
        <v>134.13240620831178</v>
      </c>
      <c r="CB144" s="20">
        <f t="shared" si="118"/>
        <v>1303.9900241461421</v>
      </c>
      <c r="CC144" s="59">
        <f t="shared" si="119"/>
        <v>1597.3233574794754</v>
      </c>
      <c r="CD144" s="59">
        <f ca="1">AVERAGE(OFFSET($CC$3,0,0,'Données projet'!$E$12+1,1))-AVERAGE(OFFSET($H$3,0,0,'Données projet'!$E$12+1,1))</f>
        <v>304.15237106473313</v>
      </c>
      <c r="CE144" s="59">
        <f t="shared" si="148"/>
        <v>120.85458928724336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255.5374979188561</v>
      </c>
      <c r="T145" s="59">
        <f t="shared" si="142"/>
        <v>343.10418468620901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0.33625459994699608</v>
      </c>
      <c r="AA145" s="21">
        <f>EXP(-LN(2)/25)*AA144+(1-EXP(-LN(2)/25))/(LN(2)/25)*Calculateur!V145*Calculateur!X145*VLOOKUP('Données projet'!$B$9,Paramètres!$A$1:$I$89,3,0)*0.475*44/12</f>
        <v>0.71519679186063689</v>
      </c>
      <c r="AB145" s="21">
        <f>EXP(-LN(2)/2)*AB144+(1-EXP(-LN(2)/2))/(LN(2)/2)*V145*Y145*VLOOKUP('Données projet'!$B$9,Paramètres!$A$1:$I$89,3,0)*0.475*44/12</f>
        <v>2.3490266391119425E-17</v>
      </c>
      <c r="AC145" s="22">
        <f t="shared" si="111"/>
        <v>1.0514513918076329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5.6843418860808015E-13</v>
      </c>
      <c r="AJ145" s="13">
        <f>AI145*VLOOKUP('Données projet'!$B$10,Paramètres!$A$1:$I$89,3,0)*VLOOKUP('Données projet'!$B$10,Paramètres!$A$1:$I$89,5,0)</f>
        <v>3.1036506698001181E-13</v>
      </c>
      <c r="AK145" s="13">
        <f t="shared" si="143"/>
        <v>4.086682523110923E-12</v>
      </c>
      <c r="AL145" s="20">
        <f t="shared" si="112"/>
        <v>7.6581912194083782E-12</v>
      </c>
      <c r="AM145" s="59">
        <f t="shared" si="113"/>
        <v>293.33333333334099</v>
      </c>
      <c r="AN145" s="59">
        <f ca="1">AVERAGE(OFFSET($AM$3,0,0,'Données projet'!$E$10+1,1))-AVERAGE(OFFSET($H$3,0,0,'Données projet'!$E$10+1,1))</f>
        <v>248.1486444660062</v>
      </c>
      <c r="AO145" s="59">
        <f t="shared" si="144"/>
        <v>293.34458072322127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0.92689883170210241</v>
      </c>
      <c r="AV145" s="21">
        <f>EXP(-LN(2)/25)*AV144+(1-EXP(-LN(2)/25))/(LN(2)/25)*Calculateur!AQ145*Calculateur!AS145*VLOOKUP('Données projet'!$B$10,Paramètres!$A$1:$I$89,3,0)*0.475*44/12</f>
        <v>1.5252686099614534</v>
      </c>
      <c r="AW145" s="21">
        <f>EXP(-LN(2)/2)*AW144+(1-EXP(-LN(2)/2))/(LN(2)/2)*AQ145*AT145*VLOOKUP('Données projet'!$B$10,Paramètres!$A$1:$I$89,3,0)*0.475*44/12</f>
        <v>3.4947636610807926E-16</v>
      </c>
      <c r="AX145" s="21">
        <f t="shared" si="114"/>
        <v>2.4521674416635562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210.04871822652808</v>
      </c>
      <c r="BJ145" s="59">
        <f t="shared" si="146"/>
        <v>250.17540614049324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0.79448471288751643</v>
      </c>
      <c r="BQ145" s="21">
        <f>EXP(-LN(2)/25)*BQ144+(1-EXP(-LN(2)/25))/(LN(2)/25)*Calculateur!BL145*Calculateur!BN145*VLOOKUP('Données projet'!$B$11,Paramètres!$A$1:$I$89,3,0)*0.475*44/12</f>
        <v>1.2471249312508725</v>
      </c>
      <c r="BR145" s="21">
        <f>EXP(-LN(2)/2)*BR144+(1-EXP(-LN(2)/2))/(LN(2)/2)*BL145*BO145*VLOOKUP('Données projet'!$B$11,Paramètres!$A$1:$I$89,3,0)*0.475*44/12</f>
        <v>2.9912029433020879E-16</v>
      </c>
      <c r="BS145" s="22">
        <f t="shared" si="117"/>
        <v>2.0416096441383895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1277.6923076923067</v>
      </c>
      <c r="BZ145" s="13">
        <f>BY145*VLOOKUP('Données projet'!$B$12,Paramètres!$A$1:$I$89,3,0)*VLOOKUP('Données projet'!$B$12,Paramètres!$A$1:$I$89,5,0)</f>
        <v>614.5699999999996</v>
      </c>
      <c r="CA145" s="13">
        <f t="shared" si="147"/>
        <v>134.13240620831178</v>
      </c>
      <c r="CB145" s="20">
        <f t="shared" si="118"/>
        <v>1303.9900241461421</v>
      </c>
      <c r="CC145" s="59">
        <f t="shared" si="119"/>
        <v>1597.3233574794754</v>
      </c>
      <c r="CD145" s="59">
        <f ca="1">AVERAGE(OFFSET($CC$3,0,0,'Données projet'!$E$12+1,1))-AVERAGE(OFFSET($H$3,0,0,'Données projet'!$E$12+1,1))</f>
        <v>304.15237106473313</v>
      </c>
      <c r="CE145" s="59">
        <f t="shared" si="148"/>
        <v>120.85458928724336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255.5374979188561</v>
      </c>
      <c r="T146" s="59">
        <f t="shared" si="142"/>
        <v>343.10418468620901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0.32966085233709003</v>
      </c>
      <c r="AA146" s="21">
        <f>EXP(-LN(2)/25)*AA145+(1-EXP(-LN(2)/25))/(LN(2)/25)*Calculateur!V146*Calculateur!X146*VLOOKUP('Données projet'!$B$9,Paramètres!$A$1:$I$89,3,0)*0.475*44/12</f>
        <v>0.69563969797664305</v>
      </c>
      <c r="AB146" s="21">
        <f>EXP(-LN(2)/2)*AB145+(1-EXP(-LN(2)/2))/(LN(2)/2)*V146*Y146*VLOOKUP('Données projet'!$B$9,Paramètres!$A$1:$I$89,3,0)*0.475*44/12</f>
        <v>1.6610126657038994E-17</v>
      </c>
      <c r="AC146" s="22">
        <f t="shared" si="111"/>
        <v>1.0253005503137331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5.6843418860808015E-13</v>
      </c>
      <c r="AJ146" s="13">
        <f>AI146*VLOOKUP('Données projet'!$B$10,Paramètres!$A$1:$I$89,3,0)*VLOOKUP('Données projet'!$B$10,Paramètres!$A$1:$I$89,5,0)</f>
        <v>3.1036506698001181E-13</v>
      </c>
      <c r="AK146" s="13">
        <f t="shared" si="143"/>
        <v>4.086682523110923E-12</v>
      </c>
      <c r="AL146" s="20">
        <f t="shared" si="112"/>
        <v>7.6581912194083782E-12</v>
      </c>
      <c r="AM146" s="59">
        <f t="shared" si="113"/>
        <v>293.33333333334099</v>
      </c>
      <c r="AN146" s="59">
        <f ca="1">AVERAGE(OFFSET($AM$3,0,0,'Données projet'!$E$10+1,1))-AVERAGE(OFFSET($H$3,0,0,'Données projet'!$E$10+1,1))</f>
        <v>248.1486444660062</v>
      </c>
      <c r="AO146" s="59">
        <f t="shared" si="144"/>
        <v>293.34458072322127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0.90872291096488755</v>
      </c>
      <c r="AV146" s="21">
        <f>EXP(-LN(2)/25)*AV145+(1-EXP(-LN(2)/25))/(LN(2)/25)*Calculateur!AQ146*Calculateur!AS146*VLOOKUP('Données projet'!$B$10,Paramètres!$A$1:$I$89,3,0)*0.475*44/12</f>
        <v>1.4835600596116674</v>
      </c>
      <c r="AW146" s="21">
        <f>EXP(-LN(2)/2)*AW145+(1-EXP(-LN(2)/2))/(LN(2)/2)*AQ146*AT146*VLOOKUP('Données projet'!$B$10,Paramètres!$A$1:$I$89,3,0)*0.475*44/12</f>
        <v>2.4711710833945538E-16</v>
      </c>
      <c r="AX146" s="21">
        <f t="shared" si="114"/>
        <v>2.3922829705765554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210.04871822652808</v>
      </c>
      <c r="BJ146" s="59">
        <f t="shared" si="146"/>
        <v>250.17540614049324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0.77890535225561797</v>
      </c>
      <c r="BQ146" s="21">
        <f>EXP(-LN(2)/25)*BQ145+(1-EXP(-LN(2)/25))/(LN(2)/25)*Calculateur!BL146*Calculateur!BN146*VLOOKUP('Données projet'!$B$11,Paramètres!$A$1:$I$89,3,0)*0.475*44/12</f>
        <v>1.2130222344223676</v>
      </c>
      <c r="BR146" s="21">
        <f>EXP(-LN(2)/2)*BR145+(1-EXP(-LN(2)/2))/(LN(2)/2)*BL146*BO146*VLOOKUP('Données projet'!$B$11,Paramètres!$A$1:$I$89,3,0)*0.475*44/12</f>
        <v>2.1150998851140664E-16</v>
      </c>
      <c r="BS146" s="22">
        <f t="shared" si="117"/>
        <v>1.9919275866779858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1277.6923076923067</v>
      </c>
      <c r="BZ146" s="13">
        <f>BY146*VLOOKUP('Données projet'!$B$12,Paramètres!$A$1:$I$89,3,0)*VLOOKUP('Données projet'!$B$12,Paramètres!$A$1:$I$89,5,0)</f>
        <v>614.5699999999996</v>
      </c>
      <c r="CA146" s="13">
        <f t="shared" si="147"/>
        <v>134.13240620831178</v>
      </c>
      <c r="CB146" s="20">
        <f t="shared" si="118"/>
        <v>1303.9900241461421</v>
      </c>
      <c r="CC146" s="59">
        <f t="shared" si="119"/>
        <v>1597.3233574794754</v>
      </c>
      <c r="CD146" s="59">
        <f ca="1">AVERAGE(OFFSET($CC$3,0,0,'Données projet'!$E$12+1,1))-AVERAGE(OFFSET($H$3,0,0,'Données projet'!$E$12+1,1))</f>
        <v>304.15237106473313</v>
      </c>
      <c r="CE146" s="59">
        <f t="shared" si="148"/>
        <v>120.85458928724336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255.5374979188561</v>
      </c>
      <c r="T147" s="59">
        <f t="shared" si="142"/>
        <v>343.10418468620901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0.32319640409602529</v>
      </c>
      <c r="AA147" s="21">
        <f>EXP(-LN(2)/25)*AA146+(1-EXP(-LN(2)/25))/(LN(2)/25)*Calculateur!V147*Calculateur!X147*VLOOKUP('Données projet'!$B$9,Paramètres!$A$1:$I$89,3,0)*0.475*44/12</f>
        <v>0.67661739385336994</v>
      </c>
      <c r="AB147" s="21">
        <f>EXP(-LN(2)/2)*AB146+(1-EXP(-LN(2)/2))/(LN(2)/2)*V147*Y147*VLOOKUP('Données projet'!$B$9,Paramètres!$A$1:$I$89,3,0)*0.475*44/12</f>
        <v>1.1745133195559712E-17</v>
      </c>
      <c r="AC147" s="22">
        <f t="shared" si="111"/>
        <v>0.99981379794939529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5.6843418860808015E-13</v>
      </c>
      <c r="AJ147" s="13">
        <f>AI147*VLOOKUP('Données projet'!$B$10,Paramètres!$A$1:$I$89,3,0)*VLOOKUP('Données projet'!$B$10,Paramètres!$A$1:$I$89,5,0)</f>
        <v>3.1036506698001181E-13</v>
      </c>
      <c r="AK147" s="13">
        <f t="shared" si="143"/>
        <v>4.086682523110923E-12</v>
      </c>
      <c r="AL147" s="20">
        <f t="shared" si="112"/>
        <v>7.6581912194083782E-12</v>
      </c>
      <c r="AM147" s="59">
        <f t="shared" si="113"/>
        <v>293.33333333334099</v>
      </c>
      <c r="AN147" s="59">
        <f ca="1">AVERAGE(OFFSET($AM$3,0,0,'Données projet'!$E$10+1,1))-AVERAGE(OFFSET($H$3,0,0,'Données projet'!$E$10+1,1))</f>
        <v>248.1486444660062</v>
      </c>
      <c r="AO147" s="59">
        <f t="shared" si="144"/>
        <v>293.34458072322127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0.89090340894711251</v>
      </c>
      <c r="AV147" s="21">
        <f>EXP(-LN(2)/25)*AV146+(1-EXP(-LN(2)/25))/(LN(2)/25)*Calculateur!AQ147*Calculateur!AS147*VLOOKUP('Données projet'!$B$10,Paramètres!$A$1:$I$89,3,0)*0.475*44/12</f>
        <v>1.4429920317645535</v>
      </c>
      <c r="AW147" s="21">
        <f>EXP(-LN(2)/2)*AW146+(1-EXP(-LN(2)/2))/(LN(2)/2)*AQ147*AT147*VLOOKUP('Données projet'!$B$10,Paramètres!$A$1:$I$89,3,0)*0.475*44/12</f>
        <v>1.7473818305403963E-16</v>
      </c>
      <c r="AX147" s="21">
        <f t="shared" si="114"/>
        <v>2.3338954407116659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210.04871822652808</v>
      </c>
      <c r="BJ147" s="59">
        <f t="shared" si="146"/>
        <v>250.17540614049324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0.76363149338323943</v>
      </c>
      <c r="BQ147" s="21">
        <f>EXP(-LN(2)/25)*BQ146+(1-EXP(-LN(2)/25))/(LN(2)/25)*Calculateur!BL147*Calculateur!BN147*VLOOKUP('Données projet'!$B$11,Paramètres!$A$1:$I$89,3,0)*0.475*44/12</f>
        <v>1.1798520776320209</v>
      </c>
      <c r="BR147" s="21">
        <f>EXP(-LN(2)/2)*BR146+(1-EXP(-LN(2)/2))/(LN(2)/2)*BL147*BO147*VLOOKUP('Données projet'!$B$11,Paramètres!$A$1:$I$89,3,0)*0.475*44/12</f>
        <v>1.4956014716510439E-16</v>
      </c>
      <c r="BS147" s="22">
        <f t="shared" si="117"/>
        <v>1.9434835710152607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1277.6923076923067</v>
      </c>
      <c r="BZ147" s="13">
        <f>BY147*VLOOKUP('Données projet'!$B$12,Paramètres!$A$1:$I$89,3,0)*VLOOKUP('Données projet'!$B$12,Paramètres!$A$1:$I$89,5,0)</f>
        <v>614.5699999999996</v>
      </c>
      <c r="CA147" s="13">
        <f t="shared" si="147"/>
        <v>134.13240620831178</v>
      </c>
      <c r="CB147" s="20">
        <f t="shared" si="118"/>
        <v>1303.9900241461421</v>
      </c>
      <c r="CC147" s="59">
        <f t="shared" si="119"/>
        <v>1597.3233574794754</v>
      </c>
      <c r="CD147" s="59">
        <f ca="1">AVERAGE(OFFSET($CC$3,0,0,'Données projet'!$E$12+1,1))-AVERAGE(OFFSET($H$3,0,0,'Données projet'!$E$12+1,1))</f>
        <v>304.15237106473313</v>
      </c>
      <c r="CE147" s="59">
        <f t="shared" si="148"/>
        <v>120.85458928724336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255.5374979188561</v>
      </c>
      <c r="T148" s="59">
        <f t="shared" si="142"/>
        <v>343.10418468620901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0.31685871974204372</v>
      </c>
      <c r="AA148" s="21">
        <f>EXP(-LN(2)/25)*AA147+(1-EXP(-LN(2)/25))/(LN(2)/25)*Calculateur!V148*Calculateur!X148*VLOOKUP('Données projet'!$B$9,Paramètres!$A$1:$I$89,3,0)*0.475*44/12</f>
        <v>0.65811525563668727</v>
      </c>
      <c r="AB148" s="21">
        <f>EXP(-LN(2)/2)*AB147+(1-EXP(-LN(2)/2))/(LN(2)/2)*V148*Y148*VLOOKUP('Données projet'!$B$9,Paramètres!$A$1:$I$89,3,0)*0.475*44/12</f>
        <v>8.3050633285194971E-18</v>
      </c>
      <c r="AC148" s="22">
        <f t="shared" si="111"/>
        <v>0.97497397537873098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5.6843418860808015E-13</v>
      </c>
      <c r="AJ148" s="13">
        <f>AI148*VLOOKUP('Données projet'!$B$10,Paramètres!$A$1:$I$89,3,0)*VLOOKUP('Données projet'!$B$10,Paramètres!$A$1:$I$89,5,0)</f>
        <v>3.1036506698001181E-13</v>
      </c>
      <c r="AK148" s="13">
        <f t="shared" si="143"/>
        <v>4.086682523110923E-12</v>
      </c>
      <c r="AL148" s="20">
        <f t="shared" si="112"/>
        <v>7.6581912194083782E-12</v>
      </c>
      <c r="AM148" s="59">
        <f t="shared" si="113"/>
        <v>293.33333333334099</v>
      </c>
      <c r="AN148" s="59">
        <f ca="1">AVERAGE(OFFSET($AM$3,0,0,'Données projet'!$E$10+1,1))-AVERAGE(OFFSET($H$3,0,0,'Données projet'!$E$10+1,1))</f>
        <v>248.1486444660062</v>
      </c>
      <c r="AO148" s="59">
        <f t="shared" si="144"/>
        <v>293.34458072322127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0.87343333649508303</v>
      </c>
      <c r="AV148" s="21">
        <f>EXP(-LN(2)/25)*AV147+(1-EXP(-LN(2)/25))/(LN(2)/25)*Calculateur!AQ148*Calculateur!AS148*VLOOKUP('Données projet'!$B$10,Paramètres!$A$1:$I$89,3,0)*0.475*44/12</f>
        <v>1.4035333387722988</v>
      </c>
      <c r="AW148" s="21">
        <f>EXP(-LN(2)/2)*AW147+(1-EXP(-LN(2)/2))/(LN(2)/2)*AQ148*AT148*VLOOKUP('Données projet'!$B$10,Paramètres!$A$1:$I$89,3,0)*0.475*44/12</f>
        <v>1.2355855416972769E-16</v>
      </c>
      <c r="AX148" s="21">
        <f t="shared" si="114"/>
        <v>2.2769666752673818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210.04871822652808</v>
      </c>
      <c r="BJ148" s="59">
        <f t="shared" si="146"/>
        <v>250.17540614049324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0.74865714556721419</v>
      </c>
      <c r="BQ148" s="21">
        <f>EXP(-LN(2)/25)*BQ147+(1-EXP(-LN(2)/25))/(LN(2)/25)*Calculateur!BL148*Calculateur!BN148*VLOOKUP('Données projet'!$B$11,Paramètres!$A$1:$I$89,3,0)*0.475*44/12</f>
        <v>1.1475889605234491</v>
      </c>
      <c r="BR148" s="21">
        <f>EXP(-LN(2)/2)*BR147+(1-EXP(-LN(2)/2))/(LN(2)/2)*BL148*BO148*VLOOKUP('Données projet'!$B$11,Paramètres!$A$1:$I$89,3,0)*0.475*44/12</f>
        <v>1.0575499425570332E-16</v>
      </c>
      <c r="BS148" s="22">
        <f t="shared" si="117"/>
        <v>1.8962461060906632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1277.6923076923067</v>
      </c>
      <c r="BZ148" s="13">
        <f>BY148*VLOOKUP('Données projet'!$B$12,Paramètres!$A$1:$I$89,3,0)*VLOOKUP('Données projet'!$B$12,Paramètres!$A$1:$I$89,5,0)</f>
        <v>614.5699999999996</v>
      </c>
      <c r="CA148" s="13">
        <f t="shared" si="147"/>
        <v>134.13240620831178</v>
      </c>
      <c r="CB148" s="20">
        <f t="shared" si="118"/>
        <v>1303.9900241461421</v>
      </c>
      <c r="CC148" s="59">
        <f t="shared" si="119"/>
        <v>1597.3233574794754</v>
      </c>
      <c r="CD148" s="59">
        <f ca="1">AVERAGE(OFFSET($CC$3,0,0,'Données projet'!$E$12+1,1))-AVERAGE(OFFSET($H$3,0,0,'Données projet'!$E$12+1,1))</f>
        <v>304.15237106473313</v>
      </c>
      <c r="CE148" s="59">
        <f t="shared" si="148"/>
        <v>120.85458928724336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255.5374979188561</v>
      </c>
      <c r="T149" s="59">
        <f t="shared" si="142"/>
        <v>343.10418468620901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0.31064531351263797</v>
      </c>
      <c r="AA149" s="21">
        <f>EXP(-LN(2)/25)*AA148+(1-EXP(-LN(2)/25))/(LN(2)/25)*Calculateur!V149*Calculateur!X149*VLOOKUP('Données projet'!$B$9,Paramètres!$A$1:$I$89,3,0)*0.475*44/12</f>
        <v>0.64011905936252489</v>
      </c>
      <c r="AB149" s="21">
        <f>EXP(-LN(2)/2)*AB148+(1-EXP(-LN(2)/2))/(LN(2)/2)*V149*Y149*VLOOKUP('Données projet'!$B$9,Paramètres!$A$1:$I$89,3,0)*0.475*44/12</f>
        <v>5.8725665977798562E-18</v>
      </c>
      <c r="AC149" s="22">
        <f t="shared" si="111"/>
        <v>0.95076437287516291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5.6843418860808015E-13</v>
      </c>
      <c r="AJ149" s="13">
        <f>AI149*VLOOKUP('Données projet'!$B$10,Paramètres!$A$1:$I$89,3,0)*VLOOKUP('Données projet'!$B$10,Paramètres!$A$1:$I$89,5,0)</f>
        <v>3.1036506698001181E-13</v>
      </c>
      <c r="AK149" s="13">
        <f t="shared" si="143"/>
        <v>4.086682523110923E-12</v>
      </c>
      <c r="AL149" s="20">
        <f t="shared" si="112"/>
        <v>7.6581912194083782E-12</v>
      </c>
      <c r="AM149" s="59">
        <f t="shared" si="113"/>
        <v>293.33333333334099</v>
      </c>
      <c r="AN149" s="59">
        <f ca="1">AVERAGE(OFFSET($AM$3,0,0,'Données projet'!$E$10+1,1))-AVERAGE(OFFSET($H$3,0,0,'Données projet'!$E$10+1,1))</f>
        <v>248.1486444660062</v>
      </c>
      <c r="AO149" s="59">
        <f t="shared" si="144"/>
        <v>293.34458072322127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0.85630584150814582</v>
      </c>
      <c r="AV149" s="21">
        <f>EXP(-LN(2)/25)*AV148+(1-EXP(-LN(2)/25))/(LN(2)/25)*Calculateur!AQ149*Calculateur!AS149*VLOOKUP('Données projet'!$B$10,Paramètres!$A$1:$I$89,3,0)*0.475*44/12</f>
        <v>1.3651536458149598</v>
      </c>
      <c r="AW149" s="21">
        <f>EXP(-LN(2)/2)*AW148+(1-EXP(-LN(2)/2))/(LN(2)/2)*AQ149*AT149*VLOOKUP('Données projet'!$B$10,Paramètres!$A$1:$I$89,3,0)*0.475*44/12</f>
        <v>8.7369091527019816E-17</v>
      </c>
      <c r="AX149" s="21">
        <f t="shared" si="114"/>
        <v>2.2214594873231057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210.04871822652808</v>
      </c>
      <c r="BJ149" s="59">
        <f t="shared" si="146"/>
        <v>250.17540614049324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0.73397643557841086</v>
      </c>
      <c r="BQ149" s="21">
        <f>EXP(-LN(2)/25)*BQ148+(1-EXP(-LN(2)/25))/(LN(2)/25)*Calculateur!BL149*Calculateur!BN149*VLOOKUP('Données projet'!$B$11,Paramètres!$A$1:$I$89,3,0)*0.475*44/12</f>
        <v>1.1162080800488547</v>
      </c>
      <c r="BR149" s="21">
        <f>EXP(-LN(2)/2)*BR148+(1-EXP(-LN(2)/2))/(LN(2)/2)*BL149*BO149*VLOOKUP('Données projet'!$B$11,Paramètres!$A$1:$I$89,3,0)*0.475*44/12</f>
        <v>7.4780073582552197E-17</v>
      </c>
      <c r="BS149" s="22">
        <f t="shared" si="117"/>
        <v>1.8501845156272656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1277.6923076923067</v>
      </c>
      <c r="BZ149" s="13">
        <f>BY149*VLOOKUP('Données projet'!$B$12,Paramètres!$A$1:$I$89,3,0)*VLOOKUP('Données projet'!$B$12,Paramètres!$A$1:$I$89,5,0)</f>
        <v>614.5699999999996</v>
      </c>
      <c r="CA149" s="13">
        <f t="shared" si="147"/>
        <v>134.13240620831178</v>
      </c>
      <c r="CB149" s="20">
        <f t="shared" si="118"/>
        <v>1303.9900241461421</v>
      </c>
      <c r="CC149" s="59">
        <f t="shared" si="119"/>
        <v>1597.3233574794754</v>
      </c>
      <c r="CD149" s="59">
        <f ca="1">AVERAGE(OFFSET($CC$3,0,0,'Données projet'!$E$12+1,1))-AVERAGE(OFFSET($H$3,0,0,'Données projet'!$E$12+1,1))</f>
        <v>304.15237106473313</v>
      </c>
      <c r="CE149" s="59">
        <f t="shared" si="148"/>
        <v>120.85458928724336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255.5374979188561</v>
      </c>
      <c r="T150" s="59">
        <f t="shared" si="142"/>
        <v>343.10418468620901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0.30455374838958726</v>
      </c>
      <c r="AA150" s="21">
        <f>EXP(-LN(2)/25)*AA149+(1-EXP(-LN(2)/25))/(LN(2)/25)*Calculateur!V150*Calculateur!X150*VLOOKUP('Données projet'!$B$9,Paramètres!$A$1:$I$89,3,0)*0.475*44/12</f>
        <v>0.62261497002185828</v>
      </c>
      <c r="AB150" s="21">
        <f>EXP(-LN(2)/2)*AB149+(1-EXP(-LN(2)/2))/(LN(2)/2)*V150*Y150*VLOOKUP('Données projet'!$B$9,Paramètres!$A$1:$I$89,3,0)*0.475*44/12</f>
        <v>4.1525316642597486E-18</v>
      </c>
      <c r="AC150" s="22">
        <f t="shared" si="111"/>
        <v>0.92716871841144555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5.6843418860808015E-13</v>
      </c>
      <c r="AJ150" s="13">
        <f>AI150*VLOOKUP('Données projet'!$B$10,Paramètres!$A$1:$I$89,3,0)*VLOOKUP('Données projet'!$B$10,Paramètres!$A$1:$I$89,5,0)</f>
        <v>3.1036506698001181E-13</v>
      </c>
      <c r="AK150" s="13">
        <f t="shared" si="143"/>
        <v>4.086682523110923E-12</v>
      </c>
      <c r="AL150" s="20">
        <f t="shared" si="112"/>
        <v>7.6581912194083782E-12</v>
      </c>
      <c r="AM150" s="59">
        <f t="shared" si="113"/>
        <v>293.33333333334099</v>
      </c>
      <c r="AN150" s="59">
        <f ca="1">AVERAGE(OFFSET($AM$3,0,0,'Données projet'!$E$10+1,1))-AVERAGE(OFFSET($H$3,0,0,'Données projet'!$E$10+1,1))</f>
        <v>248.1486444660062</v>
      </c>
      <c r="AO150" s="59">
        <f t="shared" si="144"/>
        <v>293.34458072322127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0.83951420625116202</v>
      </c>
      <c r="AV150" s="21">
        <f>EXP(-LN(2)/25)*AV149+(1-EXP(-LN(2)/25))/(LN(2)/25)*Calculateur!AQ150*Calculateur!AS150*VLOOKUP('Données projet'!$B$10,Paramètres!$A$1:$I$89,3,0)*0.475*44/12</f>
        <v>1.3278234475798396</v>
      </c>
      <c r="AW150" s="21">
        <f>EXP(-LN(2)/2)*AW149+(1-EXP(-LN(2)/2))/(LN(2)/2)*AQ150*AT150*VLOOKUP('Données projet'!$B$10,Paramètres!$A$1:$I$89,3,0)*0.475*44/12</f>
        <v>6.1779277084863844E-17</v>
      </c>
      <c r="AX150" s="21">
        <f t="shared" si="114"/>
        <v>2.1673376538310016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210.04871822652808</v>
      </c>
      <c r="BJ150" s="59">
        <f t="shared" si="146"/>
        <v>250.17540614049324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0.71958360535813903</v>
      </c>
      <c r="BQ150" s="21">
        <f>EXP(-LN(2)/25)*BQ149+(1-EXP(-LN(2)/25))/(LN(2)/25)*Calculateur!BL150*Calculateur!BN150*VLOOKUP('Données projet'!$B$11,Paramètres!$A$1:$I$89,3,0)*0.475*44/12</f>
        <v>1.0856853114010869</v>
      </c>
      <c r="BR150" s="21">
        <f>EXP(-LN(2)/2)*BR149+(1-EXP(-LN(2)/2))/(LN(2)/2)*BL150*BO150*VLOOKUP('Données projet'!$B$11,Paramètres!$A$1:$I$89,3,0)*0.475*44/12</f>
        <v>5.287749712785166E-17</v>
      </c>
      <c r="BS150" s="22">
        <f t="shared" si="117"/>
        <v>1.805268916759226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1277.6923076923067</v>
      </c>
      <c r="BZ150" s="13">
        <f>BY150*VLOOKUP('Données projet'!$B$12,Paramètres!$A$1:$I$89,3,0)*VLOOKUP('Données projet'!$B$12,Paramètres!$A$1:$I$89,5,0)</f>
        <v>614.5699999999996</v>
      </c>
      <c r="CA150" s="13">
        <f t="shared" si="147"/>
        <v>134.13240620831178</v>
      </c>
      <c r="CB150" s="20">
        <f t="shared" si="118"/>
        <v>1303.9900241461421</v>
      </c>
      <c r="CC150" s="59">
        <f t="shared" si="119"/>
        <v>1597.3233574794754</v>
      </c>
      <c r="CD150" s="59">
        <f ca="1">AVERAGE(OFFSET($CC$3,0,0,'Données projet'!$E$12+1,1))-AVERAGE(OFFSET($H$3,0,0,'Données projet'!$E$12+1,1))</f>
        <v>304.15237106473313</v>
      </c>
      <c r="CE150" s="59">
        <f t="shared" si="148"/>
        <v>120.85458928724336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255.5374979188561</v>
      </c>
      <c r="T151" s="59">
        <f t="shared" si="142"/>
        <v>343.10418468620901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0.29858163514311176</v>
      </c>
      <c r="AA151" s="21">
        <f>EXP(-LN(2)/25)*AA150+(1-EXP(-LN(2)/25))/(LN(2)/25)*Calculateur!V151*Calculateur!X151*VLOOKUP('Données projet'!$B$9,Paramètres!$A$1:$I$89,3,0)*0.475*44/12</f>
        <v>0.60558953092471235</v>
      </c>
      <c r="AB151" s="21">
        <f>EXP(-LN(2)/2)*AB150+(1-EXP(-LN(2)/2))/(LN(2)/2)*V151*Y151*VLOOKUP('Données projet'!$B$9,Paramètres!$A$1:$I$89,3,0)*0.475*44/12</f>
        <v>2.9362832988899281E-18</v>
      </c>
      <c r="AC151" s="22">
        <f t="shared" si="111"/>
        <v>0.90417116606782411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5.6843418860808015E-13</v>
      </c>
      <c r="AJ151" s="13">
        <f>AI151*VLOOKUP('Données projet'!$B$10,Paramètres!$A$1:$I$89,3,0)*VLOOKUP('Données projet'!$B$10,Paramètres!$A$1:$I$89,5,0)</f>
        <v>3.1036506698001181E-13</v>
      </c>
      <c r="AK151" s="13">
        <f t="shared" si="143"/>
        <v>4.086682523110923E-12</v>
      </c>
      <c r="AL151" s="20">
        <f t="shared" si="112"/>
        <v>7.6581912194083782E-12</v>
      </c>
      <c r="AM151" s="59">
        <f t="shared" si="113"/>
        <v>293.33333333334099</v>
      </c>
      <c r="AN151" s="59">
        <f ca="1">AVERAGE(OFFSET($AM$3,0,0,'Données projet'!$E$10+1,1))-AVERAGE(OFFSET($H$3,0,0,'Données projet'!$E$10+1,1))</f>
        <v>248.1486444660062</v>
      </c>
      <c r="AO151" s="59">
        <f t="shared" si="144"/>
        <v>293.34458072322127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0.82305184471968151</v>
      </c>
      <c r="AV151" s="21">
        <f>EXP(-LN(2)/25)*AV150+(1-EXP(-LN(2)/25))/(LN(2)/25)*Calculateur!AQ151*Calculateur!AS151*VLOOKUP('Données projet'!$B$10,Paramètres!$A$1:$I$89,3,0)*0.475*44/12</f>
        <v>1.2915140455785685</v>
      </c>
      <c r="AW151" s="21">
        <f>EXP(-LN(2)/2)*AW150+(1-EXP(-LN(2)/2))/(LN(2)/2)*AQ151*AT151*VLOOKUP('Données projet'!$B$10,Paramètres!$A$1:$I$89,3,0)*0.475*44/12</f>
        <v>4.3684545763509908E-17</v>
      </c>
      <c r="AX151" s="21">
        <f t="shared" si="114"/>
        <v>2.11456589029825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210.04871822652808</v>
      </c>
      <c r="BJ151" s="59">
        <f t="shared" si="146"/>
        <v>250.17540614049324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0.70547300975972715</v>
      </c>
      <c r="BQ151" s="21">
        <f>EXP(-LN(2)/25)*BQ150+(1-EXP(-LN(2)/25))/(LN(2)/25)*Calculateur!BL151*Calculateur!BN151*VLOOKUP('Données projet'!$B$11,Paramètres!$A$1:$I$89,3,0)*0.475*44/12</f>
        <v>1.055997189467115</v>
      </c>
      <c r="BR151" s="21">
        <f>EXP(-LN(2)/2)*BR150+(1-EXP(-LN(2)/2))/(LN(2)/2)*BL151*BO151*VLOOKUP('Données projet'!$B$11,Paramètres!$A$1:$I$89,3,0)*0.475*44/12</f>
        <v>3.7390036791276098E-17</v>
      </c>
      <c r="BS151" s="22">
        <f t="shared" si="117"/>
        <v>1.7614701992268422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1277.6923076923067</v>
      </c>
      <c r="BZ151" s="13">
        <f>BY151*VLOOKUP('Données projet'!$B$12,Paramètres!$A$1:$I$89,3,0)*VLOOKUP('Données projet'!$B$12,Paramètres!$A$1:$I$89,5,0)</f>
        <v>614.5699999999996</v>
      </c>
      <c r="CA151" s="13">
        <f t="shared" si="147"/>
        <v>134.13240620831178</v>
      </c>
      <c r="CB151" s="20">
        <f t="shared" si="118"/>
        <v>1303.9900241461421</v>
      </c>
      <c r="CC151" s="59">
        <f t="shared" si="119"/>
        <v>1597.3233574794754</v>
      </c>
      <c r="CD151" s="59">
        <f ca="1">AVERAGE(OFFSET($CC$3,0,0,'Données projet'!$E$12+1,1))-AVERAGE(OFFSET($H$3,0,0,'Données projet'!$E$12+1,1))</f>
        <v>304.15237106473313</v>
      </c>
      <c r="CE151" s="59">
        <f t="shared" si="148"/>
        <v>120.85458928724336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255.5374979188561</v>
      </c>
      <c r="T152" s="59">
        <f t="shared" si="142"/>
        <v>343.10418468620901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0.29272663139477023</v>
      </c>
      <c r="AA152" s="21">
        <f>EXP(-LN(2)/25)*AA151+(1-EXP(-LN(2)/25))/(LN(2)/25)*Calculateur!V152*Calculateur!X152*VLOOKUP('Données projet'!$B$9,Paramètres!$A$1:$I$89,3,0)*0.475*44/12</f>
        <v>0.58902965335500679</v>
      </c>
      <c r="AB152" s="21">
        <f>EXP(-LN(2)/2)*AB151+(1-EXP(-LN(2)/2))/(LN(2)/2)*V152*Y152*VLOOKUP('Données projet'!$B$9,Paramètres!$A$1:$I$89,3,0)*0.475*44/12</f>
        <v>2.0762658321298743E-18</v>
      </c>
      <c r="AC152" s="22">
        <f t="shared" si="111"/>
        <v>0.88175628474977708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5.6843418860808015E-13</v>
      </c>
      <c r="AJ152" s="13">
        <f>AI152*VLOOKUP('Données projet'!$B$10,Paramètres!$A$1:$I$89,3,0)*VLOOKUP('Données projet'!$B$10,Paramètres!$A$1:$I$89,5,0)</f>
        <v>3.1036506698001181E-13</v>
      </c>
      <c r="AK152" s="13">
        <f t="shared" si="143"/>
        <v>4.086682523110923E-12</v>
      </c>
      <c r="AL152" s="20">
        <f t="shared" si="112"/>
        <v>7.6581912194083782E-12</v>
      </c>
      <c r="AM152" s="59">
        <f t="shared" si="113"/>
        <v>293.33333333334099</v>
      </c>
      <c r="AN152" s="59">
        <f ca="1">AVERAGE(OFFSET($AM$3,0,0,'Données projet'!$E$10+1,1))-AVERAGE(OFFSET($H$3,0,0,'Données projet'!$E$10+1,1))</f>
        <v>248.1486444660062</v>
      </c>
      <c r="AO152" s="59">
        <f t="shared" si="144"/>
        <v>293.34458072322127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0.80691230005678427</v>
      </c>
      <c r="AV152" s="21">
        <f>EXP(-LN(2)/25)*AV151+(1-EXP(-LN(2)/25))/(LN(2)/25)*Calculateur!AQ152*Calculateur!AS152*VLOOKUP('Données projet'!$B$10,Paramètres!$A$1:$I$89,3,0)*0.475*44/12</f>
        <v>1.2561975260844507</v>
      </c>
      <c r="AW152" s="21">
        <f>EXP(-LN(2)/2)*AW151+(1-EXP(-LN(2)/2))/(LN(2)/2)*AQ152*AT152*VLOOKUP('Données projet'!$B$10,Paramètres!$A$1:$I$89,3,0)*0.475*44/12</f>
        <v>3.0889638542431922E-17</v>
      </c>
      <c r="AX152" s="21">
        <f t="shared" si="114"/>
        <v>2.0631098261412348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210.04871822652808</v>
      </c>
      <c r="BJ152" s="59">
        <f t="shared" si="146"/>
        <v>250.17540614049324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0.69163911433438663</v>
      </c>
      <c r="BQ152" s="21">
        <f>EXP(-LN(2)/25)*BQ151+(1-EXP(-LN(2)/25))/(LN(2)/25)*Calculateur!BL152*Calculateur!BN152*VLOOKUP('Données projet'!$B$11,Paramètres!$A$1:$I$89,3,0)*0.475*44/12</f>
        <v>1.027120890788658</v>
      </c>
      <c r="BR152" s="21">
        <f>EXP(-LN(2)/2)*BR151+(1-EXP(-LN(2)/2))/(LN(2)/2)*BL152*BO152*VLOOKUP('Données projet'!$B$11,Paramètres!$A$1:$I$89,3,0)*0.475*44/12</f>
        <v>2.643874856392583E-17</v>
      </c>
      <c r="BS152" s="22">
        <f t="shared" si="117"/>
        <v>1.7187600051230447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1277.6923076923067</v>
      </c>
      <c r="BZ152" s="13">
        <f>BY152*VLOOKUP('Données projet'!$B$12,Paramètres!$A$1:$I$89,3,0)*VLOOKUP('Données projet'!$B$12,Paramètres!$A$1:$I$89,5,0)</f>
        <v>614.5699999999996</v>
      </c>
      <c r="CA152" s="13">
        <f t="shared" si="147"/>
        <v>134.13240620831178</v>
      </c>
      <c r="CB152" s="20">
        <f t="shared" si="118"/>
        <v>1303.9900241461421</v>
      </c>
      <c r="CC152" s="59">
        <f t="shared" si="119"/>
        <v>1597.3233574794754</v>
      </c>
      <c r="CD152" s="59">
        <f ca="1">AVERAGE(OFFSET($CC$3,0,0,'Données projet'!$E$12+1,1))-AVERAGE(OFFSET($H$3,0,0,'Données projet'!$E$12+1,1))</f>
        <v>304.15237106473313</v>
      </c>
      <c r="CE152" s="59">
        <f t="shared" si="148"/>
        <v>120.85458928724336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255.5374979188561</v>
      </c>
      <c r="T153" s="59">
        <f t="shared" si="142"/>
        <v>343.10418468620901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0.28698644069873402</v>
      </c>
      <c r="AA153" s="21">
        <f>EXP(-LN(2)/25)*AA152+(1-EXP(-LN(2)/25))/(LN(2)/25)*Calculateur!V153*Calculateur!X153*VLOOKUP('Données projet'!$B$9,Paramètres!$A$1:$I$89,3,0)*0.475*44/12</f>
        <v>0.57292260650829085</v>
      </c>
      <c r="AB153" s="21">
        <f>EXP(-LN(2)/2)*AB152+(1-EXP(-LN(2)/2))/(LN(2)/2)*V153*Y153*VLOOKUP('Données projet'!$B$9,Paramètres!$A$1:$I$89,3,0)*0.475*44/12</f>
        <v>1.4681416494449641E-18</v>
      </c>
      <c r="AC153" s="22">
        <f t="shared" si="111"/>
        <v>0.85990904720702488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5.6843418860808015E-13</v>
      </c>
      <c r="AJ153" s="13">
        <f>AI153*VLOOKUP('Données projet'!$B$10,Paramètres!$A$1:$I$89,3,0)*VLOOKUP('Données projet'!$B$10,Paramètres!$A$1:$I$89,5,0)</f>
        <v>3.1036506698001181E-13</v>
      </c>
      <c r="AK153" s="13">
        <f t="shared" si="143"/>
        <v>4.086682523110923E-12</v>
      </c>
      <c r="AL153" s="20">
        <f t="shared" si="112"/>
        <v>7.6581912194083782E-12</v>
      </c>
      <c r="AM153" s="59">
        <f t="shared" si="113"/>
        <v>293.33333333334099</v>
      </c>
      <c r="AN153" s="59">
        <f ca="1">AVERAGE(OFFSET($AM$3,0,0,'Données projet'!$E$10+1,1))-AVERAGE(OFFSET($H$3,0,0,'Données projet'!$E$10+1,1))</f>
        <v>248.1486444660062</v>
      </c>
      <c r="AO153" s="59">
        <f t="shared" si="144"/>
        <v>293.34458072322127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0.79108924202057618</v>
      </c>
      <c r="AV153" s="21">
        <f>EXP(-LN(2)/25)*AV152+(1-EXP(-LN(2)/25))/(LN(2)/25)*Calculateur!AQ153*Calculateur!AS153*VLOOKUP('Données projet'!$B$10,Paramètres!$A$1:$I$89,3,0)*0.475*44/12</f>
        <v>1.2218467386731147</v>
      </c>
      <c r="AW153" s="21">
        <f>EXP(-LN(2)/2)*AW152+(1-EXP(-LN(2)/2))/(LN(2)/2)*AQ153*AT153*VLOOKUP('Données projet'!$B$10,Paramètres!$A$1:$I$89,3,0)*0.475*44/12</f>
        <v>2.1842272881754954E-17</v>
      </c>
      <c r="AX153" s="21">
        <f t="shared" si="114"/>
        <v>2.0129359806936908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210.04871822652808</v>
      </c>
      <c r="BJ153" s="59">
        <f t="shared" si="146"/>
        <v>250.17540614049324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0.67807649316049401</v>
      </c>
      <c r="BQ153" s="21">
        <f>EXP(-LN(2)/25)*BQ152+(1-EXP(-LN(2)/25))/(LN(2)/25)*Calculateur!BL153*Calculateur!BN153*VLOOKUP('Données projet'!$B$11,Paramètres!$A$1:$I$89,3,0)*0.475*44/12</f>
        <v>0.99903421601610198</v>
      </c>
      <c r="BR153" s="21">
        <f>EXP(-LN(2)/2)*BR152+(1-EXP(-LN(2)/2))/(LN(2)/2)*BL153*BO153*VLOOKUP('Données projet'!$B$11,Paramètres!$A$1:$I$89,3,0)*0.475*44/12</f>
        <v>1.8695018395638049E-17</v>
      </c>
      <c r="BS153" s="22">
        <f t="shared" si="117"/>
        <v>1.677110709176596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1277.6923076923067</v>
      </c>
      <c r="BZ153" s="13">
        <f>BY153*VLOOKUP('Données projet'!$B$12,Paramètres!$A$1:$I$89,3,0)*VLOOKUP('Données projet'!$B$12,Paramètres!$A$1:$I$89,5,0)</f>
        <v>614.5699999999996</v>
      </c>
      <c r="CA153" s="13">
        <f t="shared" si="147"/>
        <v>134.13240620831178</v>
      </c>
      <c r="CB153" s="20">
        <f t="shared" si="118"/>
        <v>1303.9900241461421</v>
      </c>
      <c r="CC153" s="59">
        <f t="shared" si="119"/>
        <v>1597.3233574794754</v>
      </c>
      <c r="CD153" s="59">
        <f ca="1">AVERAGE(OFFSET($CC$3,0,0,'Données projet'!$E$12+1,1))-AVERAGE(OFFSET($H$3,0,0,'Données projet'!$E$12+1,1))</f>
        <v>304.15237106473313</v>
      </c>
      <c r="CE153" s="59">
        <f t="shared" si="148"/>
        <v>120.85458928724336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255.5374979188561</v>
      </c>
      <c r="T154" s="59">
        <f t="shared" si="142"/>
        <v>343.10418468620901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0.28135881164107646</v>
      </c>
      <c r="AA154" s="21">
        <f>EXP(-LN(2)/25)*AA153+(1-EXP(-LN(2)/25))/(LN(2)/25)*Calculateur!V154*Calculateur!X154*VLOOKUP('Données projet'!$B$9,Paramètres!$A$1:$I$89,3,0)*0.475*44/12</f>
        <v>0.55725600770463124</v>
      </c>
      <c r="AB154" s="21">
        <f>EXP(-LN(2)/2)*AB153+(1-EXP(-LN(2)/2))/(LN(2)/2)*V154*Y154*VLOOKUP('Données projet'!$B$9,Paramètres!$A$1:$I$89,3,0)*0.475*44/12</f>
        <v>1.0381329160649371E-18</v>
      </c>
      <c r="AC154" s="22">
        <f t="shared" ref="AC154:AC203" si="163">SUM(Z154:AB154)</f>
        <v>0.8386148193457077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5.6843418860808015E-13</v>
      </c>
      <c r="AJ154" s="13">
        <f>AI154*VLOOKUP('Données projet'!$B$10,Paramètres!$A$1:$I$89,3,0)*VLOOKUP('Données projet'!$B$10,Paramètres!$A$1:$I$89,5,0)</f>
        <v>3.1036506698001181E-13</v>
      </c>
      <c r="AK154" s="13">
        <f t="shared" ref="AK154:AK203" si="164">EXP(-1.0587+0.8836*LN(AJ154)+0.284)</f>
        <v>4.086682523110923E-12</v>
      </c>
      <c r="AL154" s="20">
        <f t="shared" ref="AL154:AL203" si="165">(AJ154+AK154)*0.475*44/12</f>
        <v>7.6581912194083782E-12</v>
      </c>
      <c r="AM154" s="59">
        <f t="shared" si="113"/>
        <v>293.33333333334099</v>
      </c>
      <c r="AN154" s="59">
        <f ca="1">AVERAGE(OFFSET($AM$3,0,0,'Données projet'!$E$10+1,1))-AVERAGE(OFFSET($H$3,0,0,'Données projet'!$E$10+1,1))</f>
        <v>248.1486444660062</v>
      </c>
      <c r="AO154" s="59">
        <f t="shared" si="144"/>
        <v>293.34458072322127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0.77557646450134576</v>
      </c>
      <c r="AV154" s="21">
        <f>EXP(-LN(2)/25)*AV153+(1-EXP(-LN(2)/25))/(LN(2)/25)*Calculateur!AQ154*Calculateur!AS154*VLOOKUP('Données projet'!$B$10,Paramètres!$A$1:$I$89,3,0)*0.475*44/12</f>
        <v>1.188435275349971</v>
      </c>
      <c r="AW154" s="21">
        <f>EXP(-LN(2)/2)*AW153+(1-EXP(-LN(2)/2))/(LN(2)/2)*AQ154*AT154*VLOOKUP('Données projet'!$B$10,Paramètres!$A$1:$I$89,3,0)*0.475*44/12</f>
        <v>1.5444819271215961E-17</v>
      </c>
      <c r="AX154" s="21">
        <f t="shared" ref="AX154:AX203" si="166">SUM(AU154:AW154)</f>
        <v>1.9640117398513168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210.04871822652808</v>
      </c>
      <c r="BJ154" s="59">
        <f t="shared" si="146"/>
        <v>250.17540614049324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0.66477982671543934</v>
      </c>
      <c r="BQ154" s="21">
        <f>EXP(-LN(2)/25)*BQ153+(1-EXP(-LN(2)/25))/(LN(2)/25)*Calculateur!BL154*Calculateur!BN154*VLOOKUP('Données projet'!$B$11,Paramètres!$A$1:$I$89,3,0)*0.475*44/12</f>
        <v>0.97171557284221555</v>
      </c>
      <c r="BR154" s="21">
        <f>EXP(-LN(2)/2)*BR153+(1-EXP(-LN(2)/2))/(LN(2)/2)*BL154*BO154*VLOOKUP('Données projet'!$B$11,Paramètres!$A$1:$I$89,3,0)*0.475*44/12</f>
        <v>1.3219374281962915E-17</v>
      </c>
      <c r="BS154" s="22">
        <f t="shared" ref="BS154:BS203" si="169">SUM(BP154:BR154)</f>
        <v>1.636495399557655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1277.6923076923067</v>
      </c>
      <c r="BZ154" s="13">
        <f>BY154*VLOOKUP('Données projet'!$B$12,Paramètres!$A$1:$I$89,3,0)*VLOOKUP('Données projet'!$B$12,Paramètres!$A$1:$I$89,5,0)</f>
        <v>614.5699999999996</v>
      </c>
      <c r="CA154" s="13">
        <f t="shared" ref="CA154:CA203" si="170">EXP(-1.0587+0.8836*LN(BZ154)+0.284)</f>
        <v>134.13240620831178</v>
      </c>
      <c r="CB154" s="20">
        <f t="shared" ref="CB154:CB203" si="171">(BZ154+CA154)*0.475*44/12</f>
        <v>1303.9900241461421</v>
      </c>
      <c r="CC154" s="59">
        <f t="shared" si="119"/>
        <v>1597.3233574794754</v>
      </c>
      <c r="CD154" s="59">
        <f ca="1">AVERAGE(OFFSET($CC$3,0,0,'Données projet'!$E$12+1,1))-AVERAGE(OFFSET($H$3,0,0,'Données projet'!$E$12+1,1))</f>
        <v>304.15237106473313</v>
      </c>
      <c r="CE154" s="59">
        <f t="shared" si="148"/>
        <v>120.85458928724336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255.5374979188561</v>
      </c>
      <c r="T155" s="59">
        <f t="shared" si="142"/>
        <v>343.10418468620901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0.27584153695672475</v>
      </c>
      <c r="AA155" s="21">
        <f>EXP(-LN(2)/25)*AA154+(1-EXP(-LN(2)/25))/(LN(2)/25)*Calculateur!V155*Calculateur!X155*VLOOKUP('Données projet'!$B$9,Paramètres!$A$1:$I$89,3,0)*0.475*44/12</f>
        <v>0.54201781286912831</v>
      </c>
      <c r="AB155" s="21">
        <f>EXP(-LN(2)/2)*AB154+(1-EXP(-LN(2)/2))/(LN(2)/2)*V155*Y155*VLOOKUP('Données projet'!$B$9,Paramètres!$A$1:$I$89,3,0)*0.475*44/12</f>
        <v>7.3407082472248203E-19</v>
      </c>
      <c r="AC155" s="22">
        <f t="shared" si="163"/>
        <v>0.81785934982585307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5.6843418860808015E-13</v>
      </c>
      <c r="AJ155" s="13">
        <f>AI155*VLOOKUP('Données projet'!$B$10,Paramètres!$A$1:$I$89,3,0)*VLOOKUP('Données projet'!$B$10,Paramètres!$A$1:$I$89,5,0)</f>
        <v>3.1036506698001181E-13</v>
      </c>
      <c r="AK155" s="13">
        <f t="shared" si="164"/>
        <v>4.086682523110923E-12</v>
      </c>
      <c r="AL155" s="20">
        <f t="shared" si="165"/>
        <v>7.6581912194083782E-12</v>
      </c>
      <c r="AM155" s="59">
        <f t="shared" si="113"/>
        <v>293.33333333334099</v>
      </c>
      <c r="AN155" s="59">
        <f ca="1">AVERAGE(OFFSET($AM$3,0,0,'Données projet'!$E$10+1,1))-AVERAGE(OFFSET($H$3,0,0,'Données projet'!$E$10+1,1))</f>
        <v>248.1486444660062</v>
      </c>
      <c r="AO155" s="59">
        <f t="shared" si="144"/>
        <v>293.34458072322127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0.76036788308740744</v>
      </c>
      <c r="AV155" s="21">
        <f>EXP(-LN(2)/25)*AV154+(1-EXP(-LN(2)/25))/(LN(2)/25)*Calculateur!AQ155*Calculateur!AS155*VLOOKUP('Données projet'!$B$10,Paramètres!$A$1:$I$89,3,0)*0.475*44/12</f>
        <v>1.155937450248431</v>
      </c>
      <c r="AW155" s="21">
        <f>EXP(-LN(2)/2)*AW154+(1-EXP(-LN(2)/2))/(LN(2)/2)*AQ155*AT155*VLOOKUP('Données projet'!$B$10,Paramètres!$A$1:$I$89,3,0)*0.475*44/12</f>
        <v>1.0921136440877477E-17</v>
      </c>
      <c r="AX155" s="21">
        <f t="shared" si="166"/>
        <v>1.9163053333358384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210.04871822652808</v>
      </c>
      <c r="BJ155" s="59">
        <f t="shared" si="146"/>
        <v>250.17540614049324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0.65174389978920644</v>
      </c>
      <c r="BQ155" s="21">
        <f>EXP(-LN(2)/25)*BQ154+(1-EXP(-LN(2)/25))/(LN(2)/25)*Calculateur!BL155*Calculateur!BN155*VLOOKUP('Données projet'!$B$11,Paramètres!$A$1:$I$89,3,0)*0.475*44/12</f>
        <v>0.94514395940254403</v>
      </c>
      <c r="BR155" s="21">
        <f>EXP(-LN(2)/2)*BR154+(1-EXP(-LN(2)/2))/(LN(2)/2)*BL155*BO155*VLOOKUP('Données projet'!$B$11,Paramètres!$A$1:$I$89,3,0)*0.475*44/12</f>
        <v>9.3475091978190246E-18</v>
      </c>
      <c r="BS155" s="22">
        <f t="shared" si="169"/>
        <v>1.5968878591917504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1277.6923076923067</v>
      </c>
      <c r="BZ155" s="13">
        <f>BY155*VLOOKUP('Données projet'!$B$12,Paramètres!$A$1:$I$89,3,0)*VLOOKUP('Données projet'!$B$12,Paramètres!$A$1:$I$89,5,0)</f>
        <v>614.5699999999996</v>
      </c>
      <c r="CA155" s="13">
        <f t="shared" si="170"/>
        <v>134.13240620831178</v>
      </c>
      <c r="CB155" s="20">
        <f t="shared" si="171"/>
        <v>1303.9900241461421</v>
      </c>
      <c r="CC155" s="59">
        <f t="shared" si="119"/>
        <v>1597.3233574794754</v>
      </c>
      <c r="CD155" s="59">
        <f ca="1">AVERAGE(OFFSET($CC$3,0,0,'Données projet'!$E$12+1,1))-AVERAGE(OFFSET($H$3,0,0,'Données projet'!$E$12+1,1))</f>
        <v>304.15237106473313</v>
      </c>
      <c r="CE155" s="59">
        <f t="shared" si="148"/>
        <v>120.85458928724336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255.5374979188561</v>
      </c>
      <c r="T156" s="59">
        <f t="shared" si="142"/>
        <v>343.10418468620901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0.27043245266372795</v>
      </c>
      <c r="AA156" s="21">
        <f>EXP(-LN(2)/25)*AA155+(1-EXP(-LN(2)/25))/(LN(2)/25)*Calculateur!V156*Calculateur!X156*VLOOKUP('Données projet'!$B$9,Paramètres!$A$1:$I$89,3,0)*0.475*44/12</f>
        <v>0.52719630727274402</v>
      </c>
      <c r="AB156" s="21">
        <f>EXP(-LN(2)/2)*AB155+(1-EXP(-LN(2)/2))/(LN(2)/2)*V156*Y156*VLOOKUP('Données projet'!$B$9,Paramètres!$A$1:$I$89,3,0)*0.475*44/12</f>
        <v>5.1906645803246857E-19</v>
      </c>
      <c r="AC156" s="22">
        <f t="shared" si="163"/>
        <v>0.79762875993647198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5.6843418860808015E-13</v>
      </c>
      <c r="AJ156" s="13">
        <f>AI156*VLOOKUP('Données projet'!$B$10,Paramètres!$A$1:$I$89,3,0)*VLOOKUP('Données projet'!$B$10,Paramètres!$A$1:$I$89,5,0)</f>
        <v>3.1036506698001181E-13</v>
      </c>
      <c r="AK156" s="13">
        <f t="shared" si="164"/>
        <v>4.086682523110923E-12</v>
      </c>
      <c r="AL156" s="20">
        <f t="shared" si="165"/>
        <v>7.6581912194083782E-12</v>
      </c>
      <c r="AM156" s="59">
        <f t="shared" si="113"/>
        <v>293.33333333334099</v>
      </c>
      <c r="AN156" s="59">
        <f ca="1">AVERAGE(OFFSET($AM$3,0,0,'Données projet'!$E$10+1,1))-AVERAGE(OFFSET($H$3,0,0,'Données projet'!$E$10+1,1))</f>
        <v>248.1486444660062</v>
      </c>
      <c r="AO156" s="59">
        <f t="shared" si="144"/>
        <v>293.34458072322127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0.74545753267867776</v>
      </c>
      <c r="AV156" s="21">
        <f>EXP(-LN(2)/25)*AV155+(1-EXP(-LN(2)/25))/(LN(2)/25)*Calculateur!AQ156*Calculateur!AS156*VLOOKUP('Données projet'!$B$10,Paramètres!$A$1:$I$89,3,0)*0.475*44/12</f>
        <v>1.124328279883279</v>
      </c>
      <c r="AW156" s="21">
        <f>EXP(-LN(2)/2)*AW155+(1-EXP(-LN(2)/2))/(LN(2)/2)*AQ156*AT156*VLOOKUP('Données projet'!$B$10,Paramètres!$A$1:$I$89,3,0)*0.475*44/12</f>
        <v>7.7224096356079805E-18</v>
      </c>
      <c r="AX156" s="21">
        <f t="shared" si="166"/>
        <v>1.8697858125619566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210.04871822652808</v>
      </c>
      <c r="BJ156" s="59">
        <f t="shared" si="146"/>
        <v>250.17540614049324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0.63896359943886671</v>
      </c>
      <c r="BQ156" s="21">
        <f>EXP(-LN(2)/25)*BQ155+(1-EXP(-LN(2)/25))/(LN(2)/25)*Calculateur!BL156*Calculateur!BN156*VLOOKUP('Données projet'!$B$11,Paramètres!$A$1:$I$89,3,0)*0.475*44/12</f>
        <v>0.91929894812972079</v>
      </c>
      <c r="BR156" s="21">
        <f>EXP(-LN(2)/2)*BR155+(1-EXP(-LN(2)/2))/(LN(2)/2)*BL156*BO156*VLOOKUP('Données projet'!$B$11,Paramètres!$A$1:$I$89,3,0)*0.475*44/12</f>
        <v>6.6096871409814575E-18</v>
      </c>
      <c r="BS156" s="22">
        <f t="shared" si="169"/>
        <v>1.5582625475685874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1277.6923076923067</v>
      </c>
      <c r="BZ156" s="13">
        <f>BY156*VLOOKUP('Données projet'!$B$12,Paramètres!$A$1:$I$89,3,0)*VLOOKUP('Données projet'!$B$12,Paramètres!$A$1:$I$89,5,0)</f>
        <v>614.5699999999996</v>
      </c>
      <c r="CA156" s="13">
        <f t="shared" si="170"/>
        <v>134.13240620831178</v>
      </c>
      <c r="CB156" s="20">
        <f t="shared" si="171"/>
        <v>1303.9900241461421</v>
      </c>
      <c r="CC156" s="59">
        <f t="shared" si="119"/>
        <v>1597.3233574794754</v>
      </c>
      <c r="CD156" s="59">
        <f ca="1">AVERAGE(OFFSET($CC$3,0,0,'Données projet'!$E$12+1,1))-AVERAGE(OFFSET($H$3,0,0,'Données projet'!$E$12+1,1))</f>
        <v>304.15237106473313</v>
      </c>
      <c r="CE156" s="59">
        <f t="shared" si="148"/>
        <v>120.85458928724336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255.5374979188561</v>
      </c>
      <c r="T157" s="59">
        <f t="shared" si="142"/>
        <v>343.10418468620901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0.26512943721450116</v>
      </c>
      <c r="AA157" s="21">
        <f>EXP(-LN(2)/25)*AA156+(1-EXP(-LN(2)/25))/(LN(2)/25)*Calculateur!V157*Calculateur!X157*VLOOKUP('Données projet'!$B$9,Paramètres!$A$1:$I$89,3,0)*0.475*44/12</f>
        <v>0.51278009652632195</v>
      </c>
      <c r="AB157" s="21">
        <f>EXP(-LN(2)/2)*AB156+(1-EXP(-LN(2)/2))/(LN(2)/2)*V157*Y157*VLOOKUP('Données projet'!$B$9,Paramètres!$A$1:$I$89,3,0)*0.475*44/12</f>
        <v>3.6703541236124101E-19</v>
      </c>
      <c r="AC157" s="22">
        <f t="shared" si="163"/>
        <v>0.77790953374082306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5.6843418860808015E-13</v>
      </c>
      <c r="AJ157" s="13">
        <f>AI157*VLOOKUP('Données projet'!$B$10,Paramètres!$A$1:$I$89,3,0)*VLOOKUP('Données projet'!$B$10,Paramètres!$A$1:$I$89,5,0)</f>
        <v>3.1036506698001181E-13</v>
      </c>
      <c r="AK157" s="13">
        <f t="shared" si="164"/>
        <v>4.086682523110923E-12</v>
      </c>
      <c r="AL157" s="20">
        <f t="shared" si="165"/>
        <v>7.6581912194083782E-12</v>
      </c>
      <c r="AM157" s="59">
        <f t="shared" si="113"/>
        <v>293.33333333334099</v>
      </c>
      <c r="AN157" s="59">
        <f ca="1">AVERAGE(OFFSET($AM$3,0,0,'Données projet'!$E$10+1,1))-AVERAGE(OFFSET($H$3,0,0,'Données projet'!$E$10+1,1))</f>
        <v>248.1486444660062</v>
      </c>
      <c r="AO157" s="59">
        <f t="shared" si="144"/>
        <v>293.34458072322127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0.73083956514704751</v>
      </c>
      <c r="AV157" s="21">
        <f>EXP(-LN(2)/25)*AV156+(1-EXP(-LN(2)/25))/(LN(2)/25)*Calculateur!AQ157*Calculateur!AS157*VLOOKUP('Données projet'!$B$10,Paramètres!$A$1:$I$89,3,0)*0.475*44/12</f>
        <v>1.0935834639440161</v>
      </c>
      <c r="AW157" s="21">
        <f>EXP(-LN(2)/2)*AW156+(1-EXP(-LN(2)/2))/(LN(2)/2)*AQ157*AT157*VLOOKUP('Données projet'!$B$10,Paramètres!$A$1:$I$89,3,0)*0.475*44/12</f>
        <v>5.4605682204387385E-18</v>
      </c>
      <c r="AX157" s="21">
        <f t="shared" si="166"/>
        <v>1.8244230290910637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210.04871822652808</v>
      </c>
      <c r="BJ157" s="59">
        <f t="shared" si="146"/>
        <v>250.17540614049324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0.62643391298318363</v>
      </c>
      <c r="BQ157" s="21">
        <f>EXP(-LN(2)/25)*BQ156+(1-EXP(-LN(2)/25))/(LN(2)/25)*Calculateur!BL157*Calculateur!BN157*VLOOKUP('Données projet'!$B$11,Paramètres!$A$1:$I$89,3,0)*0.475*44/12</f>
        <v>0.89416067004928301</v>
      </c>
      <c r="BR157" s="21">
        <f>EXP(-LN(2)/2)*BR156+(1-EXP(-LN(2)/2))/(LN(2)/2)*BL157*BO157*VLOOKUP('Données projet'!$B$11,Paramètres!$A$1:$I$89,3,0)*0.475*44/12</f>
        <v>4.6737545989095123E-18</v>
      </c>
      <c r="BS157" s="22">
        <f t="shared" si="169"/>
        <v>1.5205945830324668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1277.6923076923067</v>
      </c>
      <c r="BZ157" s="13">
        <f>BY157*VLOOKUP('Données projet'!$B$12,Paramètres!$A$1:$I$89,3,0)*VLOOKUP('Données projet'!$B$12,Paramètres!$A$1:$I$89,5,0)</f>
        <v>614.5699999999996</v>
      </c>
      <c r="CA157" s="13">
        <f t="shared" si="170"/>
        <v>134.13240620831178</v>
      </c>
      <c r="CB157" s="20">
        <f t="shared" si="171"/>
        <v>1303.9900241461421</v>
      </c>
      <c r="CC157" s="59">
        <f t="shared" si="119"/>
        <v>1597.3233574794754</v>
      </c>
      <c r="CD157" s="59">
        <f ca="1">AVERAGE(OFFSET($CC$3,0,0,'Données projet'!$E$12+1,1))-AVERAGE(OFFSET($H$3,0,0,'Données projet'!$E$12+1,1))</f>
        <v>304.15237106473313</v>
      </c>
      <c r="CE157" s="59">
        <f t="shared" si="148"/>
        <v>120.85458928724336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255.5374979188561</v>
      </c>
      <c r="T158" s="59">
        <f t="shared" si="142"/>
        <v>343.10418468620901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0.25993041066371364</v>
      </c>
      <c r="AA158" s="21">
        <f>EXP(-LN(2)/25)*AA157+(1-EXP(-LN(2)/25))/(LN(2)/25)*Calculateur!V158*Calculateur!X158*VLOOKUP('Données projet'!$B$9,Paramètres!$A$1:$I$89,3,0)*0.475*44/12</f>
        <v>0.49875809782087638</v>
      </c>
      <c r="AB158" s="21">
        <f>EXP(-LN(2)/2)*AB157+(1-EXP(-LN(2)/2))/(LN(2)/2)*V158*Y158*VLOOKUP('Données projet'!$B$9,Paramètres!$A$1:$I$89,3,0)*0.475*44/12</f>
        <v>2.5953322901623428E-19</v>
      </c>
      <c r="AC158" s="22">
        <f t="shared" si="163"/>
        <v>0.75868850848459002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5.6843418860808015E-13</v>
      </c>
      <c r="AJ158" s="13">
        <f>AI158*VLOOKUP('Données projet'!$B$10,Paramètres!$A$1:$I$89,3,0)*VLOOKUP('Données projet'!$B$10,Paramètres!$A$1:$I$89,5,0)</f>
        <v>3.1036506698001181E-13</v>
      </c>
      <c r="AK158" s="13">
        <f t="shared" si="164"/>
        <v>4.086682523110923E-12</v>
      </c>
      <c r="AL158" s="20">
        <f t="shared" si="165"/>
        <v>7.6581912194083782E-12</v>
      </c>
      <c r="AM158" s="59">
        <f t="shared" si="113"/>
        <v>293.33333333334099</v>
      </c>
      <c r="AN158" s="59">
        <f ca="1">AVERAGE(OFFSET($AM$3,0,0,'Données projet'!$E$10+1,1))-AVERAGE(OFFSET($H$3,0,0,'Données projet'!$E$10+1,1))</f>
        <v>248.1486444660062</v>
      </c>
      <c r="AO158" s="59">
        <f t="shared" si="144"/>
        <v>293.34458072322127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0.71650824704263272</v>
      </c>
      <c r="AV158" s="21">
        <f>EXP(-LN(2)/25)*AV157+(1-EXP(-LN(2)/25))/(LN(2)/25)*Calculateur!AQ158*Calculateur!AS158*VLOOKUP('Données projet'!$B$10,Paramètres!$A$1:$I$89,3,0)*0.475*44/12</f>
        <v>1.0636793666134119</v>
      </c>
      <c r="AW158" s="21">
        <f>EXP(-LN(2)/2)*AW157+(1-EXP(-LN(2)/2))/(LN(2)/2)*AQ158*AT158*VLOOKUP('Données projet'!$B$10,Paramètres!$A$1:$I$89,3,0)*0.475*44/12</f>
        <v>3.8612048178039902E-18</v>
      </c>
      <c r="AX158" s="21">
        <f t="shared" si="166"/>
        <v>1.7801876136560446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210.04871822652808</v>
      </c>
      <c r="BJ158" s="59">
        <f t="shared" si="146"/>
        <v>250.17540614049324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0.61414992603654239</v>
      </c>
      <c r="BQ158" s="21">
        <f>EXP(-LN(2)/25)*BQ157+(1-EXP(-LN(2)/25))/(LN(2)/25)*Calculateur!BL158*Calculateur!BN158*VLOOKUP('Données projet'!$B$11,Paramètres!$A$1:$I$89,3,0)*0.475*44/12</f>
        <v>0.86970979950491933</v>
      </c>
      <c r="BR158" s="21">
        <f>EXP(-LN(2)/2)*BR157+(1-EXP(-LN(2)/2))/(LN(2)/2)*BL158*BO158*VLOOKUP('Données projet'!$B$11,Paramètres!$A$1:$I$89,3,0)*0.475*44/12</f>
        <v>3.3048435704907287E-18</v>
      </c>
      <c r="BS158" s="22">
        <f t="shared" si="169"/>
        <v>1.4838597255414618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1277.6923076923067</v>
      </c>
      <c r="BZ158" s="13">
        <f>BY158*VLOOKUP('Données projet'!$B$12,Paramètres!$A$1:$I$89,3,0)*VLOOKUP('Données projet'!$B$12,Paramètres!$A$1:$I$89,5,0)</f>
        <v>614.5699999999996</v>
      </c>
      <c r="CA158" s="13">
        <f t="shared" si="170"/>
        <v>134.13240620831178</v>
      </c>
      <c r="CB158" s="20">
        <f t="shared" si="171"/>
        <v>1303.9900241461421</v>
      </c>
      <c r="CC158" s="59">
        <f t="shared" si="119"/>
        <v>1597.3233574794754</v>
      </c>
      <c r="CD158" s="59">
        <f ca="1">AVERAGE(OFFSET($CC$3,0,0,'Données projet'!$E$12+1,1))-AVERAGE(OFFSET($H$3,0,0,'Données projet'!$E$12+1,1))</f>
        <v>304.15237106473313</v>
      </c>
      <c r="CE158" s="59">
        <f t="shared" si="148"/>
        <v>120.85458928724336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255.5374979188561</v>
      </c>
      <c r="T159" s="59">
        <f t="shared" si="142"/>
        <v>343.10418468620901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0.25483333385249402</v>
      </c>
      <c r="AA159" s="21">
        <f>EXP(-LN(2)/25)*AA158+(1-EXP(-LN(2)/25))/(LN(2)/25)*Calculateur!V159*Calculateur!X159*VLOOKUP('Données projet'!$B$9,Paramètres!$A$1:$I$89,3,0)*0.475*44/12</f>
        <v>0.48511953140741609</v>
      </c>
      <c r="AB159" s="21">
        <f>EXP(-LN(2)/2)*AB158+(1-EXP(-LN(2)/2))/(LN(2)/2)*V159*Y159*VLOOKUP('Données projet'!$B$9,Paramètres!$A$1:$I$89,3,0)*0.475*44/12</f>
        <v>1.8351770618062051E-19</v>
      </c>
      <c r="AC159" s="22">
        <f t="shared" si="163"/>
        <v>0.73995286525991011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5.6843418860808015E-13</v>
      </c>
      <c r="AJ159" s="13">
        <f>AI159*VLOOKUP('Données projet'!$B$10,Paramètres!$A$1:$I$89,3,0)*VLOOKUP('Données projet'!$B$10,Paramètres!$A$1:$I$89,5,0)</f>
        <v>3.1036506698001181E-13</v>
      </c>
      <c r="AK159" s="13">
        <f t="shared" si="164"/>
        <v>4.086682523110923E-12</v>
      </c>
      <c r="AL159" s="20">
        <f t="shared" si="165"/>
        <v>7.6581912194083782E-12</v>
      </c>
      <c r="AM159" s="59">
        <f t="shared" si="113"/>
        <v>293.33333333334099</v>
      </c>
      <c r="AN159" s="59">
        <f ca="1">AVERAGE(OFFSET($AM$3,0,0,'Données projet'!$E$10+1,1))-AVERAGE(OFFSET($H$3,0,0,'Données projet'!$E$10+1,1))</f>
        <v>248.1486444660062</v>
      </c>
      <c r="AO159" s="59">
        <f t="shared" si="144"/>
        <v>293.34458072322127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0.7024579573450046</v>
      </c>
      <c r="AV159" s="21">
        <f>EXP(-LN(2)/25)*AV158+(1-EXP(-LN(2)/25))/(LN(2)/25)*Calculateur!AQ159*Calculateur!AS159*VLOOKUP('Données projet'!$B$10,Paramètres!$A$1:$I$89,3,0)*0.475*44/12</f>
        <v>1.0345929983969013</v>
      </c>
      <c r="AW159" s="21">
        <f>EXP(-LN(2)/2)*AW158+(1-EXP(-LN(2)/2))/(LN(2)/2)*AQ159*AT159*VLOOKUP('Données projet'!$B$10,Paramètres!$A$1:$I$89,3,0)*0.475*44/12</f>
        <v>2.7302841102193692E-18</v>
      </c>
      <c r="AX159" s="21">
        <f t="shared" si="166"/>
        <v>1.737050955741906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210.04871822652808</v>
      </c>
      <c r="BJ159" s="59">
        <f t="shared" si="146"/>
        <v>250.17540614049324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0.6021068205814325</v>
      </c>
      <c r="BQ159" s="21">
        <f>EXP(-LN(2)/25)*BQ158+(1-EXP(-LN(2)/25))/(LN(2)/25)*Calculateur!BL159*Calculateur!BN159*VLOOKUP('Données projet'!$B$11,Paramètres!$A$1:$I$89,3,0)*0.475*44/12</f>
        <v>0.84592753930140674</v>
      </c>
      <c r="BR159" s="21">
        <f>EXP(-LN(2)/2)*BR158+(1-EXP(-LN(2)/2))/(LN(2)/2)*BL159*BO159*VLOOKUP('Données projet'!$B$11,Paramètres!$A$1:$I$89,3,0)*0.475*44/12</f>
        <v>2.3368772994547561E-18</v>
      </c>
      <c r="BS159" s="22">
        <f t="shared" si="169"/>
        <v>1.4480343598828394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1277.6923076923067</v>
      </c>
      <c r="BZ159" s="13">
        <f>BY159*VLOOKUP('Données projet'!$B$12,Paramètres!$A$1:$I$89,3,0)*VLOOKUP('Données projet'!$B$12,Paramètres!$A$1:$I$89,5,0)</f>
        <v>614.5699999999996</v>
      </c>
      <c r="CA159" s="13">
        <f t="shared" si="170"/>
        <v>134.13240620831178</v>
      </c>
      <c r="CB159" s="20">
        <f t="shared" si="171"/>
        <v>1303.9900241461421</v>
      </c>
      <c r="CC159" s="59">
        <f t="shared" si="119"/>
        <v>1597.3233574794754</v>
      </c>
      <c r="CD159" s="59">
        <f ca="1">AVERAGE(OFFSET($CC$3,0,0,'Données projet'!$E$12+1,1))-AVERAGE(OFFSET($H$3,0,0,'Données projet'!$E$12+1,1))</f>
        <v>304.15237106473313</v>
      </c>
      <c r="CE159" s="59">
        <f t="shared" si="148"/>
        <v>120.85458928724336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255.5374979188561</v>
      </c>
      <c r="T160" s="59">
        <f t="shared" si="142"/>
        <v>343.10418468620901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0.24983620760863254</v>
      </c>
      <c r="AA160" s="21">
        <f>EXP(-LN(2)/25)*AA159+(1-EXP(-LN(2)/25))/(LN(2)/25)*Calculateur!V160*Calculateur!X160*VLOOKUP('Données projet'!$B$9,Paramètres!$A$1:$I$89,3,0)*0.475*44/12</f>
        <v>0.47185391230975288</v>
      </c>
      <c r="AB160" s="21">
        <f>EXP(-LN(2)/2)*AB159+(1-EXP(-LN(2)/2))/(LN(2)/2)*V160*Y160*VLOOKUP('Données projet'!$B$9,Paramètres!$A$1:$I$89,3,0)*0.475*44/12</f>
        <v>1.2976661450811714E-19</v>
      </c>
      <c r="AC160" s="22">
        <f t="shared" si="163"/>
        <v>0.72169011991838539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5.6843418860808015E-13</v>
      </c>
      <c r="AJ160" s="13">
        <f>AI160*VLOOKUP('Données projet'!$B$10,Paramètres!$A$1:$I$89,3,0)*VLOOKUP('Données projet'!$B$10,Paramètres!$A$1:$I$89,5,0)</f>
        <v>3.1036506698001181E-13</v>
      </c>
      <c r="AK160" s="13">
        <f t="shared" si="164"/>
        <v>4.086682523110923E-12</v>
      </c>
      <c r="AL160" s="20">
        <f t="shared" si="165"/>
        <v>7.6581912194083782E-12</v>
      </c>
      <c r="AM160" s="59">
        <f t="shared" si="113"/>
        <v>293.33333333334099</v>
      </c>
      <c r="AN160" s="59">
        <f ca="1">AVERAGE(OFFSET($AM$3,0,0,'Données projet'!$E$10+1,1))-AVERAGE(OFFSET($H$3,0,0,'Données projet'!$E$10+1,1))</f>
        <v>248.1486444660062</v>
      </c>
      <c r="AO160" s="59">
        <f t="shared" si="144"/>
        <v>293.34458072322127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0.68868318525851646</v>
      </c>
      <c r="AV160" s="21">
        <f>EXP(-LN(2)/25)*AV159+(1-EXP(-LN(2)/25))/(LN(2)/25)*Calculateur!AQ160*Calculateur!AS160*VLOOKUP('Données projet'!$B$10,Paramètres!$A$1:$I$89,3,0)*0.475*44/12</f>
        <v>1.0063019984488568</v>
      </c>
      <c r="AW160" s="21">
        <f>EXP(-LN(2)/2)*AW159+(1-EXP(-LN(2)/2))/(LN(2)/2)*AQ160*AT160*VLOOKUP('Données projet'!$B$10,Paramètres!$A$1:$I$89,3,0)*0.475*44/12</f>
        <v>1.9306024089019951E-18</v>
      </c>
      <c r="AX160" s="21">
        <f t="shared" si="166"/>
        <v>1.6949851837073733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210.04871822652808</v>
      </c>
      <c r="BJ160" s="59">
        <f t="shared" si="146"/>
        <v>250.17540614049324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0.59029987307872833</v>
      </c>
      <c r="BQ160" s="21">
        <f>EXP(-LN(2)/25)*BQ159+(1-EXP(-LN(2)/25))/(LN(2)/25)*Calculateur!BL160*Calculateur!BN160*VLOOKUP('Données projet'!$B$11,Paramètres!$A$1:$I$89,3,0)*0.475*44/12</f>
        <v>0.82279560625381387</v>
      </c>
      <c r="BR160" s="21">
        <f>EXP(-LN(2)/2)*BR159+(1-EXP(-LN(2)/2))/(LN(2)/2)*BL160*BO160*VLOOKUP('Données projet'!$B$11,Paramètres!$A$1:$I$89,3,0)*0.475*44/12</f>
        <v>1.6524217852453644E-18</v>
      </c>
      <c r="BS160" s="22">
        <f t="shared" si="169"/>
        <v>1.4130954793325423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1277.6923076923067</v>
      </c>
      <c r="BZ160" s="13">
        <f>BY160*VLOOKUP('Données projet'!$B$12,Paramètres!$A$1:$I$89,3,0)*VLOOKUP('Données projet'!$B$12,Paramètres!$A$1:$I$89,5,0)</f>
        <v>614.5699999999996</v>
      </c>
      <c r="CA160" s="13">
        <f t="shared" si="170"/>
        <v>134.13240620831178</v>
      </c>
      <c r="CB160" s="20">
        <f t="shared" si="171"/>
        <v>1303.9900241461421</v>
      </c>
      <c r="CC160" s="59">
        <f t="shared" si="119"/>
        <v>1597.3233574794754</v>
      </c>
      <c r="CD160" s="59">
        <f ca="1">AVERAGE(OFFSET($CC$3,0,0,'Données projet'!$E$12+1,1))-AVERAGE(OFFSET($H$3,0,0,'Données projet'!$E$12+1,1))</f>
        <v>304.15237106473313</v>
      </c>
      <c r="CE160" s="59">
        <f t="shared" si="148"/>
        <v>120.85458928724336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255.5374979188561</v>
      </c>
      <c r="T161" s="59">
        <f t="shared" si="142"/>
        <v>343.10418468620901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0.24493707196246711</v>
      </c>
      <c r="AA161" s="21">
        <f>EXP(-LN(2)/25)*AA160+(1-EXP(-LN(2)/25))/(LN(2)/25)*Calculateur!V161*Calculateur!X161*VLOOKUP('Données projet'!$B$9,Paramètres!$A$1:$I$89,3,0)*0.475*44/12</f>
        <v>0.45895104226392386</v>
      </c>
      <c r="AB161" s="21">
        <f>EXP(-LN(2)/2)*AB160+(1-EXP(-LN(2)/2))/(LN(2)/2)*V161*Y161*VLOOKUP('Données projet'!$B$9,Paramètres!$A$1:$I$89,3,0)*0.475*44/12</f>
        <v>9.1758853090310253E-20</v>
      </c>
      <c r="AC161" s="22">
        <f t="shared" si="163"/>
        <v>0.70388811422639097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5.6843418860808015E-13</v>
      </c>
      <c r="AJ161" s="13">
        <f>AI161*VLOOKUP('Données projet'!$B$10,Paramètres!$A$1:$I$89,3,0)*VLOOKUP('Données projet'!$B$10,Paramètres!$A$1:$I$89,5,0)</f>
        <v>3.1036506698001181E-13</v>
      </c>
      <c r="AK161" s="13">
        <f t="shared" si="164"/>
        <v>4.086682523110923E-12</v>
      </c>
      <c r="AL161" s="20">
        <f t="shared" si="165"/>
        <v>7.6581912194083782E-12</v>
      </c>
      <c r="AM161" s="59">
        <f t="shared" si="113"/>
        <v>293.33333333334099</v>
      </c>
      <c r="AN161" s="59">
        <f ca="1">AVERAGE(OFFSET($AM$3,0,0,'Données projet'!$E$10+1,1))-AVERAGE(OFFSET($H$3,0,0,'Données projet'!$E$10+1,1))</f>
        <v>248.1486444660062</v>
      </c>
      <c r="AO161" s="59">
        <f t="shared" si="144"/>
        <v>293.34458072322127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0.67517852805086298</v>
      </c>
      <c r="AV161" s="21">
        <f>EXP(-LN(2)/25)*AV160+(1-EXP(-LN(2)/25))/(LN(2)/25)*Calculateur!AQ161*Calculateur!AS161*VLOOKUP('Données projet'!$B$10,Paramètres!$A$1:$I$89,3,0)*0.475*44/12</f>
        <v>0.97878461738215061</v>
      </c>
      <c r="AW161" s="21">
        <f>EXP(-LN(2)/2)*AW160+(1-EXP(-LN(2)/2))/(LN(2)/2)*AQ161*AT161*VLOOKUP('Données projet'!$B$10,Paramètres!$A$1:$I$89,3,0)*0.475*44/12</f>
        <v>1.3651420551096846E-18</v>
      </c>
      <c r="AX161" s="21">
        <f t="shared" si="166"/>
        <v>1.6539631454330137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210.04871822652808</v>
      </c>
      <c r="BJ161" s="59">
        <f t="shared" si="146"/>
        <v>250.17540614049324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0.57872445261502536</v>
      </c>
      <c r="BQ161" s="21">
        <f>EXP(-LN(2)/25)*BQ160+(1-EXP(-LN(2)/25))/(LN(2)/25)*Calculateur!BL161*Calculateur!BN161*VLOOKUP('Données projet'!$B$11,Paramètres!$A$1:$I$89,3,0)*0.475*44/12</f>
        <v>0.80029621713186294</v>
      </c>
      <c r="BR161" s="21">
        <f>EXP(-LN(2)/2)*BR160+(1-EXP(-LN(2)/2))/(LN(2)/2)*BL161*BO161*VLOOKUP('Données projet'!$B$11,Paramètres!$A$1:$I$89,3,0)*0.475*44/12</f>
        <v>1.1684386497273781E-18</v>
      </c>
      <c r="BS161" s="22">
        <f t="shared" si="169"/>
        <v>1.3790206697468883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1277.6923076923067</v>
      </c>
      <c r="BZ161" s="13">
        <f>BY161*VLOOKUP('Données projet'!$B$12,Paramètres!$A$1:$I$89,3,0)*VLOOKUP('Données projet'!$B$12,Paramètres!$A$1:$I$89,5,0)</f>
        <v>614.5699999999996</v>
      </c>
      <c r="CA161" s="13">
        <f t="shared" si="170"/>
        <v>134.13240620831178</v>
      </c>
      <c r="CB161" s="20">
        <f t="shared" si="171"/>
        <v>1303.9900241461421</v>
      </c>
      <c r="CC161" s="59">
        <f t="shared" si="119"/>
        <v>1597.3233574794754</v>
      </c>
      <c r="CD161" s="59">
        <f ca="1">AVERAGE(OFFSET($CC$3,0,0,'Données projet'!$E$12+1,1))-AVERAGE(OFFSET($H$3,0,0,'Données projet'!$E$12+1,1))</f>
        <v>304.15237106473313</v>
      </c>
      <c r="CE161" s="59">
        <f t="shared" si="148"/>
        <v>120.85458928724336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255.5374979188561</v>
      </c>
      <c r="T162" s="59">
        <f t="shared" si="142"/>
        <v>343.10418468620901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0.2401340053781453</v>
      </c>
      <c r="AA162" s="21">
        <f>EXP(-LN(2)/25)*AA161+(1-EXP(-LN(2)/25))/(LN(2)/25)*Calculateur!V162*Calculateur!X162*VLOOKUP('Données projet'!$B$9,Paramètres!$A$1:$I$89,3,0)*0.475*44/12</f>
        <v>0.4464010018780305</v>
      </c>
      <c r="AB162" s="21">
        <f>EXP(-LN(2)/2)*AB161+(1-EXP(-LN(2)/2))/(LN(2)/2)*V162*Y162*VLOOKUP('Données projet'!$B$9,Paramètres!$A$1:$I$89,3,0)*0.475*44/12</f>
        <v>6.4883307254058571E-20</v>
      </c>
      <c r="AC162" s="22">
        <f t="shared" si="163"/>
        <v>0.68653500725617578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5.6843418860808015E-13</v>
      </c>
      <c r="AJ162" s="13">
        <f>AI162*VLOOKUP('Données projet'!$B$10,Paramètres!$A$1:$I$89,3,0)*VLOOKUP('Données projet'!$B$10,Paramètres!$A$1:$I$89,5,0)</f>
        <v>3.1036506698001181E-13</v>
      </c>
      <c r="AK162" s="13">
        <f t="shared" si="164"/>
        <v>4.086682523110923E-12</v>
      </c>
      <c r="AL162" s="20">
        <f t="shared" si="165"/>
        <v>7.6581912194083782E-12</v>
      </c>
      <c r="AM162" s="59">
        <f t="shared" si="113"/>
        <v>293.33333333334099</v>
      </c>
      <c r="AN162" s="59">
        <f ca="1">AVERAGE(OFFSET($AM$3,0,0,'Données projet'!$E$10+1,1))-AVERAGE(OFFSET($H$3,0,0,'Données projet'!$E$10+1,1))</f>
        <v>248.1486444660062</v>
      </c>
      <c r="AO162" s="59">
        <f t="shared" si="144"/>
        <v>293.34458072322127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0.66193868893402397</v>
      </c>
      <c r="AV162" s="21">
        <f>EXP(-LN(2)/25)*AV161+(1-EXP(-LN(2)/25))/(LN(2)/25)*Calculateur!AQ162*Calculateur!AS162*VLOOKUP('Données projet'!$B$10,Paramètres!$A$1:$I$89,3,0)*0.475*44/12</f>
        <v>0.95201970054778973</v>
      </c>
      <c r="AW162" s="21">
        <f>EXP(-LN(2)/2)*AW161+(1-EXP(-LN(2)/2))/(LN(2)/2)*AQ162*AT162*VLOOKUP('Données projet'!$B$10,Paramètres!$A$1:$I$89,3,0)*0.475*44/12</f>
        <v>9.6530120445099756E-19</v>
      </c>
      <c r="AX162" s="21">
        <f t="shared" si="166"/>
        <v>1.6139583894818137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210.04871822652808</v>
      </c>
      <c r="BJ162" s="59">
        <f t="shared" si="146"/>
        <v>250.17540614049324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0.56737601908630619</v>
      </c>
      <c r="BQ162" s="21">
        <f>EXP(-LN(2)/25)*BQ161+(1-EXP(-LN(2)/25))/(LN(2)/25)*Calculateur!BL162*Calculateur!BN162*VLOOKUP('Données projet'!$B$11,Paramètres!$A$1:$I$89,3,0)*0.475*44/12</f>
        <v>0.77841207498864318</v>
      </c>
      <c r="BR162" s="21">
        <f>EXP(-LN(2)/2)*BR161+(1-EXP(-LN(2)/2))/(LN(2)/2)*BL162*BO162*VLOOKUP('Données projet'!$B$11,Paramètres!$A$1:$I$89,3,0)*0.475*44/12</f>
        <v>8.2621089262268218E-19</v>
      </c>
      <c r="BS162" s="22">
        <f t="shared" si="169"/>
        <v>1.3457880940749494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1277.6923076923067</v>
      </c>
      <c r="BZ162" s="13">
        <f>BY162*VLOOKUP('Données projet'!$B$12,Paramètres!$A$1:$I$89,3,0)*VLOOKUP('Données projet'!$B$12,Paramètres!$A$1:$I$89,5,0)</f>
        <v>614.5699999999996</v>
      </c>
      <c r="CA162" s="13">
        <f t="shared" si="170"/>
        <v>134.13240620831178</v>
      </c>
      <c r="CB162" s="20">
        <f t="shared" si="171"/>
        <v>1303.9900241461421</v>
      </c>
      <c r="CC162" s="59">
        <f t="shared" si="119"/>
        <v>1597.3233574794754</v>
      </c>
      <c r="CD162" s="59">
        <f ca="1">AVERAGE(OFFSET($CC$3,0,0,'Données projet'!$E$12+1,1))-AVERAGE(OFFSET($H$3,0,0,'Données projet'!$E$12+1,1))</f>
        <v>304.15237106473313</v>
      </c>
      <c r="CE162" s="59">
        <f t="shared" si="148"/>
        <v>120.85458928724336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255.5374979188561</v>
      </c>
      <c r="T163" s="59">
        <f t="shared" si="142"/>
        <v>343.10418468620901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0.23542512399996071</v>
      </c>
      <c r="AA163" s="21">
        <f>EXP(-LN(2)/25)*AA162+(1-EXP(-LN(2)/25))/(LN(2)/25)*Calculateur!V163*Calculateur!X163*VLOOKUP('Données projet'!$B$9,Paramètres!$A$1:$I$89,3,0)*0.475*44/12</f>
        <v>0.43419414300646736</v>
      </c>
      <c r="AB163" s="21">
        <f>EXP(-LN(2)/2)*AB162+(1-EXP(-LN(2)/2))/(LN(2)/2)*V163*Y163*VLOOKUP('Données projet'!$B$9,Paramètres!$A$1:$I$89,3,0)*0.475*44/12</f>
        <v>4.5879426545155127E-20</v>
      </c>
      <c r="AC163" s="22">
        <f t="shared" si="163"/>
        <v>0.66961926700642804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5.6843418860808015E-13</v>
      </c>
      <c r="AJ163" s="13">
        <f>AI163*VLOOKUP('Données projet'!$B$10,Paramètres!$A$1:$I$89,3,0)*VLOOKUP('Données projet'!$B$10,Paramètres!$A$1:$I$89,5,0)</f>
        <v>3.1036506698001181E-13</v>
      </c>
      <c r="AK163" s="13">
        <f t="shared" si="164"/>
        <v>4.086682523110923E-12</v>
      </c>
      <c r="AL163" s="20">
        <f t="shared" si="165"/>
        <v>7.6581912194083782E-12</v>
      </c>
      <c r="AM163" s="59">
        <f t="shared" si="113"/>
        <v>293.33333333334099</v>
      </c>
      <c r="AN163" s="59">
        <f ca="1">AVERAGE(OFFSET($AM$3,0,0,'Données projet'!$E$10+1,1))-AVERAGE(OFFSET($H$3,0,0,'Données projet'!$E$10+1,1))</f>
        <v>248.1486444660062</v>
      </c>
      <c r="AO163" s="59">
        <f t="shared" si="144"/>
        <v>293.34458072322127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0.64895847498676174</v>
      </c>
      <c r="AV163" s="21">
        <f>EXP(-LN(2)/25)*AV162+(1-EXP(-LN(2)/25))/(LN(2)/25)*Calculateur!AQ163*Calculateur!AS163*VLOOKUP('Données projet'!$B$10,Paramètres!$A$1:$I$89,3,0)*0.475*44/12</f>
        <v>0.92598667177177019</v>
      </c>
      <c r="AW163" s="21">
        <f>EXP(-LN(2)/2)*AW162+(1-EXP(-LN(2)/2))/(LN(2)/2)*AQ163*AT163*VLOOKUP('Données projet'!$B$10,Paramètres!$A$1:$I$89,3,0)*0.475*44/12</f>
        <v>6.8257102755484231E-19</v>
      </c>
      <c r="AX163" s="21">
        <f t="shared" si="166"/>
        <v>1.574945146758532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210.04871822652808</v>
      </c>
      <c r="BJ163" s="59">
        <f t="shared" si="146"/>
        <v>250.17540614049324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0.5562501214172243</v>
      </c>
      <c r="BQ163" s="21">
        <f>EXP(-LN(2)/25)*BQ162+(1-EXP(-LN(2)/25))/(LN(2)/25)*Calculateur!BL163*Calculateur!BN163*VLOOKUP('Données projet'!$B$11,Paramètres!$A$1:$I$89,3,0)*0.475*44/12</f>
        <v>0.75712635586316679</v>
      </c>
      <c r="BR163" s="21">
        <f>EXP(-LN(2)/2)*BR162+(1-EXP(-LN(2)/2))/(LN(2)/2)*BL163*BO163*VLOOKUP('Données projet'!$B$11,Paramètres!$A$1:$I$89,3,0)*0.475*44/12</f>
        <v>5.8421932486368904E-19</v>
      </c>
      <c r="BS163" s="22">
        <f t="shared" si="169"/>
        <v>1.3133764772803911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1277.6923076923067</v>
      </c>
      <c r="BZ163" s="13">
        <f>BY163*VLOOKUP('Données projet'!$B$12,Paramètres!$A$1:$I$89,3,0)*VLOOKUP('Données projet'!$B$12,Paramètres!$A$1:$I$89,5,0)</f>
        <v>614.5699999999996</v>
      </c>
      <c r="CA163" s="13">
        <f t="shared" si="170"/>
        <v>134.13240620831178</v>
      </c>
      <c r="CB163" s="20">
        <f t="shared" si="171"/>
        <v>1303.9900241461421</v>
      </c>
      <c r="CC163" s="59">
        <f t="shared" si="119"/>
        <v>1597.3233574794754</v>
      </c>
      <c r="CD163" s="59">
        <f ca="1">AVERAGE(OFFSET($CC$3,0,0,'Données projet'!$E$12+1,1))-AVERAGE(OFFSET($H$3,0,0,'Données projet'!$E$12+1,1))</f>
        <v>304.15237106473313</v>
      </c>
      <c r="CE163" s="59">
        <f t="shared" si="148"/>
        <v>120.85458928724336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255.5374979188561</v>
      </c>
      <c r="T164" s="59">
        <f t="shared" si="142"/>
        <v>343.10418468620901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0.23080858091346829</v>
      </c>
      <c r="AA164" s="21">
        <f>EXP(-LN(2)/25)*AA163+(1-EXP(-LN(2)/25))/(LN(2)/25)*Calculateur!V164*Calculateur!X164*VLOOKUP('Données projet'!$B$9,Paramètres!$A$1:$I$89,3,0)*0.475*44/12</f>
        <v>0.42232108133267787</v>
      </c>
      <c r="AB164" s="21">
        <f>EXP(-LN(2)/2)*AB163+(1-EXP(-LN(2)/2))/(LN(2)/2)*V164*Y164*VLOOKUP('Données projet'!$B$9,Paramètres!$A$1:$I$89,3,0)*0.475*44/12</f>
        <v>3.2441653627029286E-20</v>
      </c>
      <c r="AC164" s="22">
        <f t="shared" si="163"/>
        <v>0.65312966224614621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5.6843418860808015E-13</v>
      </c>
      <c r="AJ164" s="13">
        <f>AI164*VLOOKUP('Données projet'!$B$10,Paramètres!$A$1:$I$89,3,0)*VLOOKUP('Données projet'!$B$10,Paramètres!$A$1:$I$89,5,0)</f>
        <v>3.1036506698001181E-13</v>
      </c>
      <c r="AK164" s="13">
        <f t="shared" si="164"/>
        <v>4.086682523110923E-12</v>
      </c>
      <c r="AL164" s="20">
        <f t="shared" si="165"/>
        <v>7.6581912194083782E-12</v>
      </c>
      <c r="AM164" s="59">
        <f t="shared" si="113"/>
        <v>293.33333333334099</v>
      </c>
      <c r="AN164" s="59">
        <f ca="1">AVERAGE(OFFSET($AM$3,0,0,'Données projet'!$E$10+1,1))-AVERAGE(OFFSET($H$3,0,0,'Données projet'!$E$10+1,1))</f>
        <v>248.1486444660062</v>
      </c>
      <c r="AO164" s="59">
        <f t="shared" si="144"/>
        <v>293.34458072322127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0.63623279511785658</v>
      </c>
      <c r="AV164" s="21">
        <f>EXP(-LN(2)/25)*AV163+(1-EXP(-LN(2)/25))/(LN(2)/25)*Calculateur!AQ164*Calculateur!AS164*VLOOKUP('Données projet'!$B$10,Paramètres!$A$1:$I$89,3,0)*0.475*44/12</f>
        <v>0.90066551753664847</v>
      </c>
      <c r="AW164" s="21">
        <f>EXP(-LN(2)/2)*AW163+(1-EXP(-LN(2)/2))/(LN(2)/2)*AQ164*AT164*VLOOKUP('Données projet'!$B$10,Paramètres!$A$1:$I$89,3,0)*0.475*44/12</f>
        <v>4.8265060222549878E-19</v>
      </c>
      <c r="AX164" s="21">
        <f t="shared" si="166"/>
        <v>1.536898312654505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210.04871822652808</v>
      </c>
      <c r="BJ164" s="59">
        <f t="shared" si="146"/>
        <v>250.17540614049324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0.54534239581530553</v>
      </c>
      <c r="BQ164" s="21">
        <f>EXP(-LN(2)/25)*BQ163+(1-EXP(-LN(2)/25))/(LN(2)/25)*Calculateur!BL164*Calculateur!BN164*VLOOKUP('Données projet'!$B$11,Paramètres!$A$1:$I$89,3,0)*0.475*44/12</f>
        <v>0.73642269584654385</v>
      </c>
      <c r="BR164" s="21">
        <f>EXP(-LN(2)/2)*BR163+(1-EXP(-LN(2)/2))/(LN(2)/2)*BL164*BO164*VLOOKUP('Données projet'!$B$11,Paramètres!$A$1:$I$89,3,0)*0.475*44/12</f>
        <v>4.1310544631134109E-19</v>
      </c>
      <c r="BS164" s="22">
        <f t="shared" si="169"/>
        <v>1.2817650916618493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1277.6923076923067</v>
      </c>
      <c r="BZ164" s="13">
        <f>BY164*VLOOKUP('Données projet'!$B$12,Paramètres!$A$1:$I$89,3,0)*VLOOKUP('Données projet'!$B$12,Paramètres!$A$1:$I$89,5,0)</f>
        <v>614.5699999999996</v>
      </c>
      <c r="CA164" s="13">
        <f t="shared" si="170"/>
        <v>134.13240620831178</v>
      </c>
      <c r="CB164" s="20">
        <f t="shared" si="171"/>
        <v>1303.9900241461421</v>
      </c>
      <c r="CC164" s="59">
        <f t="shared" si="119"/>
        <v>1597.3233574794754</v>
      </c>
      <c r="CD164" s="59">
        <f ca="1">AVERAGE(OFFSET($CC$3,0,0,'Données projet'!$E$12+1,1))-AVERAGE(OFFSET($H$3,0,0,'Données projet'!$E$12+1,1))</f>
        <v>304.15237106473313</v>
      </c>
      <c r="CE164" s="59">
        <f t="shared" si="148"/>
        <v>120.85458928724336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255.5374979188561</v>
      </c>
      <c r="T165" s="59">
        <f t="shared" si="142"/>
        <v>343.10418468620901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0.22628256542108874</v>
      </c>
      <c r="AA165" s="21">
        <f>EXP(-LN(2)/25)*AA164+(1-EXP(-LN(2)/25))/(LN(2)/25)*Calculateur!V165*Calculateur!X165*VLOOKUP('Données projet'!$B$9,Paramètres!$A$1:$I$89,3,0)*0.475*44/12</f>
        <v>0.41077268915473536</v>
      </c>
      <c r="AB165" s="21">
        <f>EXP(-LN(2)/2)*AB164+(1-EXP(-LN(2)/2))/(LN(2)/2)*V165*Y165*VLOOKUP('Données projet'!$B$9,Paramètres!$A$1:$I$89,3,0)*0.475*44/12</f>
        <v>2.2939713272577563E-20</v>
      </c>
      <c r="AC165" s="22">
        <f t="shared" si="163"/>
        <v>0.63705525457582413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5.6843418860808015E-13</v>
      </c>
      <c r="AJ165" s="13">
        <f>AI165*VLOOKUP('Données projet'!$B$10,Paramètres!$A$1:$I$89,3,0)*VLOOKUP('Données projet'!$B$10,Paramètres!$A$1:$I$89,5,0)</f>
        <v>3.1036506698001181E-13</v>
      </c>
      <c r="AK165" s="13">
        <f t="shared" si="164"/>
        <v>4.086682523110923E-12</v>
      </c>
      <c r="AL165" s="20">
        <f t="shared" si="165"/>
        <v>7.6581912194083782E-12</v>
      </c>
      <c r="AM165" s="59">
        <f t="shared" si="113"/>
        <v>293.33333333334099</v>
      </c>
      <c r="AN165" s="59">
        <f ca="1">AVERAGE(OFFSET($AM$3,0,0,'Données projet'!$E$10+1,1))-AVERAGE(OFFSET($H$3,0,0,'Données projet'!$E$10+1,1))</f>
        <v>248.1486444660062</v>
      </c>
      <c r="AO165" s="59">
        <f t="shared" si="144"/>
        <v>293.34458072322127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0.62375665806928238</v>
      </c>
      <c r="AV165" s="21">
        <f>EXP(-LN(2)/25)*AV164+(1-EXP(-LN(2)/25))/(LN(2)/25)*Calculateur!AQ165*Calculateur!AS165*VLOOKUP('Données projet'!$B$10,Paramètres!$A$1:$I$89,3,0)*0.475*44/12</f>
        <v>0.87603677159566773</v>
      </c>
      <c r="AW165" s="21">
        <f>EXP(-LN(2)/2)*AW164+(1-EXP(-LN(2)/2))/(LN(2)/2)*AQ165*AT165*VLOOKUP('Données projet'!$B$10,Paramètres!$A$1:$I$89,3,0)*0.475*44/12</f>
        <v>3.4128551377742116E-19</v>
      </c>
      <c r="AX165" s="21">
        <f t="shared" si="166"/>
        <v>1.4997934296649502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210.04871822652808</v>
      </c>
      <c r="BJ165" s="59">
        <f t="shared" si="146"/>
        <v>250.17540614049324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0.53464856405938477</v>
      </c>
      <c r="BQ165" s="21">
        <f>EXP(-LN(2)/25)*BQ164+(1-EXP(-LN(2)/25))/(LN(2)/25)*Calculateur!BL165*Calculateur!BN165*VLOOKUP('Données projet'!$B$11,Paramètres!$A$1:$I$89,3,0)*0.475*44/12</f>
        <v>0.7162851785018336</v>
      </c>
      <c r="BR165" s="21">
        <f>EXP(-LN(2)/2)*BR164+(1-EXP(-LN(2)/2))/(LN(2)/2)*BL165*BO165*VLOOKUP('Données projet'!$B$11,Paramètres!$A$1:$I$89,3,0)*0.475*44/12</f>
        <v>2.9210966243184452E-19</v>
      </c>
      <c r="BS165" s="22">
        <f t="shared" si="169"/>
        <v>1.2509337425612184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1277.6923076923067</v>
      </c>
      <c r="BZ165" s="13">
        <f>BY165*VLOOKUP('Données projet'!$B$12,Paramètres!$A$1:$I$89,3,0)*VLOOKUP('Données projet'!$B$12,Paramètres!$A$1:$I$89,5,0)</f>
        <v>614.5699999999996</v>
      </c>
      <c r="CA165" s="13">
        <f t="shared" si="170"/>
        <v>134.13240620831178</v>
      </c>
      <c r="CB165" s="20">
        <f t="shared" si="171"/>
        <v>1303.9900241461421</v>
      </c>
      <c r="CC165" s="59">
        <f t="shared" si="119"/>
        <v>1597.3233574794754</v>
      </c>
      <c r="CD165" s="59">
        <f ca="1">AVERAGE(OFFSET($CC$3,0,0,'Données projet'!$E$12+1,1))-AVERAGE(OFFSET($H$3,0,0,'Données projet'!$E$12+1,1))</f>
        <v>304.15237106473313</v>
      </c>
      <c r="CE165" s="59">
        <f t="shared" si="148"/>
        <v>120.85458928724336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255.5374979188561</v>
      </c>
      <c r="T166" s="59">
        <f t="shared" si="142"/>
        <v>343.10418468620901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0.22184530233191788</v>
      </c>
      <c r="AA166" s="21">
        <f>EXP(-LN(2)/25)*AA165+(1-EXP(-LN(2)/25))/(LN(2)/25)*Calculateur!V166*Calculateur!X166*VLOOKUP('Données projet'!$B$9,Paramètres!$A$1:$I$89,3,0)*0.475*44/12</f>
        <v>0.39954008836820221</v>
      </c>
      <c r="AB166" s="21">
        <f>EXP(-LN(2)/2)*AB165+(1-EXP(-LN(2)/2))/(LN(2)/2)*V166*Y166*VLOOKUP('Données projet'!$B$9,Paramètres!$A$1:$I$89,3,0)*0.475*44/12</f>
        <v>1.6220826813514643E-20</v>
      </c>
      <c r="AC166" s="22">
        <f t="shared" si="163"/>
        <v>0.62138539070012011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5.6843418860808015E-13</v>
      </c>
      <c r="AJ166" s="13">
        <f>AI166*VLOOKUP('Données projet'!$B$10,Paramètres!$A$1:$I$89,3,0)*VLOOKUP('Données projet'!$B$10,Paramètres!$A$1:$I$89,5,0)</f>
        <v>3.1036506698001181E-13</v>
      </c>
      <c r="AK166" s="13">
        <f t="shared" si="164"/>
        <v>4.086682523110923E-12</v>
      </c>
      <c r="AL166" s="20">
        <f t="shared" si="165"/>
        <v>7.6581912194083782E-12</v>
      </c>
      <c r="AM166" s="59">
        <f t="shared" si="113"/>
        <v>293.33333333334099</v>
      </c>
      <c r="AN166" s="59">
        <f ca="1">AVERAGE(OFFSET($AM$3,0,0,'Données projet'!$E$10+1,1))-AVERAGE(OFFSET($H$3,0,0,'Données projet'!$E$10+1,1))</f>
        <v>248.1486444660062</v>
      </c>
      <c r="AO166" s="59">
        <f t="shared" si="144"/>
        <v>293.34458072322127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0.61152517045853849</v>
      </c>
      <c r="AV166" s="21">
        <f>EXP(-LN(2)/25)*AV165+(1-EXP(-LN(2)/25))/(LN(2)/25)*Calculateur!AQ166*Calculateur!AS166*VLOOKUP('Données projet'!$B$10,Paramètres!$A$1:$I$89,3,0)*0.475*44/12</f>
        <v>0.85208150000761262</v>
      </c>
      <c r="AW166" s="21">
        <f>EXP(-LN(2)/2)*AW165+(1-EXP(-LN(2)/2))/(LN(2)/2)*AQ166*AT166*VLOOKUP('Données projet'!$B$10,Paramètres!$A$1:$I$89,3,0)*0.475*44/12</f>
        <v>2.4132530111274939E-19</v>
      </c>
      <c r="AX166" s="21">
        <f t="shared" si="166"/>
        <v>1.463606670466151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210.04871822652808</v>
      </c>
      <c r="BJ166" s="59">
        <f t="shared" si="146"/>
        <v>250.17540614049324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0.52416443182160422</v>
      </c>
      <c r="BQ166" s="21">
        <f>EXP(-LN(2)/25)*BQ165+(1-EXP(-LN(2)/25))/(LN(2)/25)*Calculateur!BL166*Calculateur!BN166*VLOOKUP('Données projet'!$B$11,Paramètres!$A$1:$I$89,3,0)*0.475*44/12</f>
        <v>0.69669832262790055</v>
      </c>
      <c r="BR166" s="21">
        <f>EXP(-LN(2)/2)*BR165+(1-EXP(-LN(2)/2))/(LN(2)/2)*BL166*BO166*VLOOKUP('Données projet'!$B$11,Paramètres!$A$1:$I$89,3,0)*0.475*44/12</f>
        <v>2.0655272315567055E-19</v>
      </c>
      <c r="BS166" s="22">
        <f t="shared" si="169"/>
        <v>1.2208627544495048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1277.6923076923067</v>
      </c>
      <c r="BZ166" s="13">
        <f>BY166*VLOOKUP('Données projet'!$B$12,Paramètres!$A$1:$I$89,3,0)*VLOOKUP('Données projet'!$B$12,Paramètres!$A$1:$I$89,5,0)</f>
        <v>614.5699999999996</v>
      </c>
      <c r="CA166" s="13">
        <f t="shared" si="170"/>
        <v>134.13240620831178</v>
      </c>
      <c r="CB166" s="20">
        <f t="shared" si="171"/>
        <v>1303.9900241461421</v>
      </c>
      <c r="CC166" s="59">
        <f t="shared" si="119"/>
        <v>1597.3233574794754</v>
      </c>
      <c r="CD166" s="59">
        <f ca="1">AVERAGE(OFFSET($CC$3,0,0,'Données projet'!$E$12+1,1))-AVERAGE(OFFSET($H$3,0,0,'Données projet'!$E$12+1,1))</f>
        <v>304.15237106473313</v>
      </c>
      <c r="CE166" s="59">
        <f t="shared" si="148"/>
        <v>120.85458928724336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255.5374979188561</v>
      </c>
      <c r="T167" s="59">
        <f t="shared" si="142"/>
        <v>343.10418468620901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0.21749505126546242</v>
      </c>
      <c r="AA167" s="21">
        <f>EXP(-LN(2)/25)*AA166+(1-EXP(-LN(2)/25))/(LN(2)/25)*Calculateur!V167*Calculateur!X167*VLOOKUP('Données projet'!$B$9,Paramètres!$A$1:$I$89,3,0)*0.475*44/12</f>
        <v>0.38861464364087361</v>
      </c>
      <c r="AB167" s="21">
        <f>EXP(-LN(2)/2)*AB166+(1-EXP(-LN(2)/2))/(LN(2)/2)*V167*Y167*VLOOKUP('Données projet'!$B$9,Paramètres!$A$1:$I$89,3,0)*0.475*44/12</f>
        <v>1.1469856636288782E-20</v>
      </c>
      <c r="AC167" s="22">
        <f t="shared" si="163"/>
        <v>0.60610969490633604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5.6843418860808015E-13</v>
      </c>
      <c r="AJ167" s="13">
        <f>AI167*VLOOKUP('Données projet'!$B$10,Paramètres!$A$1:$I$89,3,0)*VLOOKUP('Données projet'!$B$10,Paramètres!$A$1:$I$89,5,0)</f>
        <v>3.1036506698001181E-13</v>
      </c>
      <c r="AK167" s="13">
        <f t="shared" si="164"/>
        <v>4.086682523110923E-12</v>
      </c>
      <c r="AL167" s="20">
        <f t="shared" si="165"/>
        <v>7.6581912194083782E-12</v>
      </c>
      <c r="AM167" s="59">
        <f t="shared" si="113"/>
        <v>293.33333333334099</v>
      </c>
      <c r="AN167" s="59">
        <f ca="1">AVERAGE(OFFSET($AM$3,0,0,'Données projet'!$E$10+1,1))-AVERAGE(OFFSET($H$3,0,0,'Données projet'!$E$10+1,1))</f>
        <v>248.1486444660062</v>
      </c>
      <c r="AO167" s="59">
        <f t="shared" si="144"/>
        <v>293.34458072322127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0.59953353485937044</v>
      </c>
      <c r="AV167" s="21">
        <f>EXP(-LN(2)/25)*AV166+(1-EXP(-LN(2)/25))/(LN(2)/25)*Calculateur!AQ167*Calculateur!AS167*VLOOKUP('Données projet'!$B$10,Paramètres!$A$1:$I$89,3,0)*0.475*44/12</f>
        <v>0.82878128658088579</v>
      </c>
      <c r="AW167" s="21">
        <f>EXP(-LN(2)/2)*AW166+(1-EXP(-LN(2)/2))/(LN(2)/2)*AQ167*AT167*VLOOKUP('Données projet'!$B$10,Paramètres!$A$1:$I$89,3,0)*0.475*44/12</f>
        <v>1.7064275688871058E-19</v>
      </c>
      <c r="AX167" s="21">
        <f t="shared" si="166"/>
        <v>1.4283148214402561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210.04871822652808</v>
      </c>
      <c r="BJ167" s="59">
        <f t="shared" si="146"/>
        <v>250.17540614049324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0.5138858870223173</v>
      </c>
      <c r="BQ167" s="21">
        <f>EXP(-LN(2)/25)*BQ166+(1-EXP(-LN(2)/25))/(LN(2)/25)*Calculateur!BL167*Calculateur!BN167*VLOOKUP('Données projet'!$B$11,Paramètres!$A$1:$I$89,3,0)*0.475*44/12</f>
        <v>0.6776470703578682</v>
      </c>
      <c r="BR167" s="21">
        <f>EXP(-LN(2)/2)*BR166+(1-EXP(-LN(2)/2))/(LN(2)/2)*BL167*BO167*VLOOKUP('Données projet'!$B$11,Paramètres!$A$1:$I$89,3,0)*0.475*44/12</f>
        <v>1.4605483121592226E-19</v>
      </c>
      <c r="BS167" s="22">
        <f t="shared" si="169"/>
        <v>1.1915329573801854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1277.6923076923067</v>
      </c>
      <c r="BZ167" s="13">
        <f>BY167*VLOOKUP('Données projet'!$B$12,Paramètres!$A$1:$I$89,3,0)*VLOOKUP('Données projet'!$B$12,Paramètres!$A$1:$I$89,5,0)</f>
        <v>614.5699999999996</v>
      </c>
      <c r="CA167" s="13">
        <f t="shared" si="170"/>
        <v>134.13240620831178</v>
      </c>
      <c r="CB167" s="20">
        <f t="shared" si="171"/>
        <v>1303.9900241461421</v>
      </c>
      <c r="CC167" s="59">
        <f t="shared" si="119"/>
        <v>1597.3233574794754</v>
      </c>
      <c r="CD167" s="59">
        <f ca="1">AVERAGE(OFFSET($CC$3,0,0,'Données projet'!$E$12+1,1))-AVERAGE(OFFSET($H$3,0,0,'Données projet'!$E$12+1,1))</f>
        <v>304.15237106473313</v>
      </c>
      <c r="CE167" s="59">
        <f t="shared" si="148"/>
        <v>120.85458928724336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255.5374979188561</v>
      </c>
      <c r="T168" s="59">
        <f t="shared" si="142"/>
        <v>343.10418468620901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0.213230105969029</v>
      </c>
      <c r="AA168" s="21">
        <f>EXP(-LN(2)/25)*AA167+(1-EXP(-LN(2)/25))/(LN(2)/25)*Calculateur!V168*Calculateur!X168*VLOOKUP('Données projet'!$B$9,Paramètres!$A$1:$I$89,3,0)*0.475*44/12</f>
        <v>0.377987955774158</v>
      </c>
      <c r="AB168" s="21">
        <f>EXP(-LN(2)/2)*AB167+(1-EXP(-LN(2)/2))/(LN(2)/2)*V168*Y168*VLOOKUP('Données projet'!$B$9,Paramètres!$A$1:$I$89,3,0)*0.475*44/12</f>
        <v>8.1104134067573214E-21</v>
      </c>
      <c r="AC168" s="22">
        <f t="shared" si="163"/>
        <v>0.59121806174318703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5.6843418860808015E-13</v>
      </c>
      <c r="AJ168" s="13">
        <f>AI168*VLOOKUP('Données projet'!$B$10,Paramètres!$A$1:$I$89,3,0)*VLOOKUP('Données projet'!$B$10,Paramètres!$A$1:$I$89,5,0)</f>
        <v>3.1036506698001181E-13</v>
      </c>
      <c r="AK168" s="13">
        <f t="shared" si="164"/>
        <v>4.086682523110923E-12</v>
      </c>
      <c r="AL168" s="20">
        <f t="shared" si="165"/>
        <v>7.6581912194083782E-12</v>
      </c>
      <c r="AM168" s="59">
        <f t="shared" si="113"/>
        <v>293.33333333334099</v>
      </c>
      <c r="AN168" s="59">
        <f ca="1">AVERAGE(OFFSET($AM$3,0,0,'Données projet'!$E$10+1,1))-AVERAGE(OFFSET($H$3,0,0,'Données projet'!$E$10+1,1))</f>
        <v>248.1486444660062</v>
      </c>
      <c r="AO168" s="59">
        <f t="shared" si="144"/>
        <v>293.34458072322127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0.58777704792012664</v>
      </c>
      <c r="AV168" s="21">
        <f>EXP(-LN(2)/25)*AV167+(1-EXP(-LN(2)/25))/(LN(2)/25)*Calculateur!AQ168*Calculateur!AS168*VLOOKUP('Données projet'!$B$10,Paramètres!$A$1:$I$89,3,0)*0.475*44/12</f>
        <v>0.80611821871561784</v>
      </c>
      <c r="AW168" s="21">
        <f>EXP(-LN(2)/2)*AW167+(1-EXP(-LN(2)/2))/(LN(2)/2)*AQ168*AT168*VLOOKUP('Données projet'!$B$10,Paramètres!$A$1:$I$89,3,0)*0.475*44/12</f>
        <v>1.206626505563747E-19</v>
      </c>
      <c r="AX168" s="21">
        <f t="shared" si="166"/>
        <v>1.3938952666357445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210.04871822652808</v>
      </c>
      <c r="BJ168" s="59">
        <f t="shared" si="146"/>
        <v>250.17540614049324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0.50380889821725117</v>
      </c>
      <c r="BQ168" s="21">
        <f>EXP(-LN(2)/25)*BQ167+(1-EXP(-LN(2)/25))/(LN(2)/25)*Calculateur!BL168*Calculateur!BN168*VLOOKUP('Données projet'!$B$11,Paramètres!$A$1:$I$89,3,0)*0.475*44/12</f>
        <v>0.65911677558302162</v>
      </c>
      <c r="BR168" s="21">
        <f>EXP(-LN(2)/2)*BR167+(1-EXP(-LN(2)/2))/(LN(2)/2)*BL168*BO168*VLOOKUP('Données projet'!$B$11,Paramètres!$A$1:$I$89,3,0)*0.475*44/12</f>
        <v>1.0327636157783527E-19</v>
      </c>
      <c r="BS168" s="22">
        <f t="shared" si="169"/>
        <v>1.1629256738002729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1277.6923076923067</v>
      </c>
      <c r="BZ168" s="13">
        <f>BY168*VLOOKUP('Données projet'!$B$12,Paramètres!$A$1:$I$89,3,0)*VLOOKUP('Données projet'!$B$12,Paramètres!$A$1:$I$89,5,0)</f>
        <v>614.5699999999996</v>
      </c>
      <c r="CA168" s="13">
        <f t="shared" si="170"/>
        <v>134.13240620831178</v>
      </c>
      <c r="CB168" s="20">
        <f t="shared" si="171"/>
        <v>1303.9900241461421</v>
      </c>
      <c r="CC168" s="59">
        <f t="shared" si="119"/>
        <v>1597.3233574794754</v>
      </c>
      <c r="CD168" s="59">
        <f ca="1">AVERAGE(OFFSET($CC$3,0,0,'Données projet'!$E$12+1,1))-AVERAGE(OFFSET($H$3,0,0,'Données projet'!$E$12+1,1))</f>
        <v>304.15237106473313</v>
      </c>
      <c r="CE168" s="59">
        <f t="shared" si="148"/>
        <v>120.85458928724336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255.5374979188561</v>
      </c>
      <c r="T169" s="59">
        <f t="shared" si="142"/>
        <v>343.10418468620901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0.20904879364849888</v>
      </c>
      <c r="AA169" s="21">
        <f>EXP(-LN(2)/25)*AA168+(1-EXP(-LN(2)/25))/(LN(2)/25)*Calculateur!V169*Calculateur!X169*VLOOKUP('Données projet'!$B$9,Paramètres!$A$1:$I$89,3,0)*0.475*44/12</f>
        <v>0.36765185524599098</v>
      </c>
      <c r="AB169" s="21">
        <f>EXP(-LN(2)/2)*AB168+(1-EXP(-LN(2)/2))/(LN(2)/2)*V169*Y169*VLOOKUP('Données projet'!$B$9,Paramètres!$A$1:$I$89,3,0)*0.475*44/12</f>
        <v>5.7349283181443908E-21</v>
      </c>
      <c r="AC169" s="22">
        <f t="shared" si="163"/>
        <v>0.57670064889448991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5.6843418860808015E-13</v>
      </c>
      <c r="AJ169" s="13">
        <f>AI169*VLOOKUP('Données projet'!$B$10,Paramètres!$A$1:$I$89,3,0)*VLOOKUP('Données projet'!$B$10,Paramètres!$A$1:$I$89,5,0)</f>
        <v>3.1036506698001181E-13</v>
      </c>
      <c r="AK169" s="13">
        <f t="shared" si="164"/>
        <v>4.086682523110923E-12</v>
      </c>
      <c r="AL169" s="20">
        <f t="shared" si="165"/>
        <v>7.6581912194083782E-12</v>
      </c>
      <c r="AM169" s="59">
        <f t="shared" si="113"/>
        <v>293.33333333334099</v>
      </c>
      <c r="AN169" s="59">
        <f ca="1">AVERAGE(OFFSET($AM$3,0,0,'Données projet'!$E$10+1,1))-AVERAGE(OFFSET($H$3,0,0,'Données projet'!$E$10+1,1))</f>
        <v>248.1486444660062</v>
      </c>
      <c r="AO169" s="59">
        <f t="shared" si="144"/>
        <v>293.34458072322127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0.57625109851901235</v>
      </c>
      <c r="AV169" s="21">
        <f>EXP(-LN(2)/25)*AV168+(1-EXP(-LN(2)/25))/(LN(2)/25)*Calculateur!AQ169*Calculateur!AS169*VLOOKUP('Données projet'!$B$10,Paramètres!$A$1:$I$89,3,0)*0.475*44/12</f>
        <v>0.78407487363292461</v>
      </c>
      <c r="AW169" s="21">
        <f>EXP(-LN(2)/2)*AW168+(1-EXP(-LN(2)/2))/(LN(2)/2)*AQ169*AT169*VLOOKUP('Données projet'!$B$10,Paramètres!$A$1:$I$89,3,0)*0.475*44/12</f>
        <v>8.5321378444355289E-20</v>
      </c>
      <c r="AX169" s="21">
        <f t="shared" si="166"/>
        <v>1.360325972151937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210.04871822652808</v>
      </c>
      <c r="BJ169" s="59">
        <f t="shared" si="146"/>
        <v>250.17540614049324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0.49392951301629612</v>
      </c>
      <c r="BQ169" s="21">
        <f>EXP(-LN(2)/25)*BQ168+(1-EXP(-LN(2)/25))/(LN(2)/25)*Calculateur!BL169*Calculateur!BN169*VLOOKUP('Données projet'!$B$11,Paramètres!$A$1:$I$89,3,0)*0.475*44/12</f>
        <v>0.64109319269325915</v>
      </c>
      <c r="BR169" s="21">
        <f>EXP(-LN(2)/2)*BR168+(1-EXP(-LN(2)/2))/(LN(2)/2)*BL169*BO169*VLOOKUP('Données projet'!$B$11,Paramètres!$A$1:$I$89,3,0)*0.475*44/12</f>
        <v>7.302741560796113E-20</v>
      </c>
      <c r="BS169" s="22">
        <f t="shared" si="169"/>
        <v>1.1350227057095552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1277.6923076923067</v>
      </c>
      <c r="BZ169" s="13">
        <f>BY169*VLOOKUP('Données projet'!$B$12,Paramètres!$A$1:$I$89,3,0)*VLOOKUP('Données projet'!$B$12,Paramètres!$A$1:$I$89,5,0)</f>
        <v>614.5699999999996</v>
      </c>
      <c r="CA169" s="13">
        <f t="shared" si="170"/>
        <v>134.13240620831178</v>
      </c>
      <c r="CB169" s="20">
        <f t="shared" si="171"/>
        <v>1303.9900241461421</v>
      </c>
      <c r="CC169" s="59">
        <f t="shared" si="119"/>
        <v>1597.3233574794754</v>
      </c>
      <c r="CD169" s="59">
        <f ca="1">AVERAGE(OFFSET($CC$3,0,0,'Données projet'!$E$12+1,1))-AVERAGE(OFFSET($H$3,0,0,'Données projet'!$E$12+1,1))</f>
        <v>304.15237106473313</v>
      </c>
      <c r="CE169" s="59">
        <f t="shared" si="148"/>
        <v>120.85458928724336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255.5374979188561</v>
      </c>
      <c r="T170" s="59">
        <f t="shared" si="142"/>
        <v>343.10418468620901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0.20494947431222565</v>
      </c>
      <c r="AA170" s="21">
        <f>EXP(-LN(2)/25)*AA169+(1-EXP(-LN(2)/25))/(LN(2)/25)*Calculateur!V170*Calculateur!X170*VLOOKUP('Données projet'!$B$9,Paramètres!$A$1:$I$89,3,0)*0.475*44/12</f>
        <v>0.35759839593031856</v>
      </c>
      <c r="AB170" s="21">
        <f>EXP(-LN(2)/2)*AB169+(1-EXP(-LN(2)/2))/(LN(2)/2)*V170*Y170*VLOOKUP('Données projet'!$B$9,Paramètres!$A$1:$I$89,3,0)*0.475*44/12</f>
        <v>4.0552067033786607E-21</v>
      </c>
      <c r="AC170" s="22">
        <f t="shared" si="163"/>
        <v>0.56254787024254416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5.6843418860808015E-13</v>
      </c>
      <c r="AJ170" s="13">
        <f>AI170*VLOOKUP('Données projet'!$B$10,Paramètres!$A$1:$I$89,3,0)*VLOOKUP('Données projet'!$B$10,Paramètres!$A$1:$I$89,5,0)</f>
        <v>3.1036506698001181E-13</v>
      </c>
      <c r="AK170" s="13">
        <f t="shared" si="164"/>
        <v>4.086682523110923E-12</v>
      </c>
      <c r="AL170" s="20">
        <f t="shared" si="165"/>
        <v>7.6581912194083782E-12</v>
      </c>
      <c r="AM170" s="59">
        <f t="shared" si="113"/>
        <v>293.33333333334099</v>
      </c>
      <c r="AN170" s="59">
        <f ca="1">AVERAGE(OFFSET($AM$3,0,0,'Données projet'!$E$10+1,1))-AVERAGE(OFFSET($H$3,0,0,'Données projet'!$E$10+1,1))</f>
        <v>248.1486444660062</v>
      </c>
      <c r="AO170" s="59">
        <f t="shared" si="144"/>
        <v>293.34458072322127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0.56495116595551897</v>
      </c>
      <c r="AV170" s="21">
        <f>EXP(-LN(2)/25)*AV169+(1-EXP(-LN(2)/25))/(LN(2)/25)*Calculateur!AQ170*Calculateur!AS170*VLOOKUP('Données projet'!$B$10,Paramètres!$A$1:$I$89,3,0)*0.475*44/12</f>
        <v>0.76263430498072671</v>
      </c>
      <c r="AW170" s="21">
        <f>EXP(-LN(2)/2)*AW169+(1-EXP(-LN(2)/2))/(LN(2)/2)*AQ170*AT170*VLOOKUP('Données projet'!$B$10,Paramètres!$A$1:$I$89,3,0)*0.475*44/12</f>
        <v>6.0331325278187348E-20</v>
      </c>
      <c r="AX170" s="21">
        <f t="shared" si="166"/>
        <v>1.3275854709362456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210.04871822652808</v>
      </c>
      <c r="BJ170" s="59">
        <f t="shared" si="146"/>
        <v>250.17540614049324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0.48424385653330182</v>
      </c>
      <c r="BQ170" s="21">
        <f>EXP(-LN(2)/25)*BQ169+(1-EXP(-LN(2)/25))/(LN(2)/25)*Calculateur!BL170*Calculateur!BN170*VLOOKUP('Données projet'!$B$11,Paramètres!$A$1:$I$89,3,0)*0.475*44/12</f>
        <v>0.62356246562543627</v>
      </c>
      <c r="BR170" s="21">
        <f>EXP(-LN(2)/2)*BR169+(1-EXP(-LN(2)/2))/(LN(2)/2)*BL170*BO170*VLOOKUP('Données projet'!$B$11,Paramètres!$A$1:$I$89,3,0)*0.475*44/12</f>
        <v>5.1638180788917637E-20</v>
      </c>
      <c r="BS170" s="22">
        <f t="shared" si="169"/>
        <v>1.107806322158738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1277.6923076923067</v>
      </c>
      <c r="BZ170" s="13">
        <f>BY170*VLOOKUP('Données projet'!$B$12,Paramètres!$A$1:$I$89,3,0)*VLOOKUP('Données projet'!$B$12,Paramètres!$A$1:$I$89,5,0)</f>
        <v>614.5699999999996</v>
      </c>
      <c r="CA170" s="13">
        <f t="shared" si="170"/>
        <v>134.13240620831178</v>
      </c>
      <c r="CB170" s="20">
        <f t="shared" si="171"/>
        <v>1303.9900241461421</v>
      </c>
      <c r="CC170" s="59">
        <f t="shared" si="119"/>
        <v>1597.3233574794754</v>
      </c>
      <c r="CD170" s="59">
        <f ca="1">AVERAGE(OFFSET($CC$3,0,0,'Données projet'!$E$12+1,1))-AVERAGE(OFFSET($H$3,0,0,'Données projet'!$E$12+1,1))</f>
        <v>304.15237106473313</v>
      </c>
      <c r="CE170" s="59">
        <f t="shared" si="148"/>
        <v>120.85458928724336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255.5374979188561</v>
      </c>
      <c r="T171" s="59">
        <f t="shared" si="142"/>
        <v>343.10418468620901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0.20093054012779885</v>
      </c>
      <c r="AA171" s="21">
        <f>EXP(-LN(2)/25)*AA170+(1-EXP(-LN(2)/25))/(LN(2)/25)*Calculateur!V171*Calculateur!X171*VLOOKUP('Données projet'!$B$9,Paramètres!$A$1:$I$89,3,0)*0.475*44/12</f>
        <v>0.34781984898832163</v>
      </c>
      <c r="AB171" s="21">
        <f>EXP(-LN(2)/2)*AB170+(1-EXP(-LN(2)/2))/(LN(2)/2)*V171*Y171*VLOOKUP('Données projet'!$B$9,Paramètres!$A$1:$I$89,3,0)*0.475*44/12</f>
        <v>2.8674641590721954E-21</v>
      </c>
      <c r="AC171" s="22">
        <f t="shared" si="163"/>
        <v>0.54875038911612051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5.6843418860808015E-13</v>
      </c>
      <c r="AJ171" s="13">
        <f>AI171*VLOOKUP('Données projet'!$B$10,Paramètres!$A$1:$I$89,3,0)*VLOOKUP('Données projet'!$B$10,Paramètres!$A$1:$I$89,5,0)</f>
        <v>3.1036506698001181E-13</v>
      </c>
      <c r="AK171" s="13">
        <f t="shared" si="164"/>
        <v>4.086682523110923E-12</v>
      </c>
      <c r="AL171" s="20">
        <f t="shared" si="165"/>
        <v>7.6581912194083782E-12</v>
      </c>
      <c r="AM171" s="59">
        <f t="shared" si="113"/>
        <v>293.33333333334099</v>
      </c>
      <c r="AN171" s="59">
        <f ca="1">AVERAGE(OFFSET($AM$3,0,0,'Données projet'!$E$10+1,1))-AVERAGE(OFFSET($H$3,0,0,'Données projet'!$E$10+1,1))</f>
        <v>248.1486444660062</v>
      </c>
      <c r="AO171" s="59">
        <f t="shared" si="144"/>
        <v>293.34458072322127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0.55387281817731737</v>
      </c>
      <c r="AV171" s="21">
        <f>EXP(-LN(2)/25)*AV170+(1-EXP(-LN(2)/25))/(LN(2)/25)*Calculateur!AQ171*Calculateur!AS171*VLOOKUP('Données projet'!$B$10,Paramètres!$A$1:$I$89,3,0)*0.475*44/12</f>
        <v>0.74178002980583368</v>
      </c>
      <c r="AW171" s="21">
        <f>EXP(-LN(2)/2)*AW170+(1-EXP(-LN(2)/2))/(LN(2)/2)*AQ171*AT171*VLOOKUP('Données projet'!$B$10,Paramètres!$A$1:$I$89,3,0)*0.475*44/12</f>
        <v>4.2660689222177644E-20</v>
      </c>
      <c r="AX171" s="21">
        <f t="shared" si="166"/>
        <v>1.2956528479831511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210.04871822652808</v>
      </c>
      <c r="BJ171" s="59">
        <f t="shared" si="146"/>
        <v>250.17540614049324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0.47474812986627191</v>
      </c>
      <c r="BQ171" s="21">
        <f>EXP(-LN(2)/25)*BQ170+(1-EXP(-LN(2)/25))/(LN(2)/25)*Calculateur!BL171*Calculateur!BN171*VLOOKUP('Données projet'!$B$11,Paramètres!$A$1:$I$89,3,0)*0.475*44/12</f>
        <v>0.60651111721118378</v>
      </c>
      <c r="BR171" s="21">
        <f>EXP(-LN(2)/2)*BR170+(1-EXP(-LN(2)/2))/(LN(2)/2)*BL171*BO171*VLOOKUP('Données projet'!$B$11,Paramètres!$A$1:$I$89,3,0)*0.475*44/12</f>
        <v>3.6513707803980565E-20</v>
      </c>
      <c r="BS171" s="22">
        <f t="shared" si="169"/>
        <v>1.0812592470774556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1277.6923076923067</v>
      </c>
      <c r="BZ171" s="13">
        <f>BY171*VLOOKUP('Données projet'!$B$12,Paramètres!$A$1:$I$89,3,0)*VLOOKUP('Données projet'!$B$12,Paramètres!$A$1:$I$89,5,0)</f>
        <v>614.5699999999996</v>
      </c>
      <c r="CA171" s="13">
        <f t="shared" si="170"/>
        <v>134.13240620831178</v>
      </c>
      <c r="CB171" s="20">
        <f t="shared" si="171"/>
        <v>1303.9900241461421</v>
      </c>
      <c r="CC171" s="59">
        <f t="shared" si="119"/>
        <v>1597.3233574794754</v>
      </c>
      <c r="CD171" s="59">
        <f ca="1">AVERAGE(OFFSET($CC$3,0,0,'Données projet'!$E$12+1,1))-AVERAGE(OFFSET($H$3,0,0,'Données projet'!$E$12+1,1))</f>
        <v>304.15237106473313</v>
      </c>
      <c r="CE171" s="59">
        <f t="shared" si="148"/>
        <v>120.85458928724336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255.5374979188561</v>
      </c>
      <c r="T172" s="59">
        <f t="shared" si="142"/>
        <v>343.10418468620901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0.19699041479142085</v>
      </c>
      <c r="AA172" s="21">
        <f>EXP(-LN(2)/25)*AA171+(1-EXP(-LN(2)/25))/(LN(2)/25)*Calculateur!V172*Calculateur!X172*VLOOKUP('Données projet'!$B$9,Paramètres!$A$1:$I$89,3,0)*0.475*44/12</f>
        <v>0.33830869692668508</v>
      </c>
      <c r="AB172" s="21">
        <f>EXP(-LN(2)/2)*AB171+(1-EXP(-LN(2)/2))/(LN(2)/2)*V172*Y172*VLOOKUP('Données projet'!$B$9,Paramètres!$A$1:$I$89,3,0)*0.475*44/12</f>
        <v>2.0276033516893304E-21</v>
      </c>
      <c r="AC172" s="22">
        <f t="shared" si="163"/>
        <v>0.53529911171810596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5.6843418860808015E-13</v>
      </c>
      <c r="AJ172" s="13">
        <f>AI172*VLOOKUP('Données projet'!$B$10,Paramètres!$A$1:$I$89,3,0)*VLOOKUP('Données projet'!$B$10,Paramètres!$A$1:$I$89,5,0)</f>
        <v>3.1036506698001181E-13</v>
      </c>
      <c r="AK172" s="13">
        <f t="shared" si="164"/>
        <v>4.086682523110923E-12</v>
      </c>
      <c r="AL172" s="20">
        <f t="shared" si="165"/>
        <v>7.6581912194083782E-12</v>
      </c>
      <c r="AM172" s="59">
        <f t="shared" si="113"/>
        <v>293.33333333334099</v>
      </c>
      <c r="AN172" s="59">
        <f ca="1">AVERAGE(OFFSET($AM$3,0,0,'Données projet'!$E$10+1,1))-AVERAGE(OFFSET($H$3,0,0,'Données projet'!$E$10+1,1))</f>
        <v>248.1486444660062</v>
      </c>
      <c r="AO172" s="59">
        <f t="shared" si="144"/>
        <v>293.34458072322127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0.54301171004192139</v>
      </c>
      <c r="AV172" s="21">
        <f>EXP(-LN(2)/25)*AV171+(1-EXP(-LN(2)/25))/(LN(2)/25)*Calculateur!AQ172*Calculateur!AS172*VLOOKUP('Données projet'!$B$10,Paramètres!$A$1:$I$89,3,0)*0.475*44/12</f>
        <v>0.72149601588227674</v>
      </c>
      <c r="AW172" s="21">
        <f>EXP(-LN(2)/2)*AW171+(1-EXP(-LN(2)/2))/(LN(2)/2)*AQ172*AT172*VLOOKUP('Données projet'!$B$10,Paramètres!$A$1:$I$89,3,0)*0.475*44/12</f>
        <v>3.0165662639093674E-20</v>
      </c>
      <c r="AX172" s="21">
        <f t="shared" si="166"/>
        <v>1.2645077259241981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210.04871822652808</v>
      </c>
      <c r="BJ172" s="59">
        <f t="shared" si="146"/>
        <v>250.17540614049324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0.46543860860736108</v>
      </c>
      <c r="BQ172" s="21">
        <f>EXP(-LN(2)/25)*BQ171+(1-EXP(-LN(2)/25))/(LN(2)/25)*Calculateur!BL172*Calculateur!BN172*VLOOKUP('Données projet'!$B$11,Paramètres!$A$1:$I$89,3,0)*0.475*44/12</f>
        <v>0.58992603881601047</v>
      </c>
      <c r="BR172" s="21">
        <f>EXP(-LN(2)/2)*BR171+(1-EXP(-LN(2)/2))/(LN(2)/2)*BL172*BO172*VLOOKUP('Données projet'!$B$11,Paramètres!$A$1:$I$89,3,0)*0.475*44/12</f>
        <v>2.5819090394458818E-20</v>
      </c>
      <c r="BS172" s="22">
        <f t="shared" si="169"/>
        <v>1.0553646474233715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1277.6923076923067</v>
      </c>
      <c r="BZ172" s="13">
        <f>BY172*VLOOKUP('Données projet'!$B$12,Paramètres!$A$1:$I$89,3,0)*VLOOKUP('Données projet'!$B$12,Paramètres!$A$1:$I$89,5,0)</f>
        <v>614.5699999999996</v>
      </c>
      <c r="CA172" s="13">
        <f t="shared" si="170"/>
        <v>134.13240620831178</v>
      </c>
      <c r="CB172" s="20">
        <f t="shared" si="171"/>
        <v>1303.9900241461421</v>
      </c>
      <c r="CC172" s="59">
        <f t="shared" si="119"/>
        <v>1597.3233574794754</v>
      </c>
      <c r="CD172" s="59">
        <f ca="1">AVERAGE(OFFSET($CC$3,0,0,'Données projet'!$E$12+1,1))-AVERAGE(OFFSET($H$3,0,0,'Données projet'!$E$12+1,1))</f>
        <v>304.15237106473313</v>
      </c>
      <c r="CE172" s="59">
        <f t="shared" si="148"/>
        <v>120.85458928724336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255.5374979188561</v>
      </c>
      <c r="T173" s="59">
        <f t="shared" si="142"/>
        <v>343.10418468620901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0.19312755290965006</v>
      </c>
      <c r="AA173" s="21">
        <f>EXP(-LN(2)/25)*AA172+(1-EXP(-LN(2)/25))/(LN(2)/25)*Calculateur!V173*Calculateur!X173*VLOOKUP('Données projet'!$B$9,Paramètres!$A$1:$I$89,3,0)*0.475*44/12</f>
        <v>0.32905762781834375</v>
      </c>
      <c r="AB173" s="21">
        <f>EXP(-LN(2)/2)*AB172+(1-EXP(-LN(2)/2))/(LN(2)/2)*V173*Y173*VLOOKUP('Données projet'!$B$9,Paramètres!$A$1:$I$89,3,0)*0.475*44/12</f>
        <v>1.4337320795360977E-21</v>
      </c>
      <c r="AC173" s="22">
        <f t="shared" si="163"/>
        <v>0.5221851807279938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5.6843418860808015E-13</v>
      </c>
      <c r="AJ173" s="13">
        <f>AI173*VLOOKUP('Données projet'!$B$10,Paramètres!$A$1:$I$89,3,0)*VLOOKUP('Données projet'!$B$10,Paramètres!$A$1:$I$89,5,0)</f>
        <v>3.1036506698001181E-13</v>
      </c>
      <c r="AK173" s="13">
        <f t="shared" si="164"/>
        <v>4.086682523110923E-12</v>
      </c>
      <c r="AL173" s="20">
        <f t="shared" si="165"/>
        <v>7.6581912194083782E-12</v>
      </c>
      <c r="AM173" s="59">
        <f t="shared" si="113"/>
        <v>293.33333333334099</v>
      </c>
      <c r="AN173" s="59">
        <f ca="1">AVERAGE(OFFSET($AM$3,0,0,'Données projet'!$E$10+1,1))-AVERAGE(OFFSET($H$3,0,0,'Données projet'!$E$10+1,1))</f>
        <v>248.1486444660062</v>
      </c>
      <c r="AO173" s="59">
        <f t="shared" si="144"/>
        <v>293.34458072322127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0.53236358161243869</v>
      </c>
      <c r="AV173" s="21">
        <f>EXP(-LN(2)/25)*AV172+(1-EXP(-LN(2)/25))/(LN(2)/25)*Calculateur!AQ173*Calculateur!AS173*VLOOKUP('Données projet'!$B$10,Paramètres!$A$1:$I$89,3,0)*0.475*44/12</f>
        <v>0.7017666693861494</v>
      </c>
      <c r="AW173" s="21">
        <f>EXP(-LN(2)/2)*AW172+(1-EXP(-LN(2)/2))/(LN(2)/2)*AQ173*AT173*VLOOKUP('Données projet'!$B$10,Paramètres!$A$1:$I$89,3,0)*0.475*44/12</f>
        <v>2.1330344611088822E-20</v>
      </c>
      <c r="AX173" s="21">
        <f t="shared" si="166"/>
        <v>1.2341302509985881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210.04871822652808</v>
      </c>
      <c r="BJ173" s="59">
        <f t="shared" si="146"/>
        <v>250.17540614049324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0.45631164138209024</v>
      </c>
      <c r="BQ173" s="21">
        <f>EXP(-LN(2)/25)*BQ172+(1-EXP(-LN(2)/25))/(LN(2)/25)*Calculateur!BL173*Calculateur!BN173*VLOOKUP('Données projet'!$B$11,Paramètres!$A$1:$I$89,3,0)*0.475*44/12</f>
        <v>0.57379448026172453</v>
      </c>
      <c r="BR173" s="21">
        <f>EXP(-LN(2)/2)*BR172+(1-EXP(-LN(2)/2))/(LN(2)/2)*BL173*BO173*VLOOKUP('Données projet'!$B$11,Paramètres!$A$1:$I$89,3,0)*0.475*44/12</f>
        <v>1.8256853901990282E-20</v>
      </c>
      <c r="BS173" s="22">
        <f t="shared" si="169"/>
        <v>1.0301061216438148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1277.6923076923067</v>
      </c>
      <c r="BZ173" s="13">
        <f>BY173*VLOOKUP('Données projet'!$B$12,Paramètres!$A$1:$I$89,3,0)*VLOOKUP('Données projet'!$B$12,Paramètres!$A$1:$I$89,5,0)</f>
        <v>614.5699999999996</v>
      </c>
      <c r="CA173" s="13">
        <f t="shared" si="170"/>
        <v>134.13240620831178</v>
      </c>
      <c r="CB173" s="20">
        <f t="shared" si="171"/>
        <v>1303.9900241461421</v>
      </c>
      <c r="CC173" s="59">
        <f t="shared" si="119"/>
        <v>1597.3233574794754</v>
      </c>
      <c r="CD173" s="59">
        <f ca="1">AVERAGE(OFFSET($CC$3,0,0,'Données projet'!$E$12+1,1))-AVERAGE(OFFSET($H$3,0,0,'Données projet'!$E$12+1,1))</f>
        <v>304.15237106473313</v>
      </c>
      <c r="CE173" s="59">
        <f t="shared" si="148"/>
        <v>120.85458928724336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255.5374979188561</v>
      </c>
      <c r="T174" s="59">
        <f t="shared" si="142"/>
        <v>343.10418468620901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0.1893404393932677</v>
      </c>
      <c r="AA174" s="21">
        <f>EXP(-LN(2)/25)*AA173+(1-EXP(-LN(2)/25))/(LN(2)/25)*Calculateur!V174*Calculateur!X174*VLOOKUP('Données projet'!$B$9,Paramètres!$A$1:$I$89,3,0)*0.475*44/12</f>
        <v>0.32005952968126256</v>
      </c>
      <c r="AB174" s="21">
        <f>EXP(-LN(2)/2)*AB173+(1-EXP(-LN(2)/2))/(LN(2)/2)*V174*Y174*VLOOKUP('Données projet'!$B$9,Paramètres!$A$1:$I$89,3,0)*0.475*44/12</f>
        <v>1.0138016758446652E-21</v>
      </c>
      <c r="AC174" s="22">
        <f t="shared" si="163"/>
        <v>0.50939996907453022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5.6843418860808015E-13</v>
      </c>
      <c r="AJ174" s="13">
        <f>AI174*VLOOKUP('Données projet'!$B$10,Paramètres!$A$1:$I$89,3,0)*VLOOKUP('Données projet'!$B$10,Paramètres!$A$1:$I$89,5,0)</f>
        <v>3.1036506698001181E-13</v>
      </c>
      <c r="AK174" s="13">
        <f t="shared" si="164"/>
        <v>4.086682523110923E-12</v>
      </c>
      <c r="AL174" s="20">
        <f t="shared" si="165"/>
        <v>7.6581912194083782E-12</v>
      </c>
      <c r="AM174" s="59">
        <f t="shared" si="113"/>
        <v>293.33333333334099</v>
      </c>
      <c r="AN174" s="59">
        <f ca="1">AVERAGE(OFFSET($AM$3,0,0,'Données projet'!$E$10+1,1))-AVERAGE(OFFSET($H$3,0,0,'Données projet'!$E$10+1,1))</f>
        <v>248.1486444660062</v>
      </c>
      <c r="AO174" s="59">
        <f t="shared" si="144"/>
        <v>293.34458072322127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0.52192425648674112</v>
      </c>
      <c r="AV174" s="21">
        <f>EXP(-LN(2)/25)*AV173+(1-EXP(-LN(2)/25))/(LN(2)/25)*Calculateur!AQ174*Calculateur!AS174*VLOOKUP('Données projet'!$B$10,Paramètres!$A$1:$I$89,3,0)*0.475*44/12</f>
        <v>0.6825768229074799</v>
      </c>
      <c r="AW174" s="21">
        <f>EXP(-LN(2)/2)*AW173+(1-EXP(-LN(2)/2))/(LN(2)/2)*AQ174*AT174*VLOOKUP('Données projet'!$B$10,Paramètres!$A$1:$I$89,3,0)*0.475*44/12</f>
        <v>1.5082831319546837E-20</v>
      </c>
      <c r="AX174" s="21">
        <f t="shared" si="166"/>
        <v>1.204501079394221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210.04871822652808</v>
      </c>
      <c r="BJ174" s="59">
        <f t="shared" si="146"/>
        <v>250.17540614049324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0.44736364841720661</v>
      </c>
      <c r="BQ174" s="21">
        <f>EXP(-LN(2)/25)*BQ173+(1-EXP(-LN(2)/25))/(LN(2)/25)*Calculateur!BL174*Calculateur!BN174*VLOOKUP('Données projet'!$B$11,Paramètres!$A$1:$I$89,3,0)*0.475*44/12</f>
        <v>0.55810404002442737</v>
      </c>
      <c r="BR174" s="21">
        <f>EXP(-LN(2)/2)*BR173+(1-EXP(-LN(2)/2))/(LN(2)/2)*BL174*BO174*VLOOKUP('Données projet'!$B$11,Paramètres!$A$1:$I$89,3,0)*0.475*44/12</f>
        <v>1.2909545197229409E-20</v>
      </c>
      <c r="BS174" s="22">
        <f t="shared" si="169"/>
        <v>1.005467688441634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1277.6923076923067</v>
      </c>
      <c r="BZ174" s="13">
        <f>BY174*VLOOKUP('Données projet'!$B$12,Paramètres!$A$1:$I$89,3,0)*VLOOKUP('Données projet'!$B$12,Paramètres!$A$1:$I$89,5,0)</f>
        <v>614.5699999999996</v>
      </c>
      <c r="CA174" s="13">
        <f t="shared" si="170"/>
        <v>134.13240620831178</v>
      </c>
      <c r="CB174" s="20">
        <f t="shared" si="171"/>
        <v>1303.9900241461421</v>
      </c>
      <c r="CC174" s="59">
        <f t="shared" si="119"/>
        <v>1597.3233574794754</v>
      </c>
      <c r="CD174" s="59">
        <f ca="1">AVERAGE(OFFSET($CC$3,0,0,'Données projet'!$E$12+1,1))-AVERAGE(OFFSET($H$3,0,0,'Données projet'!$E$12+1,1))</f>
        <v>304.15237106473313</v>
      </c>
      <c r="CE174" s="59">
        <f t="shared" si="148"/>
        <v>120.85458928724336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255.5374979188561</v>
      </c>
      <c r="T175" s="59">
        <f t="shared" si="142"/>
        <v>343.10418468620901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0.18562758886303043</v>
      </c>
      <c r="AA175" s="21">
        <f>EXP(-LN(2)/25)*AA174+(1-EXP(-LN(2)/25))/(LN(2)/25)*Calculateur!V175*Calculateur!X175*VLOOKUP('Données projet'!$B$9,Paramètres!$A$1:$I$89,3,0)*0.475*44/12</f>
        <v>0.31130748501092925</v>
      </c>
      <c r="AB175" s="21">
        <f>EXP(-LN(2)/2)*AB174+(1-EXP(-LN(2)/2))/(LN(2)/2)*V175*Y175*VLOOKUP('Données projet'!$B$9,Paramètres!$A$1:$I$89,3,0)*0.475*44/12</f>
        <v>7.1686603976804885E-22</v>
      </c>
      <c r="AC175" s="22">
        <f t="shared" si="163"/>
        <v>0.49693507387395969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5.6843418860808015E-13</v>
      </c>
      <c r="AJ175" s="13">
        <f>AI175*VLOOKUP('Données projet'!$B$10,Paramètres!$A$1:$I$89,3,0)*VLOOKUP('Données projet'!$B$10,Paramètres!$A$1:$I$89,5,0)</f>
        <v>3.1036506698001181E-13</v>
      </c>
      <c r="AK175" s="13">
        <f t="shared" si="164"/>
        <v>4.086682523110923E-12</v>
      </c>
      <c r="AL175" s="20">
        <f t="shared" si="165"/>
        <v>7.6581912194083782E-12</v>
      </c>
      <c r="AM175" s="59">
        <f t="shared" si="113"/>
        <v>293.33333333334099</v>
      </c>
      <c r="AN175" s="59">
        <f ca="1">AVERAGE(OFFSET($AM$3,0,0,'Données projet'!$E$10+1,1))-AVERAGE(OFFSET($H$3,0,0,'Données projet'!$E$10+1,1))</f>
        <v>248.1486444660062</v>
      </c>
      <c r="AO175" s="59">
        <f t="shared" si="144"/>
        <v>293.34458072322127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0.51168964015939888</v>
      </c>
      <c r="AV175" s="21">
        <f>EXP(-LN(2)/25)*AV174+(1-EXP(-LN(2)/25))/(LN(2)/25)*Calculateur!AQ175*Calculateur!AS175*VLOOKUP('Données projet'!$B$10,Paramètres!$A$1:$I$89,3,0)*0.475*44/12</f>
        <v>0.66391172378991981</v>
      </c>
      <c r="AW175" s="21">
        <f>EXP(-LN(2)/2)*AW174+(1-EXP(-LN(2)/2))/(LN(2)/2)*AQ175*AT175*VLOOKUP('Données projet'!$B$10,Paramètres!$A$1:$I$89,3,0)*0.475*44/12</f>
        <v>1.0665172305544411E-20</v>
      </c>
      <c r="AX175" s="21">
        <f t="shared" si="166"/>
        <v>1.1756013639493186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210.04871822652808</v>
      </c>
      <c r="BJ175" s="59">
        <f t="shared" si="146"/>
        <v>250.17540614049324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0.43859112013662754</v>
      </c>
      <c r="BQ175" s="21">
        <f>EXP(-LN(2)/25)*BQ174+(1-EXP(-LN(2)/25))/(LN(2)/25)*Calculateur!BL175*Calculateur!BN175*VLOOKUP('Données projet'!$B$11,Paramètres!$A$1:$I$89,3,0)*0.475*44/12</f>
        <v>0.54284265570054346</v>
      </c>
      <c r="BR175" s="21">
        <f>EXP(-LN(2)/2)*BR174+(1-EXP(-LN(2)/2))/(LN(2)/2)*BL175*BO175*VLOOKUP('Données projet'!$B$11,Paramètres!$A$1:$I$89,3,0)*0.475*44/12</f>
        <v>9.1284269509951412E-21</v>
      </c>
      <c r="BS175" s="22">
        <f t="shared" si="169"/>
        <v>0.98143377583717095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1277.6923076923067</v>
      </c>
      <c r="BZ175" s="13">
        <f>BY175*VLOOKUP('Données projet'!$B$12,Paramètres!$A$1:$I$89,3,0)*VLOOKUP('Données projet'!$B$12,Paramètres!$A$1:$I$89,5,0)</f>
        <v>614.5699999999996</v>
      </c>
      <c r="CA175" s="13">
        <f t="shared" si="170"/>
        <v>134.13240620831178</v>
      </c>
      <c r="CB175" s="20">
        <f t="shared" si="171"/>
        <v>1303.9900241461421</v>
      </c>
      <c r="CC175" s="59">
        <f t="shared" si="119"/>
        <v>1597.3233574794754</v>
      </c>
      <c r="CD175" s="59">
        <f ca="1">AVERAGE(OFFSET($CC$3,0,0,'Données projet'!$E$12+1,1))-AVERAGE(OFFSET($H$3,0,0,'Données projet'!$E$12+1,1))</f>
        <v>304.15237106473313</v>
      </c>
      <c r="CE175" s="59">
        <f t="shared" si="148"/>
        <v>120.85458928724336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255.5374979188561</v>
      </c>
      <c r="T176" s="59">
        <f t="shared" si="142"/>
        <v>343.10418468620901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0.1819875450670759</v>
      </c>
      <c r="AA176" s="21">
        <f>EXP(-LN(2)/25)*AA175+(1-EXP(-LN(2)/25))/(LN(2)/25)*Calculateur!V176*Calculateur!X176*VLOOKUP('Données projet'!$B$9,Paramètres!$A$1:$I$89,3,0)*0.475*44/12</f>
        <v>0.30279476546235629</v>
      </c>
      <c r="AB176" s="21">
        <f>EXP(-LN(2)/2)*AB175+(1-EXP(-LN(2)/2))/(LN(2)/2)*V176*Y176*VLOOKUP('Données projet'!$B$9,Paramètres!$A$1:$I$89,3,0)*0.475*44/12</f>
        <v>5.0690083792233259E-22</v>
      </c>
      <c r="AC176" s="22">
        <f t="shared" si="163"/>
        <v>0.48478231052943221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5.6843418860808015E-13</v>
      </c>
      <c r="AJ176" s="13">
        <f>AI176*VLOOKUP('Données projet'!$B$10,Paramètres!$A$1:$I$89,3,0)*VLOOKUP('Données projet'!$B$10,Paramètres!$A$1:$I$89,5,0)</f>
        <v>3.1036506698001181E-13</v>
      </c>
      <c r="AK176" s="13">
        <f t="shared" si="164"/>
        <v>4.086682523110923E-12</v>
      </c>
      <c r="AL176" s="20">
        <f t="shared" si="165"/>
        <v>7.6581912194083782E-12</v>
      </c>
      <c r="AM176" s="59">
        <f t="shared" si="113"/>
        <v>293.33333333334099</v>
      </c>
      <c r="AN176" s="59">
        <f ca="1">AVERAGE(OFFSET($AM$3,0,0,'Données projet'!$E$10+1,1))-AVERAGE(OFFSET($H$3,0,0,'Données projet'!$E$10+1,1))</f>
        <v>248.1486444660062</v>
      </c>
      <c r="AO176" s="59">
        <f t="shared" si="144"/>
        <v>293.34458072322127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0.50165571841573631</v>
      </c>
      <c r="AV176" s="21">
        <f>EXP(-LN(2)/25)*AV175+(1-EXP(-LN(2)/25))/(LN(2)/25)*Calculateur!AQ176*Calculateur!AS176*VLOOKUP('Données projet'!$B$10,Paramètres!$A$1:$I$89,3,0)*0.475*44/12</f>
        <v>0.64575702278928426</v>
      </c>
      <c r="AW176" s="21">
        <f>EXP(-LN(2)/2)*AW175+(1-EXP(-LN(2)/2))/(LN(2)/2)*AQ176*AT176*VLOOKUP('Données projet'!$B$10,Paramètres!$A$1:$I$89,3,0)*0.475*44/12</f>
        <v>7.5414156597734184E-21</v>
      </c>
      <c r="AX176" s="21">
        <f t="shared" si="166"/>
        <v>1.1474127412050206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210.04871822652808</v>
      </c>
      <c r="BJ176" s="59">
        <f t="shared" si="146"/>
        <v>250.17540614049324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0.42999061578491671</v>
      </c>
      <c r="BQ176" s="21">
        <f>EXP(-LN(2)/25)*BQ175+(1-EXP(-LN(2)/25))/(LN(2)/25)*Calculateur!BL176*Calculateur!BN176*VLOOKUP('Données projet'!$B$11,Paramètres!$A$1:$I$89,3,0)*0.475*44/12</f>
        <v>0.52799859473355748</v>
      </c>
      <c r="BR176" s="21">
        <f>EXP(-LN(2)/2)*BR175+(1-EXP(-LN(2)/2))/(LN(2)/2)*BL176*BO176*VLOOKUP('Données projet'!$B$11,Paramètres!$A$1:$I$89,3,0)*0.475*44/12</f>
        <v>6.4547725986147046E-21</v>
      </c>
      <c r="BS176" s="22">
        <f t="shared" si="169"/>
        <v>0.95798921051847419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1277.6923076923067</v>
      </c>
      <c r="BZ176" s="13">
        <f>BY176*VLOOKUP('Données projet'!$B$12,Paramètres!$A$1:$I$89,3,0)*VLOOKUP('Données projet'!$B$12,Paramètres!$A$1:$I$89,5,0)</f>
        <v>614.5699999999996</v>
      </c>
      <c r="CA176" s="13">
        <f t="shared" si="170"/>
        <v>134.13240620831178</v>
      </c>
      <c r="CB176" s="20">
        <f t="shared" si="171"/>
        <v>1303.9900241461421</v>
      </c>
      <c r="CC176" s="59">
        <f t="shared" si="119"/>
        <v>1597.3233574794754</v>
      </c>
      <c r="CD176" s="59">
        <f ca="1">AVERAGE(OFFSET($CC$3,0,0,'Données projet'!$E$12+1,1))-AVERAGE(OFFSET($H$3,0,0,'Données projet'!$E$12+1,1))</f>
        <v>304.15237106473313</v>
      </c>
      <c r="CE176" s="59">
        <f t="shared" si="148"/>
        <v>120.85458928724336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255.5374979188561</v>
      </c>
      <c r="T177" s="59">
        <f t="shared" si="142"/>
        <v>343.10418468620901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0.17841888030975256</v>
      </c>
      <c r="AA177" s="21">
        <f>EXP(-LN(2)/25)*AA176+(1-EXP(-LN(2)/25))/(LN(2)/25)*Calculateur!V177*Calculateur!X177*VLOOKUP('Données projet'!$B$9,Paramètres!$A$1:$I$89,3,0)*0.475*44/12</f>
        <v>0.29451482667750351</v>
      </c>
      <c r="AB177" s="21">
        <f>EXP(-LN(2)/2)*AB176+(1-EXP(-LN(2)/2))/(LN(2)/2)*V177*Y177*VLOOKUP('Données projet'!$B$9,Paramètres!$A$1:$I$89,3,0)*0.475*44/12</f>
        <v>3.5843301988402443E-22</v>
      </c>
      <c r="AC177" s="22">
        <f t="shared" si="163"/>
        <v>0.47293370698725606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5.6843418860808015E-13</v>
      </c>
      <c r="AJ177" s="13">
        <f>AI177*VLOOKUP('Données projet'!$B$10,Paramètres!$A$1:$I$89,3,0)*VLOOKUP('Données projet'!$B$10,Paramètres!$A$1:$I$89,5,0)</f>
        <v>3.1036506698001181E-13</v>
      </c>
      <c r="AK177" s="13">
        <f t="shared" si="164"/>
        <v>4.086682523110923E-12</v>
      </c>
      <c r="AL177" s="20">
        <f t="shared" si="165"/>
        <v>7.6581912194083782E-12</v>
      </c>
      <c r="AM177" s="59">
        <f t="shared" si="113"/>
        <v>293.33333333334099</v>
      </c>
      <c r="AN177" s="59">
        <f ca="1">AVERAGE(OFFSET($AM$3,0,0,'Données projet'!$E$10+1,1))-AVERAGE(OFFSET($H$3,0,0,'Données projet'!$E$10+1,1))</f>
        <v>248.1486444660062</v>
      </c>
      <c r="AO177" s="59">
        <f t="shared" si="144"/>
        <v>293.34458072322127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0.49181855575737898</v>
      </c>
      <c r="AV177" s="21">
        <f>EXP(-LN(2)/25)*AV176+(1-EXP(-LN(2)/25))/(LN(2)/25)*Calculateur!AQ177*Calculateur!AS177*VLOOKUP('Données projet'!$B$10,Paramètres!$A$1:$I$89,3,0)*0.475*44/12</f>
        <v>0.62809876304222534</v>
      </c>
      <c r="AW177" s="21">
        <f>EXP(-LN(2)/2)*AW176+(1-EXP(-LN(2)/2))/(LN(2)/2)*AQ177*AT177*VLOOKUP('Données projet'!$B$10,Paramètres!$A$1:$I$89,3,0)*0.475*44/12</f>
        <v>5.3325861527722056E-21</v>
      </c>
      <c r="AX177" s="21">
        <f t="shared" si="166"/>
        <v>1.1199173187996043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210.04871822652808</v>
      </c>
      <c r="BJ177" s="59">
        <f t="shared" si="146"/>
        <v>250.17540614049324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0.42155876207775328</v>
      </c>
      <c r="BQ177" s="21">
        <f>EXP(-LN(2)/25)*BQ176+(1-EXP(-LN(2)/25))/(LN(2)/25)*Calculateur!BL177*Calculateur!BN177*VLOOKUP('Données projet'!$B$11,Paramètres!$A$1:$I$89,3,0)*0.475*44/12</f>
        <v>0.51356044539432899</v>
      </c>
      <c r="BR177" s="21">
        <f>EXP(-LN(2)/2)*BR176+(1-EXP(-LN(2)/2))/(LN(2)/2)*BL177*BO177*VLOOKUP('Données projet'!$B$11,Paramètres!$A$1:$I$89,3,0)*0.475*44/12</f>
        <v>4.5642134754975706E-21</v>
      </c>
      <c r="BS177" s="22">
        <f t="shared" si="169"/>
        <v>0.93511920747208221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1277.6923076923067</v>
      </c>
      <c r="BZ177" s="13">
        <f>BY177*VLOOKUP('Données projet'!$B$12,Paramètres!$A$1:$I$89,3,0)*VLOOKUP('Données projet'!$B$12,Paramètres!$A$1:$I$89,5,0)</f>
        <v>614.5699999999996</v>
      </c>
      <c r="CA177" s="13">
        <f t="shared" si="170"/>
        <v>134.13240620831178</v>
      </c>
      <c r="CB177" s="20">
        <f t="shared" si="171"/>
        <v>1303.9900241461421</v>
      </c>
      <c r="CC177" s="59">
        <f t="shared" si="119"/>
        <v>1597.3233574794754</v>
      </c>
      <c r="CD177" s="59">
        <f ca="1">AVERAGE(OFFSET($CC$3,0,0,'Données projet'!$E$12+1,1))-AVERAGE(OFFSET($H$3,0,0,'Données projet'!$E$12+1,1))</f>
        <v>304.15237106473313</v>
      </c>
      <c r="CE177" s="59">
        <f t="shared" si="148"/>
        <v>120.85458928724336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255.5374979188561</v>
      </c>
      <c r="T178" s="59">
        <f t="shared" si="142"/>
        <v>343.10418468620901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0.17492019489164976</v>
      </c>
      <c r="AA178" s="21">
        <f>EXP(-LN(2)/25)*AA177+(1-EXP(-LN(2)/25))/(LN(2)/25)*Calculateur!V178*Calculateur!X178*VLOOKUP('Données projet'!$B$9,Paramètres!$A$1:$I$89,3,0)*0.475*44/12</f>
        <v>0.28646130325414554</v>
      </c>
      <c r="AB178" s="21">
        <f>EXP(-LN(2)/2)*AB177+(1-EXP(-LN(2)/2))/(LN(2)/2)*V178*Y178*VLOOKUP('Données projet'!$B$9,Paramètres!$A$1:$I$89,3,0)*0.475*44/12</f>
        <v>2.5345041896116629E-22</v>
      </c>
      <c r="AC178" s="22">
        <f t="shared" si="163"/>
        <v>0.46138149814579532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5.6843418860808015E-13</v>
      </c>
      <c r="AJ178" s="13">
        <f>AI178*VLOOKUP('Données projet'!$B$10,Paramètres!$A$1:$I$89,3,0)*VLOOKUP('Données projet'!$B$10,Paramètres!$A$1:$I$89,5,0)</f>
        <v>3.1036506698001181E-13</v>
      </c>
      <c r="AK178" s="13">
        <f t="shared" si="164"/>
        <v>4.086682523110923E-12</v>
      </c>
      <c r="AL178" s="20">
        <f t="shared" si="165"/>
        <v>7.6581912194083782E-12</v>
      </c>
      <c r="AM178" s="59">
        <f t="shared" si="113"/>
        <v>293.33333333334099</v>
      </c>
      <c r="AN178" s="59">
        <f ca="1">AVERAGE(OFFSET($AM$3,0,0,'Données projet'!$E$10+1,1))-AVERAGE(OFFSET($H$3,0,0,'Données projet'!$E$10+1,1))</f>
        <v>248.1486444660062</v>
      </c>
      <c r="AO178" s="59">
        <f t="shared" si="144"/>
        <v>293.34458072322127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0.48217429385867527</v>
      </c>
      <c r="AV178" s="21">
        <f>EXP(-LN(2)/25)*AV177+(1-EXP(-LN(2)/25))/(LN(2)/25)*Calculateur!AQ178*Calculateur!AS178*VLOOKUP('Données projet'!$B$10,Paramètres!$A$1:$I$89,3,0)*0.475*44/12</f>
        <v>0.61092336933655733</v>
      </c>
      <c r="AW178" s="21">
        <f>EXP(-LN(2)/2)*AW177+(1-EXP(-LN(2)/2))/(LN(2)/2)*AQ178*AT178*VLOOKUP('Données projet'!$B$10,Paramètres!$A$1:$I$89,3,0)*0.475*44/12</f>
        <v>3.7707078298867092E-21</v>
      </c>
      <c r="AX178" s="21">
        <f t="shared" si="166"/>
        <v>1.0930976631952327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210.04871822652808</v>
      </c>
      <c r="BJ178" s="59">
        <f t="shared" si="146"/>
        <v>250.17540614049324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0.41329225187886437</v>
      </c>
      <c r="BQ178" s="21">
        <f>EXP(-LN(2)/25)*BQ177+(1-EXP(-LN(2)/25))/(LN(2)/25)*Calculateur!BL178*Calculateur!BN178*VLOOKUP('Données projet'!$B$11,Paramètres!$A$1:$I$89,3,0)*0.475*44/12</f>
        <v>0.49951710800805099</v>
      </c>
      <c r="BR178" s="21">
        <f>EXP(-LN(2)/2)*BR177+(1-EXP(-LN(2)/2))/(LN(2)/2)*BL178*BO178*VLOOKUP('Données projet'!$B$11,Paramètres!$A$1:$I$89,3,0)*0.475*44/12</f>
        <v>3.2273862993073523E-21</v>
      </c>
      <c r="BS178" s="22">
        <f t="shared" si="169"/>
        <v>0.91280935988691536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1277.6923076923067</v>
      </c>
      <c r="BZ178" s="13">
        <f>BY178*VLOOKUP('Données projet'!$B$12,Paramètres!$A$1:$I$89,3,0)*VLOOKUP('Données projet'!$B$12,Paramètres!$A$1:$I$89,5,0)</f>
        <v>614.5699999999996</v>
      </c>
      <c r="CA178" s="13">
        <f t="shared" si="170"/>
        <v>134.13240620831178</v>
      </c>
      <c r="CB178" s="20">
        <f t="shared" si="171"/>
        <v>1303.9900241461421</v>
      </c>
      <c r="CC178" s="59">
        <f t="shared" si="119"/>
        <v>1597.3233574794754</v>
      </c>
      <c r="CD178" s="59">
        <f ca="1">AVERAGE(OFFSET($CC$3,0,0,'Données projet'!$E$12+1,1))-AVERAGE(OFFSET($H$3,0,0,'Données projet'!$E$12+1,1))</f>
        <v>304.15237106473313</v>
      </c>
      <c r="CE178" s="59">
        <f t="shared" si="148"/>
        <v>120.85458928724336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255.5374979188561</v>
      </c>
      <c r="T179" s="59">
        <f t="shared" si="142"/>
        <v>343.10418468620901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0.17149011656060856</v>
      </c>
      <c r="AA179" s="21">
        <f>EXP(-LN(2)/25)*AA178+(1-EXP(-LN(2)/25))/(LN(2)/25)*Calculateur!V179*Calculateur!X179*VLOOKUP('Données projet'!$B$9,Paramètres!$A$1:$I$89,3,0)*0.475*44/12</f>
        <v>0.27862800385231573</v>
      </c>
      <c r="AB179" s="21">
        <f>EXP(-LN(2)/2)*AB178+(1-EXP(-LN(2)/2))/(LN(2)/2)*V179*Y179*VLOOKUP('Données projet'!$B$9,Paramètres!$A$1:$I$89,3,0)*0.475*44/12</f>
        <v>1.7921650994201221E-22</v>
      </c>
      <c r="AC179" s="22">
        <f t="shared" si="163"/>
        <v>0.45011812041292432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5.6843418860808015E-13</v>
      </c>
      <c r="AJ179" s="13">
        <f>AI179*VLOOKUP('Données projet'!$B$10,Paramètres!$A$1:$I$89,3,0)*VLOOKUP('Données projet'!$B$10,Paramètres!$A$1:$I$89,5,0)</f>
        <v>3.1036506698001181E-13</v>
      </c>
      <c r="AK179" s="13">
        <f t="shared" si="164"/>
        <v>4.086682523110923E-12</v>
      </c>
      <c r="AL179" s="20">
        <f t="shared" si="165"/>
        <v>7.6581912194083782E-12</v>
      </c>
      <c r="AM179" s="59">
        <f t="shared" si="113"/>
        <v>293.33333333334099</v>
      </c>
      <c r="AN179" s="59">
        <f ca="1">AVERAGE(OFFSET($AM$3,0,0,'Données projet'!$E$10+1,1))-AVERAGE(OFFSET($H$3,0,0,'Données projet'!$E$10+1,1))</f>
        <v>248.1486444660062</v>
      </c>
      <c r="AO179" s="59">
        <f t="shared" si="144"/>
        <v>293.34458072322127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0.47271915005338622</v>
      </c>
      <c r="AV179" s="21">
        <f>EXP(-LN(2)/25)*AV178+(1-EXP(-LN(2)/25))/(LN(2)/25)*Calculateur!AQ179*Calculateur!AS179*VLOOKUP('Données projet'!$B$10,Paramètres!$A$1:$I$89,3,0)*0.475*44/12</f>
        <v>0.59421763767498548</v>
      </c>
      <c r="AW179" s="21">
        <f>EXP(-LN(2)/2)*AW178+(1-EXP(-LN(2)/2))/(LN(2)/2)*AQ179*AT179*VLOOKUP('Données projet'!$B$10,Paramètres!$A$1:$I$89,3,0)*0.475*44/12</f>
        <v>2.6662930763861028E-21</v>
      </c>
      <c r="AX179" s="21">
        <f t="shared" si="166"/>
        <v>1.0669367877283717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210.04871822652808</v>
      </c>
      <c r="BJ179" s="59">
        <f t="shared" si="146"/>
        <v>250.17540614049324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0.40518784290290233</v>
      </c>
      <c r="BQ179" s="21">
        <f>EXP(-LN(2)/25)*BQ178+(1-EXP(-LN(2)/25))/(LN(2)/25)*Calculateur!BL179*Calculateur!BN179*VLOOKUP('Données projet'!$B$11,Paramètres!$A$1:$I$89,3,0)*0.475*44/12</f>
        <v>0.48585778642110777</v>
      </c>
      <c r="BR179" s="21">
        <f>EXP(-LN(2)/2)*BR178+(1-EXP(-LN(2)/2))/(LN(2)/2)*BL179*BO179*VLOOKUP('Données projet'!$B$11,Paramètres!$A$1:$I$89,3,0)*0.475*44/12</f>
        <v>2.2821067377487853E-21</v>
      </c>
      <c r="BS179" s="22">
        <f t="shared" si="169"/>
        <v>0.8910456293240101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1277.6923076923067</v>
      </c>
      <c r="BZ179" s="13">
        <f>BY179*VLOOKUP('Données projet'!$B$12,Paramètres!$A$1:$I$89,3,0)*VLOOKUP('Données projet'!$B$12,Paramètres!$A$1:$I$89,5,0)</f>
        <v>614.5699999999996</v>
      </c>
      <c r="CA179" s="13">
        <f t="shared" si="170"/>
        <v>134.13240620831178</v>
      </c>
      <c r="CB179" s="20">
        <f t="shared" si="171"/>
        <v>1303.9900241461421</v>
      </c>
      <c r="CC179" s="59">
        <f t="shared" si="119"/>
        <v>1597.3233574794754</v>
      </c>
      <c r="CD179" s="59">
        <f ca="1">AVERAGE(OFFSET($CC$3,0,0,'Données projet'!$E$12+1,1))-AVERAGE(OFFSET($H$3,0,0,'Données projet'!$E$12+1,1))</f>
        <v>304.15237106473313</v>
      </c>
      <c r="CE179" s="59">
        <f t="shared" si="148"/>
        <v>120.85458928724336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255.5374979188561</v>
      </c>
      <c r="T180" s="59">
        <f t="shared" si="142"/>
        <v>343.10418468620901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0.16812729997349787</v>
      </c>
      <c r="AA180" s="21">
        <f>EXP(-LN(2)/25)*AA179+(1-EXP(-LN(2)/25))/(LN(2)/25)*Calculateur!V180*Calculateur!X180*VLOOKUP('Données projet'!$B$9,Paramètres!$A$1:$I$89,3,0)*0.475*44/12</f>
        <v>0.27100890643456427</v>
      </c>
      <c r="AB180" s="21">
        <f>EXP(-LN(2)/2)*AB179+(1-EXP(-LN(2)/2))/(LN(2)/2)*V180*Y180*VLOOKUP('Données projet'!$B$9,Paramètres!$A$1:$I$89,3,0)*0.475*44/12</f>
        <v>1.2672520948058315E-22</v>
      </c>
      <c r="AC180" s="22">
        <f t="shared" si="163"/>
        <v>0.43913620640806217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5.6843418860808015E-13</v>
      </c>
      <c r="AJ180" s="13">
        <f>AI180*VLOOKUP('Données projet'!$B$10,Paramètres!$A$1:$I$89,3,0)*VLOOKUP('Données projet'!$B$10,Paramètres!$A$1:$I$89,5,0)</f>
        <v>3.1036506698001181E-13</v>
      </c>
      <c r="AK180" s="13">
        <f t="shared" si="164"/>
        <v>4.086682523110923E-12</v>
      </c>
      <c r="AL180" s="20">
        <f t="shared" si="165"/>
        <v>7.6581912194083782E-12</v>
      </c>
      <c r="AM180" s="59">
        <f t="shared" si="113"/>
        <v>293.33333333334099</v>
      </c>
      <c r="AN180" s="59">
        <f ca="1">AVERAGE(OFFSET($AM$3,0,0,'Données projet'!$E$10+1,1))-AVERAGE(OFFSET($H$3,0,0,'Données projet'!$E$10+1,1))</f>
        <v>248.1486444660062</v>
      </c>
      <c r="AO180" s="59">
        <f t="shared" si="144"/>
        <v>293.34458072322127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0.46344941585105059</v>
      </c>
      <c r="AV180" s="21">
        <f>EXP(-LN(2)/25)*AV179+(1-EXP(-LN(2)/25))/(LN(2)/25)*Calculateur!AQ180*Calculateur!AS180*VLOOKUP('Données projet'!$B$10,Paramètres!$A$1:$I$89,3,0)*0.475*44/12</f>
        <v>0.57796872512421549</v>
      </c>
      <c r="AW180" s="21">
        <f>EXP(-LN(2)/2)*AW179+(1-EXP(-LN(2)/2))/(LN(2)/2)*AQ180*AT180*VLOOKUP('Données projet'!$B$10,Paramètres!$A$1:$I$89,3,0)*0.475*44/12</f>
        <v>1.8853539149433546E-21</v>
      </c>
      <c r="AX180" s="21">
        <f t="shared" si="166"/>
        <v>1.0414181409752661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210.04871822652808</v>
      </c>
      <c r="BJ180" s="59">
        <f t="shared" si="146"/>
        <v>250.17540614049324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0.39724235644375749</v>
      </c>
      <c r="BQ180" s="21">
        <f>EXP(-LN(2)/25)*BQ179+(1-EXP(-LN(2)/25))/(LN(2)/25)*Calculateur!BL180*Calculateur!BN180*VLOOKUP('Données projet'!$B$11,Paramètres!$A$1:$I$89,3,0)*0.475*44/12</f>
        <v>0.47257197970127202</v>
      </c>
      <c r="BR180" s="21">
        <f>EXP(-LN(2)/2)*BR179+(1-EXP(-LN(2)/2))/(LN(2)/2)*BL180*BO180*VLOOKUP('Données projet'!$B$11,Paramètres!$A$1:$I$89,3,0)*0.475*44/12</f>
        <v>1.6136931496536761E-21</v>
      </c>
      <c r="BS180" s="22">
        <f t="shared" si="169"/>
        <v>0.86981433614502945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1277.6923076923067</v>
      </c>
      <c r="BZ180" s="13">
        <f>BY180*VLOOKUP('Données projet'!$B$12,Paramètres!$A$1:$I$89,3,0)*VLOOKUP('Données projet'!$B$12,Paramètres!$A$1:$I$89,5,0)</f>
        <v>614.5699999999996</v>
      </c>
      <c r="CA180" s="13">
        <f t="shared" si="170"/>
        <v>134.13240620831178</v>
      </c>
      <c r="CB180" s="20">
        <f t="shared" si="171"/>
        <v>1303.9900241461421</v>
      </c>
      <c r="CC180" s="59">
        <f t="shared" si="119"/>
        <v>1597.3233574794754</v>
      </c>
      <c r="CD180" s="59">
        <f ca="1">AVERAGE(OFFSET($CC$3,0,0,'Données projet'!$E$12+1,1))-AVERAGE(OFFSET($H$3,0,0,'Données projet'!$E$12+1,1))</f>
        <v>304.15237106473313</v>
      </c>
      <c r="CE180" s="59">
        <f t="shared" si="148"/>
        <v>120.85458928724336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255.5374979188561</v>
      </c>
      <c r="T181" s="59">
        <f t="shared" si="142"/>
        <v>343.10418468620901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0.16483042616854485</v>
      </c>
      <c r="AA181" s="21">
        <f>EXP(-LN(2)/25)*AA180+(1-EXP(-LN(2)/25))/(LN(2)/25)*Calculateur!V181*Calculateur!X181*VLOOKUP('Données projet'!$B$9,Paramètres!$A$1:$I$89,3,0)*0.475*44/12</f>
        <v>0.26359815363637212</v>
      </c>
      <c r="AB181" s="21">
        <f>EXP(-LN(2)/2)*AB180+(1-EXP(-LN(2)/2))/(LN(2)/2)*V181*Y181*VLOOKUP('Données projet'!$B$9,Paramètres!$A$1:$I$89,3,0)*0.475*44/12</f>
        <v>8.9608254971006107E-23</v>
      </c>
      <c r="AC181" s="22">
        <f t="shared" si="163"/>
        <v>0.428428579804917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5.6843418860808015E-13</v>
      </c>
      <c r="AJ181" s="13">
        <f>AI181*VLOOKUP('Données projet'!$B$10,Paramètres!$A$1:$I$89,3,0)*VLOOKUP('Données projet'!$B$10,Paramètres!$A$1:$I$89,5,0)</f>
        <v>3.1036506698001181E-13</v>
      </c>
      <c r="AK181" s="13">
        <f t="shared" si="164"/>
        <v>4.086682523110923E-12</v>
      </c>
      <c r="AL181" s="20">
        <f t="shared" si="165"/>
        <v>7.6581912194083782E-12</v>
      </c>
      <c r="AM181" s="59">
        <f t="shared" si="113"/>
        <v>293.33333333334099</v>
      </c>
      <c r="AN181" s="59">
        <f ca="1">AVERAGE(OFFSET($AM$3,0,0,'Données projet'!$E$10+1,1))-AVERAGE(OFFSET($H$3,0,0,'Données projet'!$E$10+1,1))</f>
        <v>248.1486444660062</v>
      </c>
      <c r="AO181" s="59">
        <f t="shared" si="144"/>
        <v>293.34458072322127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0.45436145548244322</v>
      </c>
      <c r="AV181" s="21">
        <f>EXP(-LN(2)/25)*AV180+(1-EXP(-LN(2)/25))/(LN(2)/25)*Calculateur!AQ181*Calculateur!AS181*VLOOKUP('Données projet'!$B$10,Paramètres!$A$1:$I$89,3,0)*0.475*44/12</f>
        <v>0.5621641399416395</v>
      </c>
      <c r="AW181" s="21">
        <f>EXP(-LN(2)/2)*AW180+(1-EXP(-LN(2)/2))/(LN(2)/2)*AQ181*AT181*VLOOKUP('Données projet'!$B$10,Paramètres!$A$1:$I$89,3,0)*0.475*44/12</f>
        <v>1.3331465381930514E-21</v>
      </c>
      <c r="AX181" s="21">
        <f t="shared" si="166"/>
        <v>1.0165255954240826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210.04871822652808</v>
      </c>
      <c r="BJ181" s="59">
        <f t="shared" si="146"/>
        <v>250.17540614049324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0.38945267612780832</v>
      </c>
      <c r="BQ181" s="21">
        <f>EXP(-LN(2)/25)*BQ180+(1-EXP(-LN(2)/25))/(LN(2)/25)*Calculateur!BL181*Calculateur!BN181*VLOOKUP('Données projet'!$B$11,Paramètres!$A$1:$I$89,3,0)*0.475*44/12</f>
        <v>0.4596494740648604</v>
      </c>
      <c r="BR181" s="21">
        <f>EXP(-LN(2)/2)*BR180+(1-EXP(-LN(2)/2))/(LN(2)/2)*BL181*BO181*VLOOKUP('Données projet'!$B$11,Paramètres!$A$1:$I$89,3,0)*0.475*44/12</f>
        <v>1.1410533688743926E-21</v>
      </c>
      <c r="BS181" s="22">
        <f t="shared" si="169"/>
        <v>0.84910215019266877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1277.6923076923067</v>
      </c>
      <c r="BZ181" s="13">
        <f>BY181*VLOOKUP('Données projet'!$B$12,Paramètres!$A$1:$I$89,3,0)*VLOOKUP('Données projet'!$B$12,Paramètres!$A$1:$I$89,5,0)</f>
        <v>614.5699999999996</v>
      </c>
      <c r="CA181" s="13">
        <f t="shared" si="170"/>
        <v>134.13240620831178</v>
      </c>
      <c r="CB181" s="20">
        <f t="shared" si="171"/>
        <v>1303.9900241461421</v>
      </c>
      <c r="CC181" s="59">
        <f t="shared" si="119"/>
        <v>1597.3233574794754</v>
      </c>
      <c r="CD181" s="59">
        <f ca="1">AVERAGE(OFFSET($CC$3,0,0,'Données projet'!$E$12+1,1))-AVERAGE(OFFSET($H$3,0,0,'Données projet'!$E$12+1,1))</f>
        <v>304.15237106473313</v>
      </c>
      <c r="CE181" s="59">
        <f t="shared" si="148"/>
        <v>120.85458928724336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255.5374979188561</v>
      </c>
      <c r="T182" s="59">
        <f t="shared" si="142"/>
        <v>343.10418468620901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0.16159820204801248</v>
      </c>
      <c r="AA182" s="21">
        <f>EXP(-LN(2)/25)*AA181+(1-EXP(-LN(2)/25))/(LN(2)/25)*Calculateur!V182*Calculateur!X182*VLOOKUP('Données projet'!$B$9,Paramètres!$A$1:$I$89,3,0)*0.475*44/12</f>
        <v>0.25639004826316109</v>
      </c>
      <c r="AB182" s="21">
        <f>EXP(-LN(2)/2)*AB181+(1-EXP(-LN(2)/2))/(LN(2)/2)*V182*Y182*VLOOKUP('Données projet'!$B$9,Paramètres!$A$1:$I$89,3,0)*0.475*44/12</f>
        <v>6.3362604740291573E-23</v>
      </c>
      <c r="AC182" s="22">
        <f t="shared" si="163"/>
        <v>0.41798825031117359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5.6843418860808015E-13</v>
      </c>
      <c r="AJ182" s="13">
        <f>AI182*VLOOKUP('Données projet'!$B$10,Paramètres!$A$1:$I$89,3,0)*VLOOKUP('Données projet'!$B$10,Paramètres!$A$1:$I$89,5,0)</f>
        <v>3.1036506698001181E-13</v>
      </c>
      <c r="AK182" s="13">
        <f t="shared" si="164"/>
        <v>4.086682523110923E-12</v>
      </c>
      <c r="AL182" s="20">
        <f t="shared" si="165"/>
        <v>7.6581912194083782E-12</v>
      </c>
      <c r="AM182" s="59">
        <f t="shared" si="113"/>
        <v>293.33333333334099</v>
      </c>
      <c r="AN182" s="59">
        <f ca="1">AVERAGE(OFFSET($AM$3,0,0,'Données projet'!$E$10+1,1))-AVERAGE(OFFSET($H$3,0,0,'Données projet'!$E$10+1,1))</f>
        <v>248.1486444660062</v>
      </c>
      <c r="AO182" s="59">
        <f t="shared" si="144"/>
        <v>293.34458072322127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0.44545170447355575</v>
      </c>
      <c r="AV182" s="21">
        <f>EXP(-LN(2)/25)*AV181+(1-EXP(-LN(2)/25))/(LN(2)/25)*Calculateur!AQ182*Calculateur!AS182*VLOOKUP('Données projet'!$B$10,Paramètres!$A$1:$I$89,3,0)*0.475*44/12</f>
        <v>0.54679173197200803</v>
      </c>
      <c r="AW182" s="21">
        <f>EXP(-LN(2)/2)*AW181+(1-EXP(-LN(2)/2))/(LN(2)/2)*AQ182*AT182*VLOOKUP('Données projet'!$B$10,Paramètres!$A$1:$I$89,3,0)*0.475*44/12</f>
        <v>9.426769574716773E-22</v>
      </c>
      <c r="AX182" s="21">
        <f t="shared" si="166"/>
        <v>0.99224343644556379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210.04871822652808</v>
      </c>
      <c r="BJ182" s="59">
        <f t="shared" si="146"/>
        <v>250.17540614049324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0.38181574669161905</v>
      </c>
      <c r="BQ182" s="21">
        <f>EXP(-LN(2)/25)*BQ181+(1-EXP(-LN(2)/25))/(LN(2)/25)*Calculateur!BL182*Calculateur!BN182*VLOOKUP('Données projet'!$B$11,Paramètres!$A$1:$I$89,3,0)*0.475*44/12</f>
        <v>0.44708033502464151</v>
      </c>
      <c r="BR182" s="21">
        <f>EXP(-LN(2)/2)*BR181+(1-EXP(-LN(2)/2))/(LN(2)/2)*BL182*BO182*VLOOKUP('Données projet'!$B$11,Paramètres!$A$1:$I$89,3,0)*0.475*44/12</f>
        <v>8.0684657482683807E-22</v>
      </c>
      <c r="BS182" s="22">
        <f t="shared" si="169"/>
        <v>0.8288960817162605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1277.6923076923067</v>
      </c>
      <c r="BZ182" s="13">
        <f>BY182*VLOOKUP('Données projet'!$B$12,Paramètres!$A$1:$I$89,3,0)*VLOOKUP('Données projet'!$B$12,Paramètres!$A$1:$I$89,5,0)</f>
        <v>614.5699999999996</v>
      </c>
      <c r="CA182" s="13">
        <f t="shared" si="170"/>
        <v>134.13240620831178</v>
      </c>
      <c r="CB182" s="20">
        <f t="shared" si="171"/>
        <v>1303.9900241461421</v>
      </c>
      <c r="CC182" s="59">
        <f t="shared" si="119"/>
        <v>1597.3233574794754</v>
      </c>
      <c r="CD182" s="59">
        <f ca="1">AVERAGE(OFFSET($CC$3,0,0,'Données projet'!$E$12+1,1))-AVERAGE(OFFSET($H$3,0,0,'Données projet'!$E$12+1,1))</f>
        <v>304.15237106473313</v>
      </c>
      <c r="CE182" s="59">
        <f t="shared" si="148"/>
        <v>120.85458928724336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255.5374979188561</v>
      </c>
      <c r="T183" s="59">
        <f t="shared" si="142"/>
        <v>343.10418468620901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0.15842935987102169</v>
      </c>
      <c r="AA183" s="21">
        <f>EXP(-LN(2)/25)*AA182+(1-EXP(-LN(2)/25))/(LN(2)/25)*Calculateur!V183*Calculateur!X183*VLOOKUP('Données projet'!$B$9,Paramètres!$A$1:$I$89,3,0)*0.475*44/12</f>
        <v>0.2493790489104383</v>
      </c>
      <c r="AB183" s="21">
        <f>EXP(-LN(2)/2)*AB182+(1-EXP(-LN(2)/2))/(LN(2)/2)*V183*Y183*VLOOKUP('Données projet'!$B$9,Paramètres!$A$1:$I$89,3,0)*0.475*44/12</f>
        <v>4.4804127485503053E-23</v>
      </c>
      <c r="AC183" s="22">
        <f t="shared" si="163"/>
        <v>0.40780840878145996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5.6843418860808015E-13</v>
      </c>
      <c r="AJ183" s="13">
        <f>AI183*VLOOKUP('Données projet'!$B$10,Paramètres!$A$1:$I$89,3,0)*VLOOKUP('Données projet'!$B$10,Paramètres!$A$1:$I$89,5,0)</f>
        <v>3.1036506698001181E-13</v>
      </c>
      <c r="AK183" s="13">
        <f t="shared" si="164"/>
        <v>4.086682523110923E-12</v>
      </c>
      <c r="AL183" s="20">
        <f t="shared" si="165"/>
        <v>7.6581912194083782E-12</v>
      </c>
      <c r="AM183" s="59">
        <f t="shared" si="113"/>
        <v>293.33333333334099</v>
      </c>
      <c r="AN183" s="59">
        <f ca="1">AVERAGE(OFFSET($AM$3,0,0,'Données projet'!$E$10+1,1))-AVERAGE(OFFSET($H$3,0,0,'Données projet'!$E$10+1,1))</f>
        <v>248.1486444660062</v>
      </c>
      <c r="AO183" s="59">
        <f t="shared" si="144"/>
        <v>293.34458072322127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0.43671666824754102</v>
      </c>
      <c r="AV183" s="21">
        <f>EXP(-LN(2)/25)*AV182+(1-EXP(-LN(2)/25))/(LN(2)/25)*Calculateur!AQ183*Calculateur!AS183*VLOOKUP('Données projet'!$B$10,Paramètres!$A$1:$I$89,3,0)*0.475*44/12</f>
        <v>0.53183968330670595</v>
      </c>
      <c r="AW183" s="21">
        <f>EXP(-LN(2)/2)*AW182+(1-EXP(-LN(2)/2))/(LN(2)/2)*AQ183*AT183*VLOOKUP('Données projet'!$B$10,Paramètres!$A$1:$I$89,3,0)*0.475*44/12</f>
        <v>6.6657326909652569E-22</v>
      </c>
      <c r="AX183" s="21">
        <f t="shared" si="166"/>
        <v>0.96855635155424702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210.04871822652808</v>
      </c>
      <c r="BJ183" s="59">
        <f t="shared" si="146"/>
        <v>250.17540614049324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0.37432857278360643</v>
      </c>
      <c r="BQ183" s="21">
        <f>EXP(-LN(2)/25)*BQ182+(1-EXP(-LN(2)/25))/(LN(2)/25)*Calculateur!BL183*Calculateur!BN183*VLOOKUP('Données projet'!$B$11,Paramètres!$A$1:$I$89,3,0)*0.475*44/12</f>
        <v>0.43485489975245967</v>
      </c>
      <c r="BR183" s="21">
        <f>EXP(-LN(2)/2)*BR182+(1-EXP(-LN(2)/2))/(LN(2)/2)*BL183*BO183*VLOOKUP('Données projet'!$B$11,Paramètres!$A$1:$I$89,3,0)*0.475*44/12</f>
        <v>5.7052668443719632E-22</v>
      </c>
      <c r="BS183" s="22">
        <f t="shared" si="169"/>
        <v>0.80918347253606604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1277.6923076923067</v>
      </c>
      <c r="BZ183" s="13">
        <f>BY183*VLOOKUP('Données projet'!$B$12,Paramètres!$A$1:$I$89,3,0)*VLOOKUP('Données projet'!$B$12,Paramètres!$A$1:$I$89,5,0)</f>
        <v>614.5699999999996</v>
      </c>
      <c r="CA183" s="13">
        <f t="shared" si="170"/>
        <v>134.13240620831178</v>
      </c>
      <c r="CB183" s="20">
        <f t="shared" si="171"/>
        <v>1303.9900241461421</v>
      </c>
      <c r="CC183" s="59">
        <f t="shared" si="119"/>
        <v>1597.3233574794754</v>
      </c>
      <c r="CD183" s="59">
        <f ca="1">AVERAGE(OFFSET($CC$3,0,0,'Données projet'!$E$12+1,1))-AVERAGE(OFFSET($H$3,0,0,'Données projet'!$E$12+1,1))</f>
        <v>304.15237106473313</v>
      </c>
      <c r="CE183" s="59">
        <f t="shared" si="148"/>
        <v>120.85458928724336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255.5374979188561</v>
      </c>
      <c r="T184" s="59">
        <f t="shared" si="142"/>
        <v>343.10418468620901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0.15532265675631882</v>
      </c>
      <c r="AA184" s="21">
        <f>EXP(-LN(2)/25)*AA183+(1-EXP(-LN(2)/25))/(LN(2)/25)*Calculateur!V184*Calculateur!X184*VLOOKUP('Données projet'!$B$9,Paramètres!$A$1:$I$89,3,0)*0.475*44/12</f>
        <v>0.24255976570370816</v>
      </c>
      <c r="AB184" s="21">
        <f>EXP(-LN(2)/2)*AB183+(1-EXP(-LN(2)/2))/(LN(2)/2)*V184*Y184*VLOOKUP('Données projet'!$B$9,Paramètres!$A$1:$I$89,3,0)*0.475*44/12</f>
        <v>3.1681302370145787E-23</v>
      </c>
      <c r="AC184" s="22">
        <f t="shared" si="163"/>
        <v>0.39788242246002697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5.6843418860808015E-13</v>
      </c>
      <c r="AJ184" s="13">
        <f>AI184*VLOOKUP('Données projet'!$B$10,Paramètres!$A$1:$I$89,3,0)*VLOOKUP('Données projet'!$B$10,Paramètres!$A$1:$I$89,5,0)</f>
        <v>3.1036506698001181E-13</v>
      </c>
      <c r="AK184" s="13">
        <f t="shared" si="164"/>
        <v>4.086682523110923E-12</v>
      </c>
      <c r="AL184" s="20">
        <f t="shared" si="165"/>
        <v>7.6581912194083782E-12</v>
      </c>
      <c r="AM184" s="59">
        <f t="shared" si="113"/>
        <v>293.33333333334099</v>
      </c>
      <c r="AN184" s="59">
        <f ca="1">AVERAGE(OFFSET($AM$3,0,0,'Données projet'!$E$10+1,1))-AVERAGE(OFFSET($H$3,0,0,'Données projet'!$E$10+1,1))</f>
        <v>248.1486444660062</v>
      </c>
      <c r="AO184" s="59">
        <f t="shared" si="144"/>
        <v>293.34458072322127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0.42815292075407241</v>
      </c>
      <c r="AV184" s="21">
        <f>EXP(-LN(2)/25)*AV183+(1-EXP(-LN(2)/25))/(LN(2)/25)*Calculateur!AQ184*Calculateur!AS184*VLOOKUP('Données projet'!$B$10,Paramètres!$A$1:$I$89,3,0)*0.475*44/12</f>
        <v>0.51729649919845067</v>
      </c>
      <c r="AW184" s="21">
        <f>EXP(-LN(2)/2)*AW183+(1-EXP(-LN(2)/2))/(LN(2)/2)*AQ184*AT184*VLOOKUP('Données projet'!$B$10,Paramètres!$A$1:$I$89,3,0)*0.475*44/12</f>
        <v>4.7133847873583865E-22</v>
      </c>
      <c r="AX184" s="21">
        <f t="shared" si="166"/>
        <v>0.94544941995252307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210.04871822652808</v>
      </c>
      <c r="BJ184" s="59">
        <f t="shared" si="146"/>
        <v>250.17540614049324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0.36698821778920476</v>
      </c>
      <c r="BQ184" s="21">
        <f>EXP(-LN(2)/25)*BQ183+(1-EXP(-LN(2)/25))/(LN(2)/25)*Calculateur!BL184*Calculateur!BN184*VLOOKUP('Données projet'!$B$11,Paramètres!$A$1:$I$89,3,0)*0.475*44/12</f>
        <v>0.42296376965070337</v>
      </c>
      <c r="BR184" s="21">
        <f>EXP(-LN(2)/2)*BR183+(1-EXP(-LN(2)/2))/(LN(2)/2)*BL184*BO184*VLOOKUP('Données projet'!$B$11,Paramètres!$A$1:$I$89,3,0)*0.475*44/12</f>
        <v>4.0342328741341904E-22</v>
      </c>
      <c r="BS184" s="22">
        <f t="shared" si="169"/>
        <v>0.78995198743990813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1277.6923076923067</v>
      </c>
      <c r="BZ184" s="13">
        <f>BY184*VLOOKUP('Données projet'!$B$12,Paramètres!$A$1:$I$89,3,0)*VLOOKUP('Données projet'!$B$12,Paramètres!$A$1:$I$89,5,0)</f>
        <v>614.5699999999996</v>
      </c>
      <c r="CA184" s="13">
        <f t="shared" si="170"/>
        <v>134.13240620831178</v>
      </c>
      <c r="CB184" s="20">
        <f t="shared" si="171"/>
        <v>1303.9900241461421</v>
      </c>
      <c r="CC184" s="59">
        <f t="shared" si="119"/>
        <v>1597.3233574794754</v>
      </c>
      <c r="CD184" s="59">
        <f ca="1">AVERAGE(OFFSET($CC$3,0,0,'Données projet'!$E$12+1,1))-AVERAGE(OFFSET($H$3,0,0,'Données projet'!$E$12+1,1))</f>
        <v>304.15237106473313</v>
      </c>
      <c r="CE184" s="59">
        <f t="shared" si="148"/>
        <v>120.85458928724336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255.5374979188561</v>
      </c>
      <c r="T185" s="59">
        <f t="shared" si="142"/>
        <v>343.10418468620901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0.15227687419479347</v>
      </c>
      <c r="AA185" s="21">
        <f>EXP(-LN(2)/25)*AA184+(1-EXP(-LN(2)/25))/(LN(2)/25)*Calculateur!V185*Calculateur!X185*VLOOKUP('Données projet'!$B$9,Paramètres!$A$1:$I$89,3,0)*0.475*44/12</f>
        <v>0.23592695615487655</v>
      </c>
      <c r="AB185" s="21">
        <f>EXP(-LN(2)/2)*AB184+(1-EXP(-LN(2)/2))/(LN(2)/2)*V185*Y185*VLOOKUP('Données projet'!$B$9,Paramètres!$A$1:$I$89,3,0)*0.475*44/12</f>
        <v>2.2402063742751527E-23</v>
      </c>
      <c r="AC185" s="22">
        <f t="shared" si="163"/>
        <v>0.38820383034966999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5.6843418860808015E-13</v>
      </c>
      <c r="AJ185" s="13">
        <f>AI185*VLOOKUP('Données projet'!$B$10,Paramètres!$A$1:$I$89,3,0)*VLOOKUP('Données projet'!$B$10,Paramètres!$A$1:$I$89,5,0)</f>
        <v>3.1036506698001181E-13</v>
      </c>
      <c r="AK185" s="13">
        <f t="shared" si="164"/>
        <v>4.086682523110923E-12</v>
      </c>
      <c r="AL185" s="20">
        <f t="shared" si="165"/>
        <v>7.6581912194083782E-12</v>
      </c>
      <c r="AM185" s="59">
        <f t="shared" si="113"/>
        <v>293.33333333334099</v>
      </c>
      <c r="AN185" s="59">
        <f ca="1">AVERAGE(OFFSET($AM$3,0,0,'Données projet'!$E$10+1,1))-AVERAGE(OFFSET($H$3,0,0,'Données projet'!$E$10+1,1))</f>
        <v>248.1486444660062</v>
      </c>
      <c r="AO185" s="59">
        <f t="shared" si="144"/>
        <v>293.34458072322127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0.41975710312558051</v>
      </c>
      <c r="AV185" s="21">
        <f>EXP(-LN(2)/25)*AV184+(1-EXP(-LN(2)/25))/(LN(2)/25)*Calculateur!AQ185*Calculateur!AS185*VLOOKUP('Données projet'!$B$10,Paramètres!$A$1:$I$89,3,0)*0.475*44/12</f>
        <v>0.50315099922442841</v>
      </c>
      <c r="AW185" s="21">
        <f>EXP(-LN(2)/2)*AW184+(1-EXP(-LN(2)/2))/(LN(2)/2)*AQ185*AT185*VLOOKUP('Données projet'!$B$10,Paramètres!$A$1:$I$89,3,0)*0.475*44/12</f>
        <v>3.3328663454826285E-22</v>
      </c>
      <c r="AX185" s="21">
        <f t="shared" si="166"/>
        <v>0.92290810235000897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210.04871822652808</v>
      </c>
      <c r="BJ185" s="59">
        <f t="shared" si="146"/>
        <v>250.17540614049324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0.35979180267906885</v>
      </c>
      <c r="BQ185" s="21">
        <f>EXP(-LN(2)/25)*BQ184+(1-EXP(-LN(2)/25))/(LN(2)/25)*Calculateur!BL185*Calculateur!BN185*VLOOKUP('Données projet'!$B$11,Paramètres!$A$1:$I$89,3,0)*0.475*44/12</f>
        <v>0.41139780312690694</v>
      </c>
      <c r="BR185" s="21">
        <f>EXP(-LN(2)/2)*BR184+(1-EXP(-LN(2)/2))/(LN(2)/2)*BL185*BO185*VLOOKUP('Données projet'!$B$11,Paramètres!$A$1:$I$89,3,0)*0.475*44/12</f>
        <v>2.8526334221859816E-22</v>
      </c>
      <c r="BS185" s="22">
        <f t="shared" si="169"/>
        <v>0.77118960580597573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1277.6923076923067</v>
      </c>
      <c r="BZ185" s="13">
        <f>BY185*VLOOKUP('Données projet'!$B$12,Paramètres!$A$1:$I$89,3,0)*VLOOKUP('Données projet'!$B$12,Paramètres!$A$1:$I$89,5,0)</f>
        <v>614.5699999999996</v>
      </c>
      <c r="CA185" s="13">
        <f t="shared" si="170"/>
        <v>134.13240620831178</v>
      </c>
      <c r="CB185" s="20">
        <f t="shared" si="171"/>
        <v>1303.9900241461421</v>
      </c>
      <c r="CC185" s="59">
        <f t="shared" si="119"/>
        <v>1597.3233574794754</v>
      </c>
      <c r="CD185" s="59">
        <f ca="1">AVERAGE(OFFSET($CC$3,0,0,'Données projet'!$E$12+1,1))-AVERAGE(OFFSET($H$3,0,0,'Données projet'!$E$12+1,1))</f>
        <v>304.15237106473313</v>
      </c>
      <c r="CE185" s="59">
        <f t="shared" si="148"/>
        <v>120.85458928724336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255.5374979188561</v>
      </c>
      <c r="T186" s="59">
        <f t="shared" si="142"/>
        <v>343.10418468620901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0.14929081757155571</v>
      </c>
      <c r="AA186" s="21">
        <f>EXP(-LN(2)/25)*AA185+(1-EXP(-LN(2)/25))/(LN(2)/25)*Calculateur!V186*Calculateur!X186*VLOOKUP('Données projet'!$B$9,Paramètres!$A$1:$I$89,3,0)*0.475*44/12</f>
        <v>0.22947552113196204</v>
      </c>
      <c r="AB186" s="21">
        <f>EXP(-LN(2)/2)*AB185+(1-EXP(-LN(2)/2))/(LN(2)/2)*V186*Y186*VLOOKUP('Données projet'!$B$9,Paramètres!$A$1:$I$89,3,0)*0.475*44/12</f>
        <v>1.5840651185072893E-23</v>
      </c>
      <c r="AC186" s="22">
        <f t="shared" si="163"/>
        <v>0.37876633870351772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5.6843418860808015E-13</v>
      </c>
      <c r="AJ186" s="13">
        <f>AI186*VLOOKUP('Données projet'!$B$10,Paramètres!$A$1:$I$89,3,0)*VLOOKUP('Données projet'!$B$10,Paramètres!$A$1:$I$89,5,0)</f>
        <v>3.1036506698001181E-13</v>
      </c>
      <c r="AK186" s="13">
        <f t="shared" si="164"/>
        <v>4.086682523110923E-12</v>
      </c>
      <c r="AL186" s="20">
        <f t="shared" si="165"/>
        <v>7.6581912194083782E-12</v>
      </c>
      <c r="AM186" s="59">
        <f t="shared" si="113"/>
        <v>293.33333333334099</v>
      </c>
      <c r="AN186" s="59">
        <f ca="1">AVERAGE(OFFSET($AM$3,0,0,'Données projet'!$E$10+1,1))-AVERAGE(OFFSET($H$3,0,0,'Données projet'!$E$10+1,1))</f>
        <v>248.1486444660062</v>
      </c>
      <c r="AO186" s="59">
        <f t="shared" si="144"/>
        <v>293.34458072322127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0.41152592235984026</v>
      </c>
      <c r="AV186" s="21">
        <f>EXP(-LN(2)/25)*AV185+(1-EXP(-LN(2)/25))/(LN(2)/25)*Calculateur!AQ186*Calculateur!AS186*VLOOKUP('Données projet'!$B$10,Paramètres!$A$1:$I$89,3,0)*0.475*44/12</f>
        <v>0.48939230869107531</v>
      </c>
      <c r="AW186" s="21">
        <f>EXP(-LN(2)/2)*AW185+(1-EXP(-LN(2)/2))/(LN(2)/2)*AQ186*AT186*VLOOKUP('Données projet'!$B$10,Paramètres!$A$1:$I$89,3,0)*0.475*44/12</f>
        <v>2.3566923936791933E-22</v>
      </c>
      <c r="AX186" s="21">
        <f t="shared" si="166"/>
        <v>0.90091823105091562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210.04871822652808</v>
      </c>
      <c r="BJ186" s="59">
        <f t="shared" si="146"/>
        <v>250.17540614049324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0.35273650487986291</v>
      </c>
      <c r="BQ186" s="21">
        <f>EXP(-LN(2)/25)*BQ185+(1-EXP(-LN(2)/25))/(LN(2)/25)*Calculateur!BL186*Calculateur!BN186*VLOOKUP('Données projet'!$B$11,Paramètres!$A$1:$I$89,3,0)*0.475*44/12</f>
        <v>0.40014810856593147</v>
      </c>
      <c r="BR186" s="21">
        <f>EXP(-LN(2)/2)*BR185+(1-EXP(-LN(2)/2))/(LN(2)/2)*BL186*BO186*VLOOKUP('Données projet'!$B$11,Paramètres!$A$1:$I$89,3,0)*0.475*44/12</f>
        <v>2.0171164370670952E-22</v>
      </c>
      <c r="BS186" s="22">
        <f t="shared" si="169"/>
        <v>0.75288461344579438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1277.6923076923067</v>
      </c>
      <c r="BZ186" s="13">
        <f>BY186*VLOOKUP('Données projet'!$B$12,Paramètres!$A$1:$I$89,3,0)*VLOOKUP('Données projet'!$B$12,Paramètres!$A$1:$I$89,5,0)</f>
        <v>614.5699999999996</v>
      </c>
      <c r="CA186" s="13">
        <f t="shared" si="170"/>
        <v>134.13240620831178</v>
      </c>
      <c r="CB186" s="20">
        <f t="shared" si="171"/>
        <v>1303.9900241461421</v>
      </c>
      <c r="CC186" s="59">
        <f t="shared" si="119"/>
        <v>1597.3233574794754</v>
      </c>
      <c r="CD186" s="59">
        <f ca="1">AVERAGE(OFFSET($CC$3,0,0,'Données projet'!$E$12+1,1))-AVERAGE(OFFSET($H$3,0,0,'Données projet'!$E$12+1,1))</f>
        <v>304.15237106473313</v>
      </c>
      <c r="CE186" s="59">
        <f t="shared" si="148"/>
        <v>120.85458928724336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255.5374979188561</v>
      </c>
      <c r="T187" s="59">
        <f t="shared" si="142"/>
        <v>343.10418468620901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0.14636331569738495</v>
      </c>
      <c r="AA187" s="21">
        <f>EXP(-LN(2)/25)*AA186+(1-EXP(-LN(2)/25))/(LN(2)/25)*Calculateur!V187*Calculateur!X187*VLOOKUP('Données projet'!$B$9,Paramètres!$A$1:$I$89,3,0)*0.475*44/12</f>
        <v>0.22320050093901536</v>
      </c>
      <c r="AB187" s="21">
        <f>EXP(-LN(2)/2)*AB186+(1-EXP(-LN(2)/2))/(LN(2)/2)*V187*Y187*VLOOKUP('Données projet'!$B$9,Paramètres!$A$1:$I$89,3,0)*0.475*44/12</f>
        <v>1.1201031871375763E-23</v>
      </c>
      <c r="AC187" s="22">
        <f t="shared" si="163"/>
        <v>0.36956381663640031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5.6843418860808015E-13</v>
      </c>
      <c r="AJ187" s="13">
        <f>AI187*VLOOKUP('Données projet'!$B$10,Paramètres!$A$1:$I$89,3,0)*VLOOKUP('Données projet'!$B$10,Paramètres!$A$1:$I$89,5,0)</f>
        <v>3.1036506698001181E-13</v>
      </c>
      <c r="AK187" s="13">
        <f t="shared" si="164"/>
        <v>4.086682523110923E-12</v>
      </c>
      <c r="AL187" s="20">
        <f t="shared" si="165"/>
        <v>7.6581912194083782E-12</v>
      </c>
      <c r="AM187" s="59">
        <f t="shared" si="113"/>
        <v>293.33333333334099</v>
      </c>
      <c r="AN187" s="59">
        <f ca="1">AVERAGE(OFFSET($AM$3,0,0,'Données projet'!$E$10+1,1))-AVERAGE(OFFSET($H$3,0,0,'Données projet'!$E$10+1,1))</f>
        <v>248.1486444660062</v>
      </c>
      <c r="AO187" s="59">
        <f t="shared" si="144"/>
        <v>293.34458072322127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0.40345615002839164</v>
      </c>
      <c r="AV187" s="21">
        <f>EXP(-LN(2)/25)*AV186+(1-EXP(-LN(2)/25))/(LN(2)/25)*Calculateur!AQ187*Calculateur!AS187*VLOOKUP('Données projet'!$B$10,Paramètres!$A$1:$I$89,3,0)*0.475*44/12</f>
        <v>0.47600985027389486</v>
      </c>
      <c r="AW187" s="21">
        <f>EXP(-LN(2)/2)*AW186+(1-EXP(-LN(2)/2))/(LN(2)/2)*AQ187*AT187*VLOOKUP('Données projet'!$B$10,Paramètres!$A$1:$I$89,3,0)*0.475*44/12</f>
        <v>1.6664331727413142E-22</v>
      </c>
      <c r="AX187" s="21">
        <f t="shared" si="166"/>
        <v>0.8794660003022865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210.04871822652808</v>
      </c>
      <c r="BJ187" s="59">
        <f t="shared" si="146"/>
        <v>250.17540614049324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0.34581955716719265</v>
      </c>
      <c r="BQ187" s="21">
        <f>EXP(-LN(2)/25)*BQ186+(1-EXP(-LN(2)/25))/(LN(2)/25)*Calculateur!BL187*Calculateur!BN187*VLOOKUP('Données projet'!$B$11,Paramètres!$A$1:$I$89,3,0)*0.475*44/12</f>
        <v>0.38920603749432159</v>
      </c>
      <c r="BR187" s="21">
        <f>EXP(-LN(2)/2)*BR186+(1-EXP(-LN(2)/2))/(LN(2)/2)*BL187*BO187*VLOOKUP('Données projet'!$B$11,Paramètres!$A$1:$I$89,3,0)*0.475*44/12</f>
        <v>1.4263167110929908E-22</v>
      </c>
      <c r="BS187" s="22">
        <f t="shared" si="169"/>
        <v>0.73502559466151429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1277.6923076923067</v>
      </c>
      <c r="BZ187" s="13">
        <f>BY187*VLOOKUP('Données projet'!$B$12,Paramètres!$A$1:$I$89,3,0)*VLOOKUP('Données projet'!$B$12,Paramètres!$A$1:$I$89,5,0)</f>
        <v>614.5699999999996</v>
      </c>
      <c r="CA187" s="13">
        <f t="shared" si="170"/>
        <v>134.13240620831178</v>
      </c>
      <c r="CB187" s="20">
        <f t="shared" si="171"/>
        <v>1303.9900241461421</v>
      </c>
      <c r="CC187" s="59">
        <f t="shared" si="119"/>
        <v>1597.3233574794754</v>
      </c>
      <c r="CD187" s="59">
        <f ca="1">AVERAGE(OFFSET($CC$3,0,0,'Données projet'!$E$12+1,1))-AVERAGE(OFFSET($H$3,0,0,'Données projet'!$E$12+1,1))</f>
        <v>304.15237106473313</v>
      </c>
      <c r="CE187" s="59">
        <f t="shared" si="148"/>
        <v>120.85458928724336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255.5374979188561</v>
      </c>
      <c r="T188" s="59">
        <f t="shared" si="142"/>
        <v>343.10418468620901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0.14349322034936685</v>
      </c>
      <c r="AA188" s="21">
        <f>EXP(-LN(2)/25)*AA187+(1-EXP(-LN(2)/25))/(LN(2)/25)*Calculateur!V188*Calculateur!X188*VLOOKUP('Données projet'!$B$9,Paramètres!$A$1:$I$89,3,0)*0.475*44/12</f>
        <v>0.21709707150323376</v>
      </c>
      <c r="AB188" s="21">
        <f>EXP(-LN(2)/2)*AB187+(1-EXP(-LN(2)/2))/(LN(2)/2)*V188*Y188*VLOOKUP('Données projet'!$B$9,Paramètres!$A$1:$I$89,3,0)*0.475*44/12</f>
        <v>7.9203255925364467E-24</v>
      </c>
      <c r="AC188" s="22">
        <f t="shared" si="163"/>
        <v>0.36059029185260061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5.6843418860808015E-13</v>
      </c>
      <c r="AJ188" s="13">
        <f>AI188*VLOOKUP('Données projet'!$B$10,Paramètres!$A$1:$I$89,3,0)*VLOOKUP('Données projet'!$B$10,Paramètres!$A$1:$I$89,5,0)</f>
        <v>3.1036506698001181E-13</v>
      </c>
      <c r="AK188" s="13">
        <f t="shared" si="164"/>
        <v>4.086682523110923E-12</v>
      </c>
      <c r="AL188" s="20">
        <f t="shared" si="165"/>
        <v>7.6581912194083782E-12</v>
      </c>
      <c r="AM188" s="59">
        <f t="shared" si="113"/>
        <v>293.33333333334099</v>
      </c>
      <c r="AN188" s="59">
        <f ca="1">AVERAGE(OFFSET($AM$3,0,0,'Données projet'!$E$10+1,1))-AVERAGE(OFFSET($H$3,0,0,'Données projet'!$E$10+1,1))</f>
        <v>248.1486444660062</v>
      </c>
      <c r="AO188" s="59">
        <f t="shared" si="144"/>
        <v>293.34458072322127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0.39554462101028764</v>
      </c>
      <c r="AV188" s="21">
        <f>EXP(-LN(2)/25)*AV187+(1-EXP(-LN(2)/25))/(LN(2)/25)*Calculateur!AQ188*Calculateur!AS188*VLOOKUP('Données projet'!$B$10,Paramètres!$A$1:$I$89,3,0)*0.475*44/12</f>
        <v>0.46299333588588509</v>
      </c>
      <c r="AW188" s="21">
        <f>EXP(-LN(2)/2)*AW187+(1-EXP(-LN(2)/2))/(LN(2)/2)*AQ188*AT188*VLOOKUP('Données projet'!$B$10,Paramètres!$A$1:$I$89,3,0)*0.475*44/12</f>
        <v>1.1783461968395966E-22</v>
      </c>
      <c r="AX188" s="21">
        <f t="shared" si="166"/>
        <v>0.85853795689617274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210.04871822652808</v>
      </c>
      <c r="BJ188" s="59">
        <f t="shared" si="146"/>
        <v>250.17540614049324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0.33903824658024634</v>
      </c>
      <c r="BQ188" s="21">
        <f>EXP(-LN(2)/25)*BQ187+(1-EXP(-LN(2)/25))/(LN(2)/25)*Calculateur!BL188*Calculateur!BN188*VLOOKUP('Données projet'!$B$11,Paramètres!$A$1:$I$89,3,0)*0.475*44/12</f>
        <v>0.37856317793158339</v>
      </c>
      <c r="BR188" s="21">
        <f>EXP(-LN(2)/2)*BR187+(1-EXP(-LN(2)/2))/(LN(2)/2)*BL188*BO188*VLOOKUP('Données projet'!$B$11,Paramètres!$A$1:$I$89,3,0)*0.475*44/12</f>
        <v>1.0085582185335476E-22</v>
      </c>
      <c r="BS188" s="22">
        <f t="shared" si="169"/>
        <v>0.71760142451182973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1277.6923076923067</v>
      </c>
      <c r="BZ188" s="13">
        <f>BY188*VLOOKUP('Données projet'!$B$12,Paramètres!$A$1:$I$89,3,0)*VLOOKUP('Données projet'!$B$12,Paramètres!$A$1:$I$89,5,0)</f>
        <v>614.5699999999996</v>
      </c>
      <c r="CA188" s="13">
        <f t="shared" si="170"/>
        <v>134.13240620831178</v>
      </c>
      <c r="CB188" s="20">
        <f t="shared" si="171"/>
        <v>1303.9900241461421</v>
      </c>
      <c r="CC188" s="59">
        <f t="shared" si="119"/>
        <v>1597.3233574794754</v>
      </c>
      <c r="CD188" s="59">
        <f ca="1">AVERAGE(OFFSET($CC$3,0,0,'Données projet'!$E$12+1,1))-AVERAGE(OFFSET($H$3,0,0,'Données projet'!$E$12+1,1))</f>
        <v>304.15237106473313</v>
      </c>
      <c r="CE188" s="59">
        <f t="shared" si="148"/>
        <v>120.85458928724336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255.5374979188561</v>
      </c>
      <c r="T189" s="59">
        <f t="shared" si="142"/>
        <v>343.10418468620901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0.14067940582053806</v>
      </c>
      <c r="AA189" s="21">
        <f>EXP(-LN(2)/25)*AA188+(1-EXP(-LN(2)/25))/(LN(2)/25)*Calculateur!V189*Calculateur!X189*VLOOKUP('Données projet'!$B$9,Paramètres!$A$1:$I$89,3,0)*0.475*44/12</f>
        <v>0.21116054066633902</v>
      </c>
      <c r="AB189" s="21">
        <f>EXP(-LN(2)/2)*AB188+(1-EXP(-LN(2)/2))/(LN(2)/2)*V189*Y189*VLOOKUP('Données projet'!$B$9,Paramètres!$A$1:$I$89,3,0)*0.475*44/12</f>
        <v>5.6005159356878817E-24</v>
      </c>
      <c r="AC189" s="22">
        <f t="shared" si="163"/>
        <v>0.35183994648687711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5.6843418860808015E-13</v>
      </c>
      <c r="AJ189" s="13">
        <f>AI189*VLOOKUP('Données projet'!$B$10,Paramètres!$A$1:$I$89,3,0)*VLOOKUP('Données projet'!$B$10,Paramètres!$A$1:$I$89,5,0)</f>
        <v>3.1036506698001181E-13</v>
      </c>
      <c r="AK189" s="13">
        <f t="shared" si="164"/>
        <v>4.086682523110923E-12</v>
      </c>
      <c r="AL189" s="20">
        <f t="shared" si="165"/>
        <v>7.6581912194083782E-12</v>
      </c>
      <c r="AM189" s="59">
        <f t="shared" si="113"/>
        <v>293.33333333334099</v>
      </c>
      <c r="AN189" s="59">
        <f ca="1">AVERAGE(OFFSET($AM$3,0,0,'Données projet'!$E$10+1,1))-AVERAGE(OFFSET($H$3,0,0,'Données projet'!$E$10+1,1))</f>
        <v>248.1486444660062</v>
      </c>
      <c r="AO189" s="59">
        <f t="shared" si="144"/>
        <v>293.34458072322127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0.38778823225067244</v>
      </c>
      <c r="AV189" s="21">
        <f>EXP(-LN(2)/25)*AV188+(1-EXP(-LN(2)/25))/(LN(2)/25)*Calculateur!AQ189*Calculateur!AS189*VLOOKUP('Données projet'!$B$10,Paramètres!$A$1:$I$89,3,0)*0.475*44/12</f>
        <v>0.45033275876832424</v>
      </c>
      <c r="AW189" s="21">
        <f>EXP(-LN(2)/2)*AW188+(1-EXP(-LN(2)/2))/(LN(2)/2)*AQ189*AT189*VLOOKUP('Données projet'!$B$10,Paramètres!$A$1:$I$89,3,0)*0.475*44/12</f>
        <v>8.3321658637065712E-23</v>
      </c>
      <c r="AX189" s="21">
        <f t="shared" si="166"/>
        <v>0.83812099101899662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210.04871822652808</v>
      </c>
      <c r="BJ189" s="59">
        <f t="shared" si="146"/>
        <v>250.17540614049324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0.332389913357719</v>
      </c>
      <c r="BQ189" s="21">
        <f>EXP(-LN(2)/25)*BQ188+(1-EXP(-LN(2)/25))/(LN(2)/25)*Calculateur!BL189*Calculateur!BN189*VLOOKUP('Données projet'!$B$11,Paramètres!$A$1:$I$89,3,0)*0.475*44/12</f>
        <v>0.36821134792327193</v>
      </c>
      <c r="BR189" s="21">
        <f>EXP(-LN(2)/2)*BR188+(1-EXP(-LN(2)/2))/(LN(2)/2)*BL189*BO189*VLOOKUP('Données projet'!$B$11,Paramètres!$A$1:$I$89,3,0)*0.475*44/12</f>
        <v>7.1315835554649541E-23</v>
      </c>
      <c r="BS189" s="22">
        <f t="shared" si="169"/>
        <v>0.70060126128099087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1277.6923076923067</v>
      </c>
      <c r="BZ189" s="13">
        <f>BY189*VLOOKUP('Données projet'!$B$12,Paramètres!$A$1:$I$89,3,0)*VLOOKUP('Données projet'!$B$12,Paramètres!$A$1:$I$89,5,0)</f>
        <v>614.5699999999996</v>
      </c>
      <c r="CA189" s="13">
        <f t="shared" si="170"/>
        <v>134.13240620831178</v>
      </c>
      <c r="CB189" s="20">
        <f t="shared" si="171"/>
        <v>1303.9900241461421</v>
      </c>
      <c r="CC189" s="59">
        <f t="shared" si="119"/>
        <v>1597.3233574794754</v>
      </c>
      <c r="CD189" s="59">
        <f ca="1">AVERAGE(OFFSET($CC$3,0,0,'Données projet'!$E$12+1,1))-AVERAGE(OFFSET($H$3,0,0,'Données projet'!$E$12+1,1))</f>
        <v>304.15237106473313</v>
      </c>
      <c r="CE189" s="59">
        <f t="shared" si="148"/>
        <v>120.85458928724336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255.5374979188561</v>
      </c>
      <c r="T190" s="59">
        <f t="shared" si="142"/>
        <v>343.10418468620901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0.13792076847836224</v>
      </c>
      <c r="AA190" s="21">
        <f>EXP(-LN(2)/25)*AA189+(1-EXP(-LN(2)/25))/(LN(2)/25)*Calculateur!V190*Calculateur!X190*VLOOKUP('Données projet'!$B$9,Paramètres!$A$1:$I$89,3,0)*0.475*44/12</f>
        <v>0.20538634457736776</v>
      </c>
      <c r="AB190" s="21">
        <f>EXP(-LN(2)/2)*AB189+(1-EXP(-LN(2)/2))/(LN(2)/2)*V190*Y190*VLOOKUP('Données projet'!$B$9,Paramètres!$A$1:$I$89,3,0)*0.475*44/12</f>
        <v>3.9601627962682233E-24</v>
      </c>
      <c r="AC190" s="22">
        <f t="shared" si="163"/>
        <v>0.34330711305573003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5.6843418860808015E-13</v>
      </c>
      <c r="AJ190" s="13">
        <f>AI190*VLOOKUP('Données projet'!$B$10,Paramètres!$A$1:$I$89,3,0)*VLOOKUP('Données projet'!$B$10,Paramètres!$A$1:$I$89,5,0)</f>
        <v>3.1036506698001181E-13</v>
      </c>
      <c r="AK190" s="13">
        <f t="shared" si="164"/>
        <v>4.086682523110923E-12</v>
      </c>
      <c r="AL190" s="20">
        <f t="shared" si="165"/>
        <v>7.6581912194083782E-12</v>
      </c>
      <c r="AM190" s="59">
        <f t="shared" si="113"/>
        <v>293.33333333334099</v>
      </c>
      <c r="AN190" s="59">
        <f ca="1">AVERAGE(OFFSET($AM$3,0,0,'Données projet'!$E$10+1,1))-AVERAGE(OFFSET($H$3,0,0,'Données projet'!$E$10+1,1))</f>
        <v>248.1486444660062</v>
      </c>
      <c r="AO190" s="59">
        <f t="shared" si="144"/>
        <v>293.34458072322127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0.38018394154370327</v>
      </c>
      <c r="AV190" s="21">
        <f>EXP(-LN(2)/25)*AV189+(1-EXP(-LN(2)/25))/(LN(2)/25)*Calculateur!AQ190*Calculateur!AS190*VLOOKUP('Données projet'!$B$10,Paramètres!$A$1:$I$89,3,0)*0.475*44/12</f>
        <v>0.43801838579783386</v>
      </c>
      <c r="AW190" s="21">
        <f>EXP(-LN(2)/2)*AW189+(1-EXP(-LN(2)/2))/(LN(2)/2)*AQ190*AT190*VLOOKUP('Données projet'!$B$10,Paramètres!$A$1:$I$89,3,0)*0.475*44/12</f>
        <v>5.8917309841979832E-23</v>
      </c>
      <c r="AX190" s="21">
        <f t="shared" si="166"/>
        <v>0.81820232734153708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210.04871822652808</v>
      </c>
      <c r="BJ190" s="59">
        <f t="shared" si="146"/>
        <v>250.17540614049324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0.32587194989460261</v>
      </c>
      <c r="BQ190" s="21">
        <f>EXP(-LN(2)/25)*BQ189+(1-EXP(-LN(2)/25))/(LN(2)/25)*Calculateur!BL190*Calculateur!BN190*VLOOKUP('Données projet'!$B$11,Paramètres!$A$1:$I$89,3,0)*0.475*44/12</f>
        <v>0.3581425892509168</v>
      </c>
      <c r="BR190" s="21">
        <f>EXP(-LN(2)/2)*BR189+(1-EXP(-LN(2)/2))/(LN(2)/2)*BL190*BO190*VLOOKUP('Données projet'!$B$11,Paramètres!$A$1:$I$89,3,0)*0.475*44/12</f>
        <v>5.0427910926677379E-23</v>
      </c>
      <c r="BS190" s="22">
        <f t="shared" si="169"/>
        <v>0.68401453914551946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1277.6923076923067</v>
      </c>
      <c r="BZ190" s="13">
        <f>BY190*VLOOKUP('Données projet'!$B$12,Paramètres!$A$1:$I$89,3,0)*VLOOKUP('Données projet'!$B$12,Paramètres!$A$1:$I$89,5,0)</f>
        <v>614.5699999999996</v>
      </c>
      <c r="CA190" s="13">
        <f t="shared" si="170"/>
        <v>134.13240620831178</v>
      </c>
      <c r="CB190" s="20">
        <f t="shared" si="171"/>
        <v>1303.9900241461421</v>
      </c>
      <c r="CC190" s="59">
        <f t="shared" si="119"/>
        <v>1597.3233574794754</v>
      </c>
      <c r="CD190" s="59">
        <f ca="1">AVERAGE(OFFSET($CC$3,0,0,'Données projet'!$E$12+1,1))-AVERAGE(OFFSET($H$3,0,0,'Données projet'!$E$12+1,1))</f>
        <v>304.15237106473313</v>
      </c>
      <c r="CE190" s="59">
        <f t="shared" si="148"/>
        <v>120.85458928724336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255.5374979188561</v>
      </c>
      <c r="T191" s="59">
        <f t="shared" si="142"/>
        <v>343.10418468620901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0.13521622633186384</v>
      </c>
      <c r="AA191" s="21">
        <f>EXP(-LN(2)/25)*AA190+(1-EXP(-LN(2)/25))/(LN(2)/25)*Calculateur!V191*Calculateur!X191*VLOOKUP('Données projet'!$B$9,Paramètres!$A$1:$I$89,3,0)*0.475*44/12</f>
        <v>0.19977004418410119</v>
      </c>
      <c r="AB191" s="21">
        <f>EXP(-LN(2)/2)*AB190+(1-EXP(-LN(2)/2))/(LN(2)/2)*V191*Y191*VLOOKUP('Données projet'!$B$9,Paramètres!$A$1:$I$89,3,0)*0.475*44/12</f>
        <v>2.8002579678439408E-24</v>
      </c>
      <c r="AC191" s="22">
        <f t="shared" si="163"/>
        <v>0.33498627051596502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5.6843418860808015E-13</v>
      </c>
      <c r="AJ191" s="13">
        <f>AI191*VLOOKUP('Données projet'!$B$10,Paramètres!$A$1:$I$89,3,0)*VLOOKUP('Données projet'!$B$10,Paramètres!$A$1:$I$89,5,0)</f>
        <v>3.1036506698001181E-13</v>
      </c>
      <c r="AK191" s="13">
        <f t="shared" si="164"/>
        <v>4.086682523110923E-12</v>
      </c>
      <c r="AL191" s="20">
        <f t="shared" si="165"/>
        <v>7.6581912194083782E-12</v>
      </c>
      <c r="AM191" s="59">
        <f t="shared" si="113"/>
        <v>293.33333333334099</v>
      </c>
      <c r="AN191" s="59">
        <f ca="1">AVERAGE(OFFSET($AM$3,0,0,'Données projet'!$E$10+1,1))-AVERAGE(OFFSET($H$3,0,0,'Données projet'!$E$10+1,1))</f>
        <v>248.1486444660062</v>
      </c>
      <c r="AO191" s="59">
        <f t="shared" si="144"/>
        <v>293.34458072322127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0.37272876633933844</v>
      </c>
      <c r="AV191" s="21">
        <f>EXP(-LN(2)/25)*AV190+(1-EXP(-LN(2)/25))/(LN(2)/25)*Calculateur!AQ191*Calculateur!AS191*VLOOKUP('Données projet'!$B$10,Paramètres!$A$1:$I$89,3,0)*0.475*44/12</f>
        <v>0.42604075000380631</v>
      </c>
      <c r="AW191" s="21">
        <f>EXP(-LN(2)/2)*AW190+(1-EXP(-LN(2)/2))/(LN(2)/2)*AQ191*AT191*VLOOKUP('Données projet'!$B$10,Paramètres!$A$1:$I$89,3,0)*0.475*44/12</f>
        <v>4.1660829318532856E-23</v>
      </c>
      <c r="AX191" s="21">
        <f t="shared" si="166"/>
        <v>0.79876951634314475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210.04871822652808</v>
      </c>
      <c r="BJ191" s="59">
        <f t="shared" si="146"/>
        <v>250.17540614049324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0.31948179971943275</v>
      </c>
      <c r="BQ191" s="21">
        <f>EXP(-LN(2)/25)*BQ190+(1-EXP(-LN(2)/25))/(LN(2)/25)*Calculateur!BL191*Calculateur!BN191*VLOOKUP('Données projet'!$B$11,Paramètres!$A$1:$I$89,3,0)*0.475*44/12</f>
        <v>0.34834916131395027</v>
      </c>
      <c r="BR191" s="21">
        <f>EXP(-LN(2)/2)*BR190+(1-EXP(-LN(2)/2))/(LN(2)/2)*BL191*BO191*VLOOKUP('Données projet'!$B$11,Paramètres!$A$1:$I$89,3,0)*0.475*44/12</f>
        <v>3.565791777732477E-23</v>
      </c>
      <c r="BS191" s="22">
        <f t="shared" si="169"/>
        <v>0.66783096103338302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1277.6923076923067</v>
      </c>
      <c r="BZ191" s="13">
        <f>BY191*VLOOKUP('Données projet'!$B$12,Paramètres!$A$1:$I$89,3,0)*VLOOKUP('Données projet'!$B$12,Paramètres!$A$1:$I$89,5,0)</f>
        <v>614.5699999999996</v>
      </c>
      <c r="CA191" s="13">
        <f t="shared" si="170"/>
        <v>134.13240620831178</v>
      </c>
      <c r="CB191" s="20">
        <f t="shared" si="171"/>
        <v>1303.9900241461421</v>
      </c>
      <c r="CC191" s="59">
        <f t="shared" si="119"/>
        <v>1597.3233574794754</v>
      </c>
      <c r="CD191" s="59">
        <f ca="1">AVERAGE(OFFSET($CC$3,0,0,'Données projet'!$E$12+1,1))-AVERAGE(OFFSET($H$3,0,0,'Données projet'!$E$12+1,1))</f>
        <v>304.15237106473313</v>
      </c>
      <c r="CE191" s="59">
        <f t="shared" si="148"/>
        <v>120.85458928724336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255.5374979188561</v>
      </c>
      <c r="T192" s="59">
        <f t="shared" si="142"/>
        <v>343.10418468620901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0.13256471860725044</v>
      </c>
      <c r="AA192" s="21">
        <f>EXP(-LN(2)/25)*AA191+(1-EXP(-LN(2)/25))/(LN(2)/25)*Calculateur!V192*Calculateur!X192*VLOOKUP('Données projet'!$B$9,Paramètres!$A$1:$I$89,3,0)*0.475*44/12</f>
        <v>0.19430732182043689</v>
      </c>
      <c r="AB192" s="21">
        <f>EXP(-LN(2)/2)*AB191+(1-EXP(-LN(2)/2))/(LN(2)/2)*V192*Y192*VLOOKUP('Données projet'!$B$9,Paramètres!$A$1:$I$89,3,0)*0.475*44/12</f>
        <v>1.9800813981341117E-24</v>
      </c>
      <c r="AC192" s="22">
        <f t="shared" si="163"/>
        <v>0.32687204042768736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5.6843418860808015E-13</v>
      </c>
      <c r="AJ192" s="13">
        <f>AI192*VLOOKUP('Données projet'!$B$10,Paramètres!$A$1:$I$89,3,0)*VLOOKUP('Données projet'!$B$10,Paramètres!$A$1:$I$89,5,0)</f>
        <v>3.1036506698001181E-13</v>
      </c>
      <c r="AK192" s="13">
        <f t="shared" si="164"/>
        <v>4.086682523110923E-12</v>
      </c>
      <c r="AL192" s="20">
        <f t="shared" si="165"/>
        <v>7.6581912194083782E-12</v>
      </c>
      <c r="AM192" s="59">
        <f t="shared" si="113"/>
        <v>293.33333333334099</v>
      </c>
      <c r="AN192" s="59">
        <f ca="1">AVERAGE(OFFSET($AM$3,0,0,'Données projet'!$E$10+1,1))-AVERAGE(OFFSET($H$3,0,0,'Données projet'!$E$10+1,1))</f>
        <v>248.1486444660062</v>
      </c>
      <c r="AO192" s="59">
        <f t="shared" si="144"/>
        <v>293.34458072322127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0.36541978257352331</v>
      </c>
      <c r="AV192" s="21">
        <f>EXP(-LN(2)/25)*AV191+(1-EXP(-LN(2)/25))/(LN(2)/25)*Calculateur!AQ192*Calculateur!AS192*VLOOKUP('Données projet'!$B$10,Paramètres!$A$1:$I$89,3,0)*0.475*44/12</f>
        <v>0.41439064329044289</v>
      </c>
      <c r="AW192" s="21">
        <f>EXP(-LN(2)/2)*AW191+(1-EXP(-LN(2)/2))/(LN(2)/2)*AQ192*AT192*VLOOKUP('Données projet'!$B$10,Paramètres!$A$1:$I$89,3,0)*0.475*44/12</f>
        <v>2.9458654920989916E-23</v>
      </c>
      <c r="AX192" s="21">
        <f t="shared" si="166"/>
        <v>0.77981042586396621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210.04871822652808</v>
      </c>
      <c r="BJ192" s="59">
        <f t="shared" si="146"/>
        <v>250.17540614049324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0.3132169564915912</v>
      </c>
      <c r="BQ192" s="21">
        <f>EXP(-LN(2)/25)*BQ191+(1-EXP(-LN(2)/25))/(LN(2)/25)*Calculateur!BL192*Calculateur!BN192*VLOOKUP('Données projet'!$B$11,Paramètres!$A$1:$I$89,3,0)*0.475*44/12</f>
        <v>0.3388235351789341</v>
      </c>
      <c r="BR192" s="21">
        <f>EXP(-LN(2)/2)*BR191+(1-EXP(-LN(2)/2))/(LN(2)/2)*BL192*BO192*VLOOKUP('Données projet'!$B$11,Paramètres!$A$1:$I$89,3,0)*0.475*44/12</f>
        <v>2.521395546333869E-23</v>
      </c>
      <c r="BS192" s="22">
        <f t="shared" si="169"/>
        <v>0.65204049167052536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1277.6923076923067</v>
      </c>
      <c r="BZ192" s="13">
        <f>BY192*VLOOKUP('Données projet'!$B$12,Paramètres!$A$1:$I$89,3,0)*VLOOKUP('Données projet'!$B$12,Paramètres!$A$1:$I$89,5,0)</f>
        <v>614.5699999999996</v>
      </c>
      <c r="CA192" s="13">
        <f t="shared" si="170"/>
        <v>134.13240620831178</v>
      </c>
      <c r="CB192" s="20">
        <f t="shared" si="171"/>
        <v>1303.9900241461421</v>
      </c>
      <c r="CC192" s="59">
        <f t="shared" si="119"/>
        <v>1597.3233574794754</v>
      </c>
      <c r="CD192" s="59">
        <f ca="1">AVERAGE(OFFSET($CC$3,0,0,'Données projet'!$E$12+1,1))-AVERAGE(OFFSET($H$3,0,0,'Données projet'!$E$12+1,1))</f>
        <v>304.15237106473313</v>
      </c>
      <c r="CE192" s="59">
        <f t="shared" si="148"/>
        <v>120.85458928724336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255.5374979188561</v>
      </c>
      <c r="T193" s="59">
        <f t="shared" si="142"/>
        <v>343.10418468620901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0.12996520533185671</v>
      </c>
      <c r="AA193" s="21">
        <f>EXP(-LN(2)/25)*AA192+(1-EXP(-LN(2)/25))/(LN(2)/25)*Calculateur!V193*Calculateur!X193*VLOOKUP('Données projet'!$B$9,Paramètres!$A$1:$I$89,3,0)*0.475*44/12</f>
        <v>0.18899397788707908</v>
      </c>
      <c r="AB193" s="21">
        <f>EXP(-LN(2)/2)*AB192+(1-EXP(-LN(2)/2))/(LN(2)/2)*V193*Y193*VLOOKUP('Données projet'!$B$9,Paramètres!$A$1:$I$89,3,0)*0.475*44/12</f>
        <v>1.4001289839219704E-24</v>
      </c>
      <c r="AC193" s="22">
        <f t="shared" si="163"/>
        <v>0.31895918321893579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5.6843418860808015E-13</v>
      </c>
      <c r="AJ193" s="13">
        <f>AI193*VLOOKUP('Données projet'!$B$10,Paramètres!$A$1:$I$89,3,0)*VLOOKUP('Données projet'!$B$10,Paramètres!$A$1:$I$89,5,0)</f>
        <v>3.1036506698001181E-13</v>
      </c>
      <c r="AK193" s="13">
        <f t="shared" si="164"/>
        <v>4.086682523110923E-12</v>
      </c>
      <c r="AL193" s="20">
        <f t="shared" si="165"/>
        <v>7.6581912194083782E-12</v>
      </c>
      <c r="AM193" s="59">
        <f t="shared" si="113"/>
        <v>293.33333333334099</v>
      </c>
      <c r="AN193" s="59">
        <f ca="1">AVERAGE(OFFSET($AM$3,0,0,'Données projet'!$E$10+1,1))-AVERAGE(OFFSET($H$3,0,0,'Données projet'!$E$10+1,1))</f>
        <v>248.1486444660062</v>
      </c>
      <c r="AO193" s="59">
        <f t="shared" si="144"/>
        <v>293.34458072322127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0.35825412352131591</v>
      </c>
      <c r="AV193" s="21">
        <f>EXP(-LN(2)/25)*AV192+(1-EXP(-LN(2)/25))/(LN(2)/25)*Calculateur!AQ193*Calculateur!AS193*VLOOKUP('Données projet'!$B$10,Paramètres!$A$1:$I$89,3,0)*0.475*44/12</f>
        <v>0.40305910935780892</v>
      </c>
      <c r="AW193" s="21">
        <f>EXP(-LN(2)/2)*AW192+(1-EXP(-LN(2)/2))/(LN(2)/2)*AQ193*AT193*VLOOKUP('Données projet'!$B$10,Paramètres!$A$1:$I$89,3,0)*0.475*44/12</f>
        <v>2.0830414659266428E-23</v>
      </c>
      <c r="AX193" s="21">
        <f t="shared" si="166"/>
        <v>0.76131323287912478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210.04871822652808</v>
      </c>
      <c r="BJ193" s="59">
        <f t="shared" si="146"/>
        <v>250.17540614049324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0.30707496301827059</v>
      </c>
      <c r="BQ193" s="21">
        <f>EXP(-LN(2)/25)*BQ192+(1-EXP(-LN(2)/25))/(LN(2)/25)*Calculateur!BL193*Calculateur!BN193*VLOOKUP('Données projet'!$B$11,Paramètres!$A$1:$I$89,3,0)*0.475*44/12</f>
        <v>0.32955838779151081</v>
      </c>
      <c r="BR193" s="21">
        <f>EXP(-LN(2)/2)*BR192+(1-EXP(-LN(2)/2))/(LN(2)/2)*BL193*BO193*VLOOKUP('Données projet'!$B$11,Paramètres!$A$1:$I$89,3,0)*0.475*44/12</f>
        <v>1.7828958888662385E-23</v>
      </c>
      <c r="BS193" s="22">
        <f t="shared" si="169"/>
        <v>0.63663335080978145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1277.6923076923067</v>
      </c>
      <c r="BZ193" s="13">
        <f>BY193*VLOOKUP('Données projet'!$B$12,Paramètres!$A$1:$I$89,3,0)*VLOOKUP('Données projet'!$B$12,Paramètres!$A$1:$I$89,5,0)</f>
        <v>614.5699999999996</v>
      </c>
      <c r="CA193" s="13">
        <f t="shared" si="170"/>
        <v>134.13240620831178</v>
      </c>
      <c r="CB193" s="20">
        <f t="shared" si="171"/>
        <v>1303.9900241461421</v>
      </c>
      <c r="CC193" s="59">
        <f t="shared" si="119"/>
        <v>1597.3233574794754</v>
      </c>
      <c r="CD193" s="59">
        <f ca="1">AVERAGE(OFFSET($CC$3,0,0,'Données projet'!$E$12+1,1))-AVERAGE(OFFSET($H$3,0,0,'Données projet'!$E$12+1,1))</f>
        <v>304.15237106473313</v>
      </c>
      <c r="CE193" s="59">
        <f t="shared" si="148"/>
        <v>120.85458928724336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255.5374979188561</v>
      </c>
      <c r="T194" s="59">
        <f t="shared" si="142"/>
        <v>343.10418468620901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0.1274166669262469</v>
      </c>
      <c r="AA194" s="21">
        <f>EXP(-LN(2)/25)*AA193+(1-EXP(-LN(2)/25))/(LN(2)/25)*Calculateur!V194*Calculateur!X194*VLOOKUP('Données projet'!$B$9,Paramètres!$A$1:$I$89,3,0)*0.475*44/12</f>
        <v>0.18382592762299557</v>
      </c>
      <c r="AB194" s="21">
        <f>EXP(-LN(2)/2)*AB193+(1-EXP(-LN(2)/2))/(LN(2)/2)*V194*Y194*VLOOKUP('Données projet'!$B$9,Paramètres!$A$1:$I$89,3,0)*0.475*44/12</f>
        <v>9.9004069906705584E-25</v>
      </c>
      <c r="AC194" s="22">
        <f t="shared" si="163"/>
        <v>0.31124259454924247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5.6843418860808015E-13</v>
      </c>
      <c r="AJ194" s="13">
        <f>AI194*VLOOKUP('Données projet'!$B$10,Paramètres!$A$1:$I$89,3,0)*VLOOKUP('Données projet'!$B$10,Paramètres!$A$1:$I$89,5,0)</f>
        <v>3.1036506698001181E-13</v>
      </c>
      <c r="AK194" s="13">
        <f t="shared" si="164"/>
        <v>4.086682523110923E-12</v>
      </c>
      <c r="AL194" s="20">
        <f t="shared" si="165"/>
        <v>7.6581912194083782E-12</v>
      </c>
      <c r="AM194" s="59">
        <f t="shared" si="113"/>
        <v>293.33333333334099</v>
      </c>
      <c r="AN194" s="59">
        <f ca="1">AVERAGE(OFFSET($AM$3,0,0,'Données projet'!$E$10+1,1))-AVERAGE(OFFSET($H$3,0,0,'Données projet'!$E$10+1,1))</f>
        <v>248.1486444660062</v>
      </c>
      <c r="AO194" s="59">
        <f t="shared" si="144"/>
        <v>293.34458072322127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0.35122897867250186</v>
      </c>
      <c r="AV194" s="21">
        <f>EXP(-LN(2)/25)*AV193+(1-EXP(-LN(2)/25))/(LN(2)/25)*Calculateur!AQ194*Calculateur!AS194*VLOOKUP('Données projet'!$B$10,Paramètres!$A$1:$I$89,3,0)*0.475*44/12</f>
        <v>0.3920374368164623</v>
      </c>
      <c r="AW194" s="21">
        <f>EXP(-LN(2)/2)*AW193+(1-EXP(-LN(2)/2))/(LN(2)/2)*AQ194*AT194*VLOOKUP('Données projet'!$B$10,Paramètres!$A$1:$I$89,3,0)*0.475*44/12</f>
        <v>1.4729327460494958E-23</v>
      </c>
      <c r="AX194" s="21">
        <f t="shared" si="166"/>
        <v>0.74326641548896411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210.04871822652808</v>
      </c>
      <c r="BJ194" s="59">
        <f t="shared" si="146"/>
        <v>250.17540614049324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0.3010534102907157</v>
      </c>
      <c r="BQ194" s="21">
        <f>EXP(-LN(2)/25)*BQ193+(1-EXP(-LN(2)/25))/(LN(2)/25)*Calculateur!BL194*Calculateur!BN194*VLOOKUP('Données projet'!$B$11,Paramètres!$A$1:$I$89,3,0)*0.475*44/12</f>
        <v>0.32054659634662958</v>
      </c>
      <c r="BR194" s="21">
        <f>EXP(-LN(2)/2)*BR193+(1-EXP(-LN(2)/2))/(LN(2)/2)*BL194*BO194*VLOOKUP('Données projet'!$B$11,Paramètres!$A$1:$I$89,3,0)*0.475*44/12</f>
        <v>1.2606977731669345E-23</v>
      </c>
      <c r="BS194" s="22">
        <f t="shared" si="169"/>
        <v>0.62160000663734527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1277.6923076923067</v>
      </c>
      <c r="BZ194" s="13">
        <f>BY194*VLOOKUP('Données projet'!$B$12,Paramètres!$A$1:$I$89,3,0)*VLOOKUP('Données projet'!$B$12,Paramètres!$A$1:$I$89,5,0)</f>
        <v>614.5699999999996</v>
      </c>
      <c r="CA194" s="13">
        <f t="shared" si="170"/>
        <v>134.13240620831178</v>
      </c>
      <c r="CB194" s="20">
        <f t="shared" si="171"/>
        <v>1303.9900241461421</v>
      </c>
      <c r="CC194" s="59">
        <f t="shared" si="119"/>
        <v>1597.3233574794754</v>
      </c>
      <c r="CD194" s="59">
        <f ca="1">AVERAGE(OFFSET($CC$3,0,0,'Données projet'!$E$12+1,1))-AVERAGE(OFFSET($H$3,0,0,'Données projet'!$E$12+1,1))</f>
        <v>304.15237106473313</v>
      </c>
      <c r="CE194" s="59">
        <f t="shared" si="148"/>
        <v>120.85458928724336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255.5374979188561</v>
      </c>
      <c r="T195" s="59">
        <f t="shared" si="142"/>
        <v>343.10418468620901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0.12491810380431616</v>
      </c>
      <c r="AA195" s="21">
        <f>EXP(-LN(2)/25)*AA194+(1-EXP(-LN(2)/25))/(LN(2)/25)*Calculateur!V195*Calculateur!X195*VLOOKUP('Données projet'!$B$9,Paramètres!$A$1:$I$89,3,0)*0.475*44/12</f>
        <v>0.17879919796515936</v>
      </c>
      <c r="AB195" s="21">
        <f>EXP(-LN(2)/2)*AB194+(1-EXP(-LN(2)/2))/(LN(2)/2)*V195*Y195*VLOOKUP('Données projet'!$B$9,Paramètres!$A$1:$I$89,3,0)*0.475*44/12</f>
        <v>7.0006449196098521E-25</v>
      </c>
      <c r="AC195" s="22">
        <f t="shared" si="163"/>
        <v>0.30371730176947553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5.6843418860808015E-13</v>
      </c>
      <c r="AJ195" s="13">
        <f>AI195*VLOOKUP('Données projet'!$B$10,Paramètres!$A$1:$I$89,3,0)*VLOOKUP('Données projet'!$B$10,Paramètres!$A$1:$I$89,5,0)</f>
        <v>3.1036506698001181E-13</v>
      </c>
      <c r="AK195" s="13">
        <f t="shared" si="164"/>
        <v>4.086682523110923E-12</v>
      </c>
      <c r="AL195" s="20">
        <f t="shared" si="165"/>
        <v>7.6581912194083782E-12</v>
      </c>
      <c r="AM195" s="59">
        <f t="shared" si="113"/>
        <v>293.33333333334099</v>
      </c>
      <c r="AN195" s="59">
        <f ca="1">AVERAGE(OFFSET($AM$3,0,0,'Données projet'!$E$10+1,1))-AVERAGE(OFFSET($H$3,0,0,'Données projet'!$E$10+1,1))</f>
        <v>248.1486444660062</v>
      </c>
      <c r="AO195" s="59">
        <f t="shared" si="144"/>
        <v>293.34458072322127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0.34434159262925779</v>
      </c>
      <c r="AV195" s="21">
        <f>EXP(-LN(2)/25)*AV194+(1-EXP(-LN(2)/25))/(LN(2)/25)*Calculateur!AQ195*Calculateur!AS195*VLOOKUP('Données projet'!$B$10,Paramètres!$A$1:$I$89,3,0)*0.475*44/12</f>
        <v>0.38131715249036335</v>
      </c>
      <c r="AW195" s="21">
        <f>EXP(-LN(2)/2)*AW194+(1-EXP(-LN(2)/2))/(LN(2)/2)*AQ195*AT195*VLOOKUP('Données projet'!$B$10,Paramètres!$A$1:$I$89,3,0)*0.475*44/12</f>
        <v>1.0415207329633214E-23</v>
      </c>
      <c r="AX195" s="21">
        <f t="shared" si="166"/>
        <v>0.72565874511962114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210.04871822652808</v>
      </c>
      <c r="BJ195" s="59">
        <f t="shared" si="146"/>
        <v>250.17540614049324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0.29514993653936361</v>
      </c>
      <c r="BQ195" s="21">
        <f>EXP(-LN(2)/25)*BQ194+(1-EXP(-LN(2)/25))/(LN(2)/25)*Calculateur!BL195*Calculateur!BN195*VLOOKUP('Données projet'!$B$11,Paramètres!$A$1:$I$89,3,0)*0.475*44/12</f>
        <v>0.31178123281271813</v>
      </c>
      <c r="BR195" s="21">
        <f>EXP(-LN(2)/2)*BR194+(1-EXP(-LN(2)/2))/(LN(2)/2)*BL195*BO195*VLOOKUP('Données projet'!$B$11,Paramètres!$A$1:$I$89,3,0)*0.475*44/12</f>
        <v>8.9144794443311926E-24</v>
      </c>
      <c r="BS195" s="22">
        <f t="shared" si="169"/>
        <v>0.6069311693520818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1277.6923076923067</v>
      </c>
      <c r="BZ195" s="13">
        <f>BY195*VLOOKUP('Données projet'!$B$12,Paramètres!$A$1:$I$89,3,0)*VLOOKUP('Données projet'!$B$12,Paramètres!$A$1:$I$89,5,0)</f>
        <v>614.5699999999996</v>
      </c>
      <c r="CA195" s="13">
        <f t="shared" si="170"/>
        <v>134.13240620831178</v>
      </c>
      <c r="CB195" s="20">
        <f t="shared" si="171"/>
        <v>1303.9900241461421</v>
      </c>
      <c r="CC195" s="59">
        <f t="shared" si="119"/>
        <v>1597.3233574794754</v>
      </c>
      <c r="CD195" s="59">
        <f ca="1">AVERAGE(OFFSET($CC$3,0,0,'Données projet'!$E$12+1,1))-AVERAGE(OFFSET($H$3,0,0,'Données projet'!$E$12+1,1))</f>
        <v>304.15237106473313</v>
      </c>
      <c r="CE195" s="59">
        <f t="shared" si="148"/>
        <v>120.85458928724336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255.5374979188561</v>
      </c>
      <c r="T196" s="59">
        <f t="shared" si="142"/>
        <v>343.10418468620901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0.12246853598123346</v>
      </c>
      <c r="AA196" s="21">
        <f>EXP(-LN(2)/25)*AA195+(1-EXP(-LN(2)/25))/(LN(2)/25)*Calculateur!V196*Calculateur!X196*VLOOKUP('Données projet'!$B$9,Paramètres!$A$1:$I$89,3,0)*0.475*44/12</f>
        <v>0.1739099244941609</v>
      </c>
      <c r="AB196" s="21">
        <f>EXP(-LN(2)/2)*AB195+(1-EXP(-LN(2)/2))/(LN(2)/2)*V196*Y196*VLOOKUP('Données projet'!$B$9,Paramètres!$A$1:$I$89,3,0)*0.475*44/12</f>
        <v>4.9502034953352792E-25</v>
      </c>
      <c r="AC196" s="22">
        <f t="shared" si="163"/>
        <v>0.29637846047539435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5.6843418860808015E-13</v>
      </c>
      <c r="AJ196" s="13">
        <f>AI196*VLOOKUP('Données projet'!$B$10,Paramètres!$A$1:$I$89,3,0)*VLOOKUP('Données projet'!$B$10,Paramètres!$A$1:$I$89,5,0)</f>
        <v>3.1036506698001181E-13</v>
      </c>
      <c r="AK196" s="13">
        <f t="shared" si="164"/>
        <v>4.086682523110923E-12</v>
      </c>
      <c r="AL196" s="20">
        <f t="shared" si="165"/>
        <v>7.6581912194083782E-12</v>
      </c>
      <c r="AM196" s="59">
        <f t="shared" ref="AM196:AM203" si="193">AL196+(AD196+AE196)*44/12</f>
        <v>293.33333333334099</v>
      </c>
      <c r="AN196" s="59">
        <f ca="1">AVERAGE(OFFSET($AM$3,0,0,'Données projet'!$E$10+1,1))-AVERAGE(OFFSET($H$3,0,0,'Données projet'!$E$10+1,1))</f>
        <v>248.1486444660062</v>
      </c>
      <c r="AO196" s="59">
        <f t="shared" si="144"/>
        <v>293.34458072322127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0.33758926402543105</v>
      </c>
      <c r="AV196" s="21">
        <f>EXP(-LN(2)/25)*AV195+(1-EXP(-LN(2)/25))/(LN(2)/25)*Calculateur!AQ196*Calculateur!AS196*VLOOKUP('Données projet'!$B$10,Paramètres!$A$1:$I$89,3,0)*0.475*44/12</f>
        <v>0.37089001490291684</v>
      </c>
      <c r="AW196" s="21">
        <f>EXP(-LN(2)/2)*AW195+(1-EXP(-LN(2)/2))/(LN(2)/2)*AQ196*AT196*VLOOKUP('Données projet'!$B$10,Paramètres!$A$1:$I$89,3,0)*0.475*44/12</f>
        <v>7.3646637302474789E-24</v>
      </c>
      <c r="AX196" s="21">
        <f t="shared" si="166"/>
        <v>0.70847927892834783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210.04871822652808</v>
      </c>
      <c r="BJ196" s="59">
        <f t="shared" si="146"/>
        <v>250.17540614049324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0.28936222630751213</v>
      </c>
      <c r="BQ196" s="21">
        <f>EXP(-LN(2)/25)*BQ195+(1-EXP(-LN(2)/25))/(LN(2)/25)*Calculateur!BL196*Calculateur!BN196*VLOOKUP('Données projet'!$B$11,Paramètres!$A$1:$I$89,3,0)*0.475*44/12</f>
        <v>0.30325555860559189</v>
      </c>
      <c r="BR196" s="21">
        <f>EXP(-LN(2)/2)*BR195+(1-EXP(-LN(2)/2))/(LN(2)/2)*BL196*BO196*VLOOKUP('Données projet'!$B$11,Paramètres!$A$1:$I$89,3,0)*0.475*44/12</f>
        <v>6.3034888658346724E-24</v>
      </c>
      <c r="BS196" s="22">
        <f t="shared" si="169"/>
        <v>0.59261778491310402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1277.6923076923067</v>
      </c>
      <c r="BZ196" s="13">
        <f>BY196*VLOOKUP('Données projet'!$B$12,Paramètres!$A$1:$I$89,3,0)*VLOOKUP('Données projet'!$B$12,Paramètres!$A$1:$I$89,5,0)</f>
        <v>614.5699999999996</v>
      </c>
      <c r="CA196" s="13">
        <f t="shared" si="170"/>
        <v>134.13240620831178</v>
      </c>
      <c r="CB196" s="20">
        <f t="shared" si="171"/>
        <v>1303.9900241461421</v>
      </c>
      <c r="CC196" s="59">
        <f t="shared" ref="CC196:CC203" si="195">CB196+(BT196+BU196)*44/12</f>
        <v>1597.3233574794754</v>
      </c>
      <c r="CD196" s="59">
        <f ca="1">AVERAGE(OFFSET($CC$3,0,0,'Données projet'!$E$12+1,1))-AVERAGE(OFFSET($H$3,0,0,'Données projet'!$E$12+1,1))</f>
        <v>304.15237106473313</v>
      </c>
      <c r="CE196" s="59">
        <f t="shared" si="148"/>
        <v>120.85458928724336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255.5374979188561</v>
      </c>
      <c r="T197" s="59">
        <f t="shared" ref="T197:T203" si="204">$T$3</f>
        <v>343.10418468620901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0.12006700268907256</v>
      </c>
      <c r="AA197" s="21">
        <f>EXP(-LN(2)/25)*AA196+(1-EXP(-LN(2)/25))/(LN(2)/25)*Calculateur!V197*Calculateur!X197*VLOOKUP('Données projet'!$B$9,Paramètres!$A$1:$I$89,3,0)*0.475*44/12</f>
        <v>0.16915434846334262</v>
      </c>
      <c r="AB197" s="21">
        <f>EXP(-LN(2)/2)*AB196+(1-EXP(-LN(2)/2))/(LN(2)/2)*V197*Y197*VLOOKUP('Données projet'!$B$9,Paramètres!$A$1:$I$89,3,0)*0.475*44/12</f>
        <v>3.500322459804926E-25</v>
      </c>
      <c r="AC197" s="22">
        <f t="shared" si="163"/>
        <v>0.28922135115241521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5.6843418860808015E-13</v>
      </c>
      <c r="AJ197" s="13">
        <f>AI197*VLOOKUP('Données projet'!$B$10,Paramètres!$A$1:$I$89,3,0)*VLOOKUP('Données projet'!$B$10,Paramètres!$A$1:$I$89,5,0)</f>
        <v>3.1036506698001181E-13</v>
      </c>
      <c r="AK197" s="13">
        <f t="shared" si="164"/>
        <v>4.086682523110923E-12</v>
      </c>
      <c r="AL197" s="20">
        <f t="shared" si="165"/>
        <v>7.6581912194083782E-12</v>
      </c>
      <c r="AM197" s="59">
        <f t="shared" si="193"/>
        <v>293.33333333334099</v>
      </c>
      <c r="AN197" s="59">
        <f ca="1">AVERAGE(OFFSET($AM$3,0,0,'Données projet'!$E$10+1,1))-AVERAGE(OFFSET($H$3,0,0,'Données projet'!$E$10+1,1))</f>
        <v>248.1486444660062</v>
      </c>
      <c r="AO197" s="59">
        <f t="shared" ref="AO197:AO203" si="205">$AO$3</f>
        <v>293.34458072322127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0.33096934446701154</v>
      </c>
      <c r="AV197" s="21">
        <f>EXP(-LN(2)/25)*AV196+(1-EXP(-LN(2)/25))/(LN(2)/25)*Calculateur!AQ197*Calculateur!AS197*VLOOKUP('Données projet'!$B$10,Paramètres!$A$1:$I$89,3,0)*0.475*44/12</f>
        <v>0.36074800794113837</v>
      </c>
      <c r="AW197" s="21">
        <f>EXP(-LN(2)/2)*AW196+(1-EXP(-LN(2)/2))/(LN(2)/2)*AQ197*AT197*VLOOKUP('Données projet'!$B$10,Paramètres!$A$1:$I$89,3,0)*0.475*44/12</f>
        <v>5.207603664816607E-24</v>
      </c>
      <c r="AX197" s="21">
        <f t="shared" si="166"/>
        <v>0.69171735240814991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210.04871822652808</v>
      </c>
      <c r="BJ197" s="59">
        <f t="shared" ref="BJ197:BJ203" si="206">$BJ$3</f>
        <v>250.17540614049324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0.2836880095431526</v>
      </c>
      <c r="BQ197" s="21">
        <f>EXP(-LN(2)/25)*BQ196+(1-EXP(-LN(2)/25))/(LN(2)/25)*Calculateur!BL197*Calculateur!BN197*VLOOKUP('Données projet'!$B$11,Paramètres!$A$1:$I$89,3,0)*0.475*44/12</f>
        <v>0.29496301940800523</v>
      </c>
      <c r="BR197" s="21">
        <f>EXP(-LN(2)/2)*BR196+(1-EXP(-LN(2)/2))/(LN(2)/2)*BL197*BO197*VLOOKUP('Données projet'!$B$11,Paramètres!$A$1:$I$89,3,0)*0.475*44/12</f>
        <v>4.4572397221655963E-24</v>
      </c>
      <c r="BS197" s="22">
        <f t="shared" si="169"/>
        <v>0.57865102895115783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1277.6923076923067</v>
      </c>
      <c r="BZ197" s="13">
        <f>BY197*VLOOKUP('Données projet'!$B$12,Paramètres!$A$1:$I$89,3,0)*VLOOKUP('Données projet'!$B$12,Paramètres!$A$1:$I$89,5,0)</f>
        <v>614.5699999999996</v>
      </c>
      <c r="CA197" s="13">
        <f t="shared" si="170"/>
        <v>134.13240620831178</v>
      </c>
      <c r="CB197" s="20">
        <f t="shared" si="171"/>
        <v>1303.9900241461421</v>
      </c>
      <c r="CC197" s="59">
        <f t="shared" si="195"/>
        <v>1597.3233574794754</v>
      </c>
      <c r="CD197" s="59">
        <f ca="1">AVERAGE(OFFSET($CC$3,0,0,'Données projet'!$E$12+1,1))-AVERAGE(OFFSET($H$3,0,0,'Données projet'!$E$12+1,1))</f>
        <v>304.15237106473313</v>
      </c>
      <c r="CE197" s="59">
        <f t="shared" ref="CE197:CE203" si="207">$CE$3</f>
        <v>120.85458928724336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255.5374979188561</v>
      </c>
      <c r="T198" s="59">
        <f t="shared" si="204"/>
        <v>343.10418468620901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0.11771256199998026</v>
      </c>
      <c r="AA198" s="21">
        <f>EXP(-LN(2)/25)*AA197+(1-EXP(-LN(2)/25))/(LN(2)/25)*Calculateur!V198*Calculateur!X198*VLOOKUP('Données projet'!$B$9,Paramètres!$A$1:$I$89,3,0)*0.475*44/12</f>
        <v>0.16452881390917193</v>
      </c>
      <c r="AB198" s="21">
        <f>EXP(-LN(2)/2)*AB197+(1-EXP(-LN(2)/2))/(LN(2)/2)*V198*Y198*VLOOKUP('Données projet'!$B$9,Paramètres!$A$1:$I$89,3,0)*0.475*44/12</f>
        <v>2.4751017476676396E-25</v>
      </c>
      <c r="AC198" s="22">
        <f t="shared" si="163"/>
        <v>0.28224137590915221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5.6843418860808015E-13</v>
      </c>
      <c r="AJ198" s="13">
        <f>AI198*VLOOKUP('Données projet'!$B$10,Paramètres!$A$1:$I$89,3,0)*VLOOKUP('Données projet'!$B$10,Paramètres!$A$1:$I$89,5,0)</f>
        <v>3.1036506698001181E-13</v>
      </c>
      <c r="AK198" s="13">
        <f t="shared" si="164"/>
        <v>4.086682523110923E-12</v>
      </c>
      <c r="AL198" s="20">
        <f t="shared" si="165"/>
        <v>7.6581912194083782E-12</v>
      </c>
      <c r="AM198" s="59">
        <f t="shared" si="193"/>
        <v>293.33333333334099</v>
      </c>
      <c r="AN198" s="59">
        <f ca="1">AVERAGE(OFFSET($AM$3,0,0,'Données projet'!$E$10+1,1))-AVERAGE(OFFSET($H$3,0,0,'Données projet'!$E$10+1,1))</f>
        <v>248.1486444660062</v>
      </c>
      <c r="AO198" s="59">
        <f t="shared" si="205"/>
        <v>293.34458072322127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0.32447923749338042</v>
      </c>
      <c r="AV198" s="21">
        <f>EXP(-LN(2)/25)*AV197+(1-EXP(-LN(2)/25))/(LN(2)/25)*Calculateur!AQ198*Calculateur!AS198*VLOOKUP('Données projet'!$B$10,Paramètres!$A$1:$I$89,3,0)*0.475*44/12</f>
        <v>0.3508833346930747</v>
      </c>
      <c r="AW198" s="21">
        <f>EXP(-LN(2)/2)*AW197+(1-EXP(-LN(2)/2))/(LN(2)/2)*AQ198*AT198*VLOOKUP('Données projet'!$B$10,Paramètres!$A$1:$I$89,3,0)*0.475*44/12</f>
        <v>3.6823318651237395E-24</v>
      </c>
      <c r="AX198" s="21">
        <f t="shared" si="166"/>
        <v>0.67536257218645512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210.04871822652808</v>
      </c>
      <c r="BJ198" s="59">
        <f t="shared" si="206"/>
        <v>250.17540614049324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0.27812506070861165</v>
      </c>
      <c r="BQ198" s="21">
        <f>EXP(-LN(2)/25)*BQ197+(1-EXP(-LN(2)/25))/(LN(2)/25)*Calculateur!BL198*Calculateur!BN198*VLOOKUP('Données projet'!$B$11,Paramètres!$A$1:$I$89,3,0)*0.475*44/12</f>
        <v>0.28689724013086226</v>
      </c>
      <c r="BR198" s="21">
        <f>EXP(-LN(2)/2)*BR197+(1-EXP(-LN(2)/2))/(LN(2)/2)*BL198*BO198*VLOOKUP('Données projet'!$B$11,Paramètres!$A$1:$I$89,3,0)*0.475*44/12</f>
        <v>3.1517444329173362E-24</v>
      </c>
      <c r="BS198" s="22">
        <f t="shared" si="169"/>
        <v>0.56502230083947391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1277.6923076923067</v>
      </c>
      <c r="BZ198" s="13">
        <f>BY198*VLOOKUP('Données projet'!$B$12,Paramètres!$A$1:$I$89,3,0)*VLOOKUP('Données projet'!$B$12,Paramètres!$A$1:$I$89,5,0)</f>
        <v>614.5699999999996</v>
      </c>
      <c r="CA198" s="13">
        <f t="shared" si="170"/>
        <v>134.13240620831178</v>
      </c>
      <c r="CB198" s="20">
        <f t="shared" si="171"/>
        <v>1303.9900241461421</v>
      </c>
      <c r="CC198" s="59">
        <f t="shared" si="195"/>
        <v>1597.3233574794754</v>
      </c>
      <c r="CD198" s="59">
        <f ca="1">AVERAGE(OFFSET($CC$3,0,0,'Données projet'!$E$12+1,1))-AVERAGE(OFFSET($H$3,0,0,'Données projet'!$E$12+1,1))</f>
        <v>304.15237106473313</v>
      </c>
      <c r="CE198" s="59">
        <f t="shared" si="207"/>
        <v>120.85458928724336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255.5374979188561</v>
      </c>
      <c r="T199" s="59">
        <f t="shared" si="204"/>
        <v>343.10418468620901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0.11540429045673405</v>
      </c>
      <c r="AA199" s="21">
        <f>EXP(-LN(2)/25)*AA198+(1-EXP(-LN(2)/25))/(LN(2)/25)*Calculateur!V199*Calculateur!X199*VLOOKUP('Données projet'!$B$9,Paramètres!$A$1:$I$89,3,0)*0.475*44/12</f>
        <v>0.16002976484063133</v>
      </c>
      <c r="AB199" s="21">
        <f>EXP(-LN(2)/2)*AB198+(1-EXP(-LN(2)/2))/(LN(2)/2)*V199*Y199*VLOOKUP('Données projet'!$B$9,Paramètres!$A$1:$I$89,3,0)*0.475*44/12</f>
        <v>1.750161229902463E-25</v>
      </c>
      <c r="AC199" s="22">
        <f t="shared" si="163"/>
        <v>0.27543405529736537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5.6843418860808015E-13</v>
      </c>
      <c r="AJ199" s="13">
        <f>AI199*VLOOKUP('Données projet'!$B$10,Paramètres!$A$1:$I$89,3,0)*VLOOKUP('Données projet'!$B$10,Paramètres!$A$1:$I$89,5,0)</f>
        <v>3.1036506698001181E-13</v>
      </c>
      <c r="AK199" s="13">
        <f t="shared" si="164"/>
        <v>4.086682523110923E-12</v>
      </c>
      <c r="AL199" s="20">
        <f t="shared" si="165"/>
        <v>7.6581912194083782E-12</v>
      </c>
      <c r="AM199" s="59">
        <f t="shared" si="193"/>
        <v>293.33333333334099</v>
      </c>
      <c r="AN199" s="59">
        <f ca="1">AVERAGE(OFFSET($AM$3,0,0,'Données projet'!$E$10+1,1))-AVERAGE(OFFSET($H$3,0,0,'Données projet'!$E$10+1,1))</f>
        <v>248.1486444660062</v>
      </c>
      <c r="AO199" s="59">
        <f t="shared" si="205"/>
        <v>293.34458072322127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0.31811639755892784</v>
      </c>
      <c r="AV199" s="21">
        <f>EXP(-LN(2)/25)*AV198+(1-EXP(-LN(2)/25))/(LN(2)/25)*Calculateur!AQ199*Calculateur!AS199*VLOOKUP('Données projet'!$B$10,Paramètres!$A$1:$I$89,3,0)*0.475*44/12</f>
        <v>0.34128841145373995</v>
      </c>
      <c r="AW199" s="21">
        <f>EXP(-LN(2)/2)*AW198+(1-EXP(-LN(2)/2))/(LN(2)/2)*AQ199*AT199*VLOOKUP('Données projet'!$B$10,Paramètres!$A$1:$I$89,3,0)*0.475*44/12</f>
        <v>2.6038018324083035E-24</v>
      </c>
      <c r="AX199" s="21">
        <f t="shared" si="166"/>
        <v>0.65940480901266785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210.04871822652808</v>
      </c>
      <c r="BJ199" s="59">
        <f t="shared" si="206"/>
        <v>250.17540614049324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0.27267119790765232</v>
      </c>
      <c r="BQ199" s="21">
        <f>EXP(-LN(2)/25)*BQ198+(1-EXP(-LN(2)/25))/(LN(2)/25)*Calculateur!BL199*Calculateur!BN199*VLOOKUP('Données projet'!$B$11,Paramètres!$A$1:$I$89,3,0)*0.475*44/12</f>
        <v>0.27905202001221369</v>
      </c>
      <c r="BR199" s="21">
        <f>EXP(-LN(2)/2)*BR198+(1-EXP(-LN(2)/2))/(LN(2)/2)*BL199*BO199*VLOOKUP('Données projet'!$B$11,Paramètres!$A$1:$I$89,3,0)*0.475*44/12</f>
        <v>2.2286198610827981E-24</v>
      </c>
      <c r="BS199" s="22">
        <f t="shared" si="169"/>
        <v>0.551723217919866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1277.6923076923067</v>
      </c>
      <c r="BZ199" s="13">
        <f>BY199*VLOOKUP('Données projet'!$B$12,Paramètres!$A$1:$I$89,3,0)*VLOOKUP('Données projet'!$B$12,Paramètres!$A$1:$I$89,5,0)</f>
        <v>614.5699999999996</v>
      </c>
      <c r="CA199" s="13">
        <f t="shared" si="170"/>
        <v>134.13240620831178</v>
      </c>
      <c r="CB199" s="20">
        <f t="shared" si="171"/>
        <v>1303.9900241461421</v>
      </c>
      <c r="CC199" s="59">
        <f t="shared" si="195"/>
        <v>1597.3233574794754</v>
      </c>
      <c r="CD199" s="59">
        <f ca="1">AVERAGE(OFFSET($CC$3,0,0,'Données projet'!$E$12+1,1))-AVERAGE(OFFSET($H$3,0,0,'Données projet'!$E$12+1,1))</f>
        <v>304.15237106473313</v>
      </c>
      <c r="CE199" s="59">
        <f t="shared" si="207"/>
        <v>120.85458928724336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255.5374979188561</v>
      </c>
      <c r="T200" s="59">
        <f t="shared" si="204"/>
        <v>343.10418468620901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0.11314128271054427</v>
      </c>
      <c r="AA200" s="21">
        <f>EXP(-LN(2)/25)*AA199+(1-EXP(-LN(2)/25))/(LN(2)/25)*Calculateur!V200*Calculateur!X200*VLOOKUP('Données projet'!$B$9,Paramètres!$A$1:$I$89,3,0)*0.475*44/12</f>
        <v>0.15565374250546468</v>
      </c>
      <c r="AB200" s="21">
        <f>EXP(-LN(2)/2)*AB199+(1-EXP(-LN(2)/2))/(LN(2)/2)*V200*Y200*VLOOKUP('Données projet'!$B$9,Paramètres!$A$1:$I$89,3,0)*0.475*44/12</f>
        <v>1.2375508738338198E-25</v>
      </c>
      <c r="AC200" s="22">
        <f t="shared" si="163"/>
        <v>0.26879502521600895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5.6843418860808015E-13</v>
      </c>
      <c r="AJ200" s="13">
        <f>AI200*VLOOKUP('Données projet'!$B$10,Paramètres!$A$1:$I$89,3,0)*VLOOKUP('Données projet'!$B$10,Paramètres!$A$1:$I$89,5,0)</f>
        <v>3.1036506698001181E-13</v>
      </c>
      <c r="AK200" s="13">
        <f t="shared" si="164"/>
        <v>4.086682523110923E-12</v>
      </c>
      <c r="AL200" s="20">
        <f t="shared" si="165"/>
        <v>7.6581912194083782E-12</v>
      </c>
      <c r="AM200" s="59">
        <f t="shared" si="193"/>
        <v>293.33333333334099</v>
      </c>
      <c r="AN200" s="59">
        <f ca="1">AVERAGE(OFFSET($AM$3,0,0,'Données projet'!$E$10+1,1))-AVERAGE(OFFSET($H$3,0,0,'Données projet'!$E$10+1,1))</f>
        <v>248.1486444660062</v>
      </c>
      <c r="AO200" s="59">
        <f t="shared" si="205"/>
        <v>293.34458072322127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0.31187832903464074</v>
      </c>
      <c r="AV200" s="21">
        <f>EXP(-LN(2)/25)*AV199+(1-EXP(-LN(2)/25))/(LN(2)/25)*Calculateur!AQ200*Calculateur!AS200*VLOOKUP('Données projet'!$B$10,Paramètres!$A$1:$I$89,3,0)*0.475*44/12</f>
        <v>0.3319558618949599</v>
      </c>
      <c r="AW200" s="21">
        <f>EXP(-LN(2)/2)*AW199+(1-EXP(-LN(2)/2))/(LN(2)/2)*AQ200*AT200*VLOOKUP('Données projet'!$B$10,Paramètres!$A$1:$I$89,3,0)*0.475*44/12</f>
        <v>1.8411659325618697E-24</v>
      </c>
      <c r="AX200" s="21">
        <f t="shared" si="166"/>
        <v>0.64383419092960059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210.04871822652808</v>
      </c>
      <c r="BJ200" s="59">
        <f t="shared" si="206"/>
        <v>250.17540614049324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0.26732428202969194</v>
      </c>
      <c r="BQ200" s="21">
        <f>EXP(-LN(2)/25)*BQ199+(1-EXP(-LN(2)/25))/(LN(2)/25)*Calculateur!BL200*Calculateur!BN200*VLOOKUP('Données projet'!$B$11,Paramètres!$A$1:$I$89,3,0)*0.475*44/12</f>
        <v>0.27142132785027173</v>
      </c>
      <c r="BR200" s="21">
        <f>EXP(-LN(2)/2)*BR199+(1-EXP(-LN(2)/2))/(LN(2)/2)*BL200*BO200*VLOOKUP('Données projet'!$B$11,Paramètres!$A$1:$I$89,3,0)*0.475*44/12</f>
        <v>1.5758722164586681E-24</v>
      </c>
      <c r="BS200" s="22">
        <f t="shared" si="169"/>
        <v>0.53874560987996367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1277.6923076923067</v>
      </c>
      <c r="BZ200" s="13">
        <f>BY200*VLOOKUP('Données projet'!$B$12,Paramètres!$A$1:$I$89,3,0)*VLOOKUP('Données projet'!$B$12,Paramètres!$A$1:$I$89,5,0)</f>
        <v>614.5699999999996</v>
      </c>
      <c r="CA200" s="13">
        <f t="shared" si="170"/>
        <v>134.13240620831178</v>
      </c>
      <c r="CB200" s="20">
        <f t="shared" si="171"/>
        <v>1303.9900241461421</v>
      </c>
      <c r="CC200" s="59">
        <f t="shared" si="195"/>
        <v>1597.3233574794754</v>
      </c>
      <c r="CD200" s="59">
        <f ca="1">AVERAGE(OFFSET($CC$3,0,0,'Données projet'!$E$12+1,1))-AVERAGE(OFFSET($H$3,0,0,'Données projet'!$E$12+1,1))</f>
        <v>304.15237106473313</v>
      </c>
      <c r="CE200" s="59">
        <f t="shared" si="207"/>
        <v>120.85458928724336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255.5374979188561</v>
      </c>
      <c r="T201" s="59">
        <f t="shared" si="204"/>
        <v>343.10418468620901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0.11092265116595884</v>
      </c>
      <c r="AA201" s="21">
        <f>EXP(-LN(2)/25)*AA200+(1-EXP(-LN(2)/25))/(LN(2)/25)*Calculateur!V201*Calculateur!X201*VLOOKUP('Données projet'!$B$9,Paramètres!$A$1:$I$89,3,0)*0.475*44/12</f>
        <v>0.15139738273117817</v>
      </c>
      <c r="AB201" s="21">
        <f>EXP(-LN(2)/2)*AB200+(1-EXP(-LN(2)/2))/(LN(2)/2)*V201*Y201*VLOOKUP('Données projet'!$B$9,Paramètres!$A$1:$I$89,3,0)*0.475*44/12</f>
        <v>8.7508061495123151E-26</v>
      </c>
      <c r="AC201" s="22">
        <f t="shared" si="163"/>
        <v>0.26232003389713698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5.6843418860808015E-13</v>
      </c>
      <c r="AJ201" s="13">
        <f>AI201*VLOOKUP('Données projet'!$B$10,Paramètres!$A$1:$I$89,3,0)*VLOOKUP('Données projet'!$B$10,Paramètres!$A$1:$I$89,5,0)</f>
        <v>3.1036506698001181E-13</v>
      </c>
      <c r="AK201" s="13">
        <f t="shared" si="164"/>
        <v>4.086682523110923E-12</v>
      </c>
      <c r="AL201" s="20">
        <f t="shared" si="165"/>
        <v>7.6581912194083782E-12</v>
      </c>
      <c r="AM201" s="59">
        <f t="shared" si="193"/>
        <v>293.33333333334099</v>
      </c>
      <c r="AN201" s="59">
        <f ca="1">AVERAGE(OFFSET($AM$3,0,0,'Données projet'!$E$10+1,1))-AVERAGE(OFFSET($H$3,0,0,'Données projet'!$E$10+1,1))</f>
        <v>248.1486444660062</v>
      </c>
      <c r="AO201" s="59">
        <f t="shared" si="205"/>
        <v>293.34458072322127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0.3057625852292688</v>
      </c>
      <c r="AV201" s="21">
        <f>EXP(-LN(2)/25)*AV200+(1-EXP(-LN(2)/25))/(LN(2)/25)*Calculateur!AQ201*Calculateur!AS201*VLOOKUP('Données projet'!$B$10,Paramètres!$A$1:$I$89,3,0)*0.475*44/12</f>
        <v>0.32287851139464213</v>
      </c>
      <c r="AW201" s="21">
        <f>EXP(-LN(2)/2)*AW200+(1-EXP(-LN(2)/2))/(LN(2)/2)*AQ201*AT201*VLOOKUP('Données projet'!$B$10,Paramètres!$A$1:$I$89,3,0)*0.475*44/12</f>
        <v>1.3019009162041517E-24</v>
      </c>
      <c r="AX201" s="21">
        <f t="shared" si="166"/>
        <v>0.62864109662391088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210.04871822652808</v>
      </c>
      <c r="BJ201" s="59">
        <f t="shared" si="206"/>
        <v>250.17540614049324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0.26208221591080172</v>
      </c>
      <c r="BQ201" s="21">
        <f>EXP(-LN(2)/25)*BQ200+(1-EXP(-LN(2)/25))/(LN(2)/25)*Calculateur!BL201*Calculateur!BN201*VLOOKUP('Données projet'!$B$11,Paramètres!$A$1:$I$89,3,0)*0.475*44/12</f>
        <v>0.26399929736677874</v>
      </c>
      <c r="BR201" s="21">
        <f>EXP(-LN(2)/2)*BR200+(1-EXP(-LN(2)/2))/(LN(2)/2)*BL201*BO201*VLOOKUP('Données projet'!$B$11,Paramètres!$A$1:$I$89,3,0)*0.475*44/12</f>
        <v>1.1143099305413991E-24</v>
      </c>
      <c r="BS201" s="22">
        <f t="shared" si="169"/>
        <v>0.52608151327758046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1277.6923076923067</v>
      </c>
      <c r="BZ201" s="13">
        <f>BY201*VLOOKUP('Données projet'!$B$12,Paramètres!$A$1:$I$89,3,0)*VLOOKUP('Données projet'!$B$12,Paramètres!$A$1:$I$89,5,0)</f>
        <v>614.5699999999996</v>
      </c>
      <c r="CA201" s="13">
        <f t="shared" si="170"/>
        <v>134.13240620831178</v>
      </c>
      <c r="CB201" s="20">
        <f t="shared" si="171"/>
        <v>1303.9900241461421</v>
      </c>
      <c r="CC201" s="59">
        <f t="shared" si="195"/>
        <v>1597.3233574794754</v>
      </c>
      <c r="CD201" s="59">
        <f ca="1">AVERAGE(OFFSET($CC$3,0,0,'Données projet'!$E$12+1,1))-AVERAGE(OFFSET($H$3,0,0,'Données projet'!$E$12+1,1))</f>
        <v>304.15237106473313</v>
      </c>
      <c r="CE201" s="59">
        <f t="shared" si="207"/>
        <v>120.85458928724336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255.5374979188561</v>
      </c>
      <c r="T202" s="59">
        <f t="shared" si="204"/>
        <v>343.10418468620901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0.10874752563273112</v>
      </c>
      <c r="AA202" s="21">
        <f>EXP(-LN(2)/25)*AA201+(1-EXP(-LN(2)/25))/(LN(2)/25)*Calculateur!V202*Calculateur!X202*VLOOKUP('Données projet'!$B$9,Paramètres!$A$1:$I$89,3,0)*0.475*44/12</f>
        <v>0.14725741333875178</v>
      </c>
      <c r="AB202" s="21">
        <f>EXP(-LN(2)/2)*AB201+(1-EXP(-LN(2)/2))/(LN(2)/2)*V202*Y202*VLOOKUP('Données projet'!$B$9,Paramètres!$A$1:$I$89,3,0)*0.475*44/12</f>
        <v>6.187754369169099E-26</v>
      </c>
      <c r="AC202" s="22">
        <f t="shared" si="163"/>
        <v>0.25600493897148291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5.6843418860808015E-13</v>
      </c>
      <c r="AJ202" s="13">
        <f>AI202*VLOOKUP('Données projet'!$B$10,Paramètres!$A$1:$I$89,3,0)*VLOOKUP('Données projet'!$B$10,Paramètres!$A$1:$I$89,5,0)</f>
        <v>3.1036506698001181E-13</v>
      </c>
      <c r="AK202" s="13">
        <f t="shared" si="164"/>
        <v>4.086682523110923E-12</v>
      </c>
      <c r="AL202" s="20">
        <f t="shared" si="165"/>
        <v>7.6581912194083782E-12</v>
      </c>
      <c r="AM202" s="59">
        <f t="shared" si="193"/>
        <v>293.33333333334099</v>
      </c>
      <c r="AN202" s="59">
        <f ca="1">AVERAGE(OFFSET($AM$3,0,0,'Données projet'!$E$10+1,1))-AVERAGE(OFFSET($H$3,0,0,'Données projet'!$E$10+1,1))</f>
        <v>248.1486444660062</v>
      </c>
      <c r="AO202" s="59">
        <f t="shared" si="205"/>
        <v>293.34458072322127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0.29976676742968478</v>
      </c>
      <c r="AV202" s="21">
        <f>EXP(-LN(2)/25)*AV201+(1-EXP(-LN(2)/25))/(LN(2)/25)*Calculateur!AQ202*Calculateur!AS202*VLOOKUP('Données projet'!$B$10,Paramètres!$A$1:$I$89,3,0)*0.475*44/12</f>
        <v>0.31404938152111267</v>
      </c>
      <c r="AW202" s="21">
        <f>EXP(-LN(2)/2)*AW201+(1-EXP(-LN(2)/2))/(LN(2)/2)*AQ202*AT202*VLOOKUP('Données projet'!$B$10,Paramètres!$A$1:$I$89,3,0)*0.475*44/12</f>
        <v>9.2058296628093487E-25</v>
      </c>
      <c r="AX202" s="21">
        <f t="shared" si="166"/>
        <v>0.61381614895079739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210.04871822652808</v>
      </c>
      <c r="BJ202" s="59">
        <f t="shared" si="206"/>
        <v>250.17540614049324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0.25694294351115832</v>
      </c>
      <c r="BQ202" s="21">
        <f>EXP(-LN(2)/25)*BQ201+(1-EXP(-LN(2)/25))/(LN(2)/25)*Calculateur!BL202*Calculateur!BN202*VLOOKUP('Données projet'!$B$11,Paramètres!$A$1:$I$89,3,0)*0.475*44/12</f>
        <v>0.2567802226971645</v>
      </c>
      <c r="BR202" s="21">
        <f>EXP(-LN(2)/2)*BR201+(1-EXP(-LN(2)/2))/(LN(2)/2)*BL202*BO202*VLOOKUP('Données projet'!$B$11,Paramètres!$A$1:$I$89,3,0)*0.475*44/12</f>
        <v>7.8793610822933405E-25</v>
      </c>
      <c r="BS202" s="22">
        <f t="shared" si="169"/>
        <v>0.51372316620832281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1277.6923076923067</v>
      </c>
      <c r="BZ202" s="13">
        <f>BY202*VLOOKUP('Données projet'!$B$12,Paramètres!$A$1:$I$89,3,0)*VLOOKUP('Données projet'!$B$12,Paramètres!$A$1:$I$89,5,0)</f>
        <v>614.5699999999996</v>
      </c>
      <c r="CA202" s="13">
        <f t="shared" si="170"/>
        <v>134.13240620831178</v>
      </c>
      <c r="CB202" s="20">
        <f t="shared" si="171"/>
        <v>1303.9900241461421</v>
      </c>
      <c r="CC202" s="59">
        <f t="shared" si="195"/>
        <v>1597.3233574794754</v>
      </c>
      <c r="CD202" s="59">
        <f ca="1">AVERAGE(OFFSET($CC$3,0,0,'Données projet'!$E$12+1,1))-AVERAGE(OFFSET($H$3,0,0,'Données projet'!$E$12+1,1))</f>
        <v>304.15237106473313</v>
      </c>
      <c r="CE202" s="59">
        <f t="shared" si="207"/>
        <v>120.85458928724336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255.5374979188561</v>
      </c>
      <c r="T203" s="59">
        <f t="shared" si="204"/>
        <v>343.10418468620901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0.1066150529845144</v>
      </c>
      <c r="AA203" s="21">
        <f>EXP(-LN(2)/25)*AA202+(1-EXP(-LN(2)/25))/(LN(2)/25)*Calculateur!V203*Calculateur!X203*VLOOKUP('Données projet'!$B$9,Paramètres!$A$1:$I$89,3,0)*0.475*44/12</f>
        <v>0.1432306516270728</v>
      </c>
      <c r="AB203" s="21">
        <f>EXP(-LN(2)/2)*AB202+(1-EXP(-LN(2)/2))/(LN(2)/2)*V203*Y203*VLOOKUP('Données projet'!$B$9,Paramètres!$A$1:$I$89,3,0)*0.475*44/12</f>
        <v>4.3754030747561575E-26</v>
      </c>
      <c r="AC203" s="22">
        <f t="shared" si="163"/>
        <v>0.2498457046115872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5.6843418860808015E-13</v>
      </c>
      <c r="AJ203" s="13">
        <f>AI203*VLOOKUP('Données projet'!$B$10,Paramètres!$A$1:$I$89,3,0)*VLOOKUP('Données projet'!$B$10,Paramètres!$A$1:$I$89,5,0)</f>
        <v>3.1036506698001181E-13</v>
      </c>
      <c r="AK203" s="13">
        <f t="shared" si="164"/>
        <v>4.086682523110923E-12</v>
      </c>
      <c r="AL203" s="20">
        <f t="shared" si="165"/>
        <v>7.6581912194083782E-12</v>
      </c>
      <c r="AM203" s="59">
        <f t="shared" si="193"/>
        <v>293.33333333334099</v>
      </c>
      <c r="AN203" s="59">
        <f ca="1">AVERAGE(OFFSET($AM$3,0,0,'Données projet'!$E$10+1,1))-AVERAGE(OFFSET($H$3,0,0,'Données projet'!$E$10+1,1))</f>
        <v>248.1486444660062</v>
      </c>
      <c r="AO203" s="59">
        <f t="shared" si="205"/>
        <v>293.34458072322127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0.29388852396006288</v>
      </c>
      <c r="AV203" s="21">
        <f>EXP(-LN(2)/25)*AV202+(1-EXP(-LN(2)/25))/(LN(2)/25)*Calculateur!AQ203*Calculateur!AS203*VLOOKUP('Données projet'!$B$10,Paramètres!$A$1:$I$89,3,0)*0.475*44/12</f>
        <v>0.30546168466827867</v>
      </c>
      <c r="AW203" s="21">
        <f>EXP(-LN(2)/2)*AW202+(1-EXP(-LN(2)/2))/(LN(2)/2)*AQ203*AT203*VLOOKUP('Données projet'!$B$10,Paramètres!$A$1:$I$89,3,0)*0.475*44/12</f>
        <v>6.5095045810207587E-25</v>
      </c>
      <c r="AX203" s="21">
        <f t="shared" si="166"/>
        <v>0.59935020862834154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210.04871822652808</v>
      </c>
      <c r="BJ203" s="59">
        <f t="shared" si="206"/>
        <v>250.17540614049324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0.25190444910862525</v>
      </c>
      <c r="BQ203" s="21">
        <f>EXP(-LN(2)/25)*BQ202+(1-EXP(-LN(2)/25))/(LN(2)/25)*Calculateur!BL203*Calculateur!BN203*VLOOKUP('Données projet'!$B$11,Paramètres!$A$1:$I$89,3,0)*0.475*44/12</f>
        <v>0.2497585540040255</v>
      </c>
      <c r="BR203" s="21">
        <f>EXP(-LN(2)/2)*BR202+(1-EXP(-LN(2)/2))/(LN(2)/2)*BL203*BO203*VLOOKUP('Données projet'!$B$11,Paramètres!$A$1:$I$89,3,0)*0.475*44/12</f>
        <v>5.5715496527069954E-25</v>
      </c>
      <c r="BS203" s="22">
        <f t="shared" si="169"/>
        <v>0.50166300311265077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1277.6923076923067</v>
      </c>
      <c r="BZ203" s="13">
        <f>BY203*VLOOKUP('Données projet'!$B$12,Paramètres!$A$1:$I$89,3,0)*VLOOKUP('Données projet'!$B$12,Paramètres!$A$1:$I$89,5,0)</f>
        <v>614.5699999999996</v>
      </c>
      <c r="CA203" s="13">
        <f t="shared" si="170"/>
        <v>134.13240620831178</v>
      </c>
      <c r="CB203" s="20">
        <f t="shared" si="171"/>
        <v>1303.9900241461421</v>
      </c>
      <c r="CC203" s="59">
        <f t="shared" si="195"/>
        <v>1597.3233574794754</v>
      </c>
      <c r="CD203" s="59">
        <f ca="1">AVERAGE(OFFSET($CC$3,0,0,'Données projet'!$E$12+1,1))-AVERAGE(OFFSET($H$3,0,0,'Données projet'!$E$12+1,1))</f>
        <v>304.15237106473313</v>
      </c>
      <c r="CE203" s="59">
        <f t="shared" si="207"/>
        <v>120.85458928724336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1.3477630745024085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1.4816888666071193</v>
      </c>
      <c r="BA205" s="82">
        <f>EXP(LN('Données projet'!B88)/'Données projet'!A88)</f>
        <v>1.4309690811052556</v>
      </c>
      <c r="BV205" s="82">
        <f>EXP(LN('Données projet'!B114)/'Données projet'!A114)</f>
        <v>1.1452412085359691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7.5810999999999993</v>
      </c>
      <c r="C6" s="147">
        <f ca="1">IF(OR('Données projet'!B9="",'Données projet'!C9="",'Données projet'!C9=0%),0,Calculateur!S3)</f>
        <v>255.5374979188561</v>
      </c>
      <c r="D6" s="147">
        <f>IF(OR('Données projet'!B9="",'Données projet'!C9="",'Données projet'!C9=0%),0,Calculateur!T3)</f>
        <v>343.10418468620901</v>
      </c>
      <c r="E6" s="147">
        <f ca="1">MIN(C6,D6)</f>
        <v>255.5374979188561</v>
      </c>
      <c r="F6" s="147">
        <f ca="1">E6*B6</f>
        <v>1937.2553254726399</v>
      </c>
      <c r="G6" s="147">
        <f ca="1">F6*(100%-'Données projet'!$C$24)*(100%-'Données projet'!$C$25)*(100%-'Données projet'!$C$26)*(100%-'Données projet'!$C$27)</f>
        <v>1743.5297929253759</v>
      </c>
      <c r="H6" s="148">
        <f>IF(OR('Données projet'!B9="",'Données projet'!C9="",'Données projet'!C9=0%),0,AVERAGE(Calculateur!$AC$3:$AC$33)*B6)</f>
        <v>80.969218912783532</v>
      </c>
      <c r="I6" s="149">
        <f>H6*(100%-'Données projet'!$C$24)*(100%-'Données projet'!$C$25)*(100%-'Données projet'!$C$26)*(100%-'Données projet'!$C$27)</f>
        <v>72.872297021505176</v>
      </c>
      <c r="J6" s="150">
        <f>IF(OR('Données projet'!B9="",'Données projet'!C9="",'Données projet'!C9=0%),0,SUM(Calculateur!$V$3:$V$33)*VLOOKUP('Données projet'!$B$9,Paramètres!$A$1:$I$89,9,0)*B6)</f>
        <v>579.0035966923075</v>
      </c>
      <c r="K6" s="151">
        <f>J6*(100%-'Données projet'!$C$24)*(100%-'Données projet'!$C$25)*(100%-'Données projet'!$C$26)*(100%-'Données projet'!$C$27)</f>
        <v>521.10323702307676</v>
      </c>
      <c r="L6" s="152">
        <f ca="1">G6+I6+K6</f>
        <v>2337.5053269699579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Mélèze hybride</v>
      </c>
      <c r="B7" s="154">
        <f>'Données projet'!D10</f>
        <v>2.4194999999999998</v>
      </c>
      <c r="C7" s="147">
        <f ca="1">IF(OR('Données projet'!B10="",'Données projet'!C10="",'Données projet'!C10=0%),0,Calculateur!AN3)</f>
        <v>248.1486444660062</v>
      </c>
      <c r="D7" s="147">
        <f>IF(OR('Données projet'!B10="",'Données projet'!C10="",'Données projet'!C10=0%),0,Calculateur!AO3)</f>
        <v>293.34458072322127</v>
      </c>
      <c r="E7" s="147">
        <f t="shared" ref="E7:E15" ca="1" si="0">MIN(C7,D7)</f>
        <v>248.1486444660062</v>
      </c>
      <c r="F7" s="147">
        <f t="shared" ref="F7:F15" ca="1" si="1">E7*B7</f>
        <v>600.39564528550193</v>
      </c>
      <c r="G7" s="147">
        <f ca="1">F7*(100%-'Données projet'!$C$24)*(100%-'Données projet'!$C$25)*(100%-'Données projet'!$C$26)*(100%-'Données projet'!$C$27)</f>
        <v>540.35608075695177</v>
      </c>
      <c r="H7" s="155">
        <f>IF(OR('Données projet'!B10="",'Données projet'!C10="",'Données projet'!C10=0%),0,AVERAGE(Calculateur!$AX$3:$AX$33)*B7)</f>
        <v>30.527596630196989</v>
      </c>
      <c r="I7" s="149">
        <f>H7*(100%-'Données projet'!$C$24)*(100%-'Données projet'!$C$25)*(100%-'Données projet'!$C$26)*(100%-'Données projet'!$C$27)</f>
        <v>27.474836967177289</v>
      </c>
      <c r="J7" s="150">
        <f>IF(OR('Données projet'!B10="",'Données projet'!C10="",'Données projet'!C10=0%),0,SUM(Calculateur!$AQ$3:$AQ$33)*VLOOKUP('Données projet'!$B$10,Paramètres!$A$1:$I$89,9,0)*B7)</f>
        <v>212.23853999999997</v>
      </c>
      <c r="K7" s="151">
        <f>J7*(100%-'Données projet'!$C$24)*(100%-'Données projet'!$C$25)*(100%-'Données projet'!$C$26)*(100%-'Données projet'!$C$27)</f>
        <v>191.01468599999998</v>
      </c>
      <c r="L7" s="152">
        <f t="shared" ref="L7:L15" ca="1" si="2">G7+I7+K7</f>
        <v>758.84560372412909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hybride</v>
      </c>
      <c r="B8" s="154">
        <f>'Données projet'!D11</f>
        <v>2.0968999999999998</v>
      </c>
      <c r="C8" s="147">
        <f ca="1">IF(OR('Données projet'!B11="",'Données projet'!C11="",'Données projet'!C11=0%),0,Calculateur!BI3)</f>
        <v>210.04871822652808</v>
      </c>
      <c r="D8" s="147">
        <f>IF(OR('Données projet'!B11="",'Données projet'!C11="",'Données projet'!C11=0%),0,Calculateur!BJ3)</f>
        <v>250.17540614049324</v>
      </c>
      <c r="E8" s="147">
        <f t="shared" ca="1" si="0"/>
        <v>210.04871822652808</v>
      </c>
      <c r="F8" s="147">
        <f t="shared" ca="1" si="1"/>
        <v>440.45115724920669</v>
      </c>
      <c r="G8" s="147">
        <f ca="1">F8*(100%-'Données projet'!$C$24)*(100%-'Données projet'!$C$25)*(100%-'Données projet'!$C$26)*(100%-'Données projet'!$C$27)</f>
        <v>396.40604152428602</v>
      </c>
      <c r="H8" s="155">
        <f>IF(OR('Données projet'!B11="",'Données projet'!C11="",'Données projet'!C11=0%),0,AVERAGE(Calculateur!$BS$3:$BS$33)*B8)</f>
        <v>19.936549466580917</v>
      </c>
      <c r="I8" s="149">
        <f>H8*(100%-'Données projet'!$C$24)*(100%-'Données projet'!$C$25)*(100%-'Données projet'!$C$26)*(100%-'Données projet'!$C$27)</f>
        <v>17.942894519922827</v>
      </c>
      <c r="J8" s="150">
        <f>IF(OR('Données projet'!B11="",'Données projet'!C11="",'Données projet'!C11=0%),0,SUM(Calculateur!$BL$3:$BL$33)*VLOOKUP('Données projet'!$B$11,Paramètres!$A$1:$I$89,9,0)*B8)</f>
        <v>148.77505499999998</v>
      </c>
      <c r="K8" s="151">
        <f>J8*(100%-'Données projet'!$C$24)*(100%-'Données projet'!$C$25)*(100%-'Données projet'!$C$26)*(100%-'Données projet'!$C$27)</f>
        <v>133.8975495</v>
      </c>
      <c r="L8" s="152">
        <f t="shared" ca="1" si="2"/>
        <v>548.24648554420889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Sapin méditerranéen</v>
      </c>
      <c r="B9" s="154">
        <f>'Données projet'!D12</f>
        <v>4.0324999999999998</v>
      </c>
      <c r="C9" s="147">
        <f ca="1">IF(OR('Données projet'!B12="",'Données projet'!C12="",'Données projet'!C12=0%),0,Calculateur!CD3)</f>
        <v>304.15237106473313</v>
      </c>
      <c r="D9" s="147">
        <f>IF(OR('Données projet'!B12="",'Données projet'!C12="",'Données projet'!C12=0%),0,Calculateur!CE3)</f>
        <v>120.85458928724336</v>
      </c>
      <c r="E9" s="147">
        <f t="shared" ca="1" si="0"/>
        <v>120.85458928724336</v>
      </c>
      <c r="F9" s="147">
        <f t="shared" ca="1" si="1"/>
        <v>487.34613130080879</v>
      </c>
      <c r="G9" s="147">
        <f ca="1">F9*(100%-'Données projet'!$C$24)*(100%-'Données projet'!$C$25)*(100%-'Données projet'!$C$26)*(100%-'Données projet'!$C$27)</f>
        <v>438.61151817072795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438.61151817072795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3465.448259308157</v>
      </c>
      <c r="G16" s="166">
        <f t="shared" ca="1" si="3"/>
        <v>3118.9034333773416</v>
      </c>
      <c r="H16" s="167">
        <f t="shared" si="3"/>
        <v>131.43336500956144</v>
      </c>
      <c r="I16" s="167">
        <f t="shared" si="3"/>
        <v>118.29002850860529</v>
      </c>
      <c r="J16" s="168">
        <f t="shared" si="3"/>
        <v>940.01719169230739</v>
      </c>
      <c r="K16" s="168">
        <f t="shared" si="3"/>
        <v>846.01547252307671</v>
      </c>
      <c r="L16" s="169">
        <f t="shared" ca="1" si="3"/>
        <v>4083.2089344090236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hybride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Sapin méditerranéen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1" zoomScale="80" zoomScaleNormal="80" workbookViewId="0">
      <selection activeCell="I24" sqref="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6125.153723513482</v>
      </c>
      <c r="U10" s="178">
        <f>'Données projet'!D9</f>
        <v>7.5810999999999993</v>
      </c>
      <c r="V10" s="177">
        <f>U10*T10</f>
        <v>46435.402893328057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hybride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815.4985846528067</v>
      </c>
      <c r="U11" s="178">
        <f>'Données projet'!D10</f>
        <v>2.4194999999999998</v>
      </c>
      <c r="V11" s="177">
        <f t="shared" ref="V11" si="0">U11*T11</f>
        <v>1973.0988255674656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hybride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466.11432897633546</v>
      </c>
      <c r="U12" s="178">
        <f>'Données projet'!D11</f>
        <v>2.0968999999999998</v>
      </c>
      <c r="V12" s="177">
        <f t="shared" ref="V12:V19" si="1">U12*T12</f>
        <v>977.39513643047769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Sapin méditerranéen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-1076.5605705987241</v>
      </c>
      <c r="U13" s="178">
        <f>'Données projet'!D12</f>
        <v>4.0324999999999998</v>
      </c>
      <c r="V13" s="177">
        <f t="shared" si="1"/>
        <v>-4341.2305009393549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1705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1415.77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17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550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-2179.1410150994197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18</v>
      </c>
      <c r="B24" s="181">
        <f>'Données projet'!D37</f>
        <v>69.284615384615378</v>
      </c>
      <c r="C24" s="193">
        <v>12</v>
      </c>
      <c r="D24" s="182">
        <f t="shared" ref="D24:D42" si="2">B24*C24</f>
        <v>831.41538461538448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1144.3065223083679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24</v>
      </c>
      <c r="B25" s="181">
        <f>'Données projet'!D38</f>
        <v>42.661538461538463</v>
      </c>
      <c r="C25" s="193">
        <v>35</v>
      </c>
      <c r="D25" s="182">
        <f t="shared" si="2"/>
        <v>1493.1538461538462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-3323.4475374077874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30</v>
      </c>
      <c r="B26" s="181">
        <f>'Données projet'!D39</f>
        <v>65.669230769230765</v>
      </c>
      <c r="C26" s="193">
        <v>45</v>
      </c>
      <c r="D26" s="182">
        <f t="shared" si="2"/>
        <v>2955.1153846153843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36</v>
      </c>
      <c r="B27" s="181">
        <f>'Données projet'!D40</f>
        <v>69.3</v>
      </c>
      <c r="C27" s="193">
        <v>50</v>
      </c>
      <c r="D27" s="182">
        <f t="shared" si="2"/>
        <v>3465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42</v>
      </c>
      <c r="B28" s="181">
        <f>'Données projet'!D41</f>
        <v>73.392307692307682</v>
      </c>
      <c r="C28" s="193">
        <v>55</v>
      </c>
      <c r="D28" s="182">
        <f t="shared" si="2"/>
        <v>4036.5769230769224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48</v>
      </c>
      <c r="B29" s="181">
        <f>'Données projet'!D42</f>
        <v>81.330769230769235</v>
      </c>
      <c r="C29" s="193">
        <v>60</v>
      </c>
      <c r="D29" s="182">
        <f t="shared" si="2"/>
        <v>4879.8461538461543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54</v>
      </c>
      <c r="B30" s="181">
        <f>'Données projet'!D43</f>
        <v>566.79999999999995</v>
      </c>
      <c r="C30" s="193">
        <v>80</v>
      </c>
      <c r="D30" s="182">
        <f t="shared" si="2"/>
        <v>45344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Mélèze hybride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2130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8</v>
      </c>
      <c r="C54" s="191">
        <v>10</v>
      </c>
      <c r="D54" s="179">
        <f>B54*C54</f>
        <v>80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98</v>
      </c>
      <c r="C55" s="191">
        <v>25</v>
      </c>
      <c r="D55" s="179">
        <f t="shared" ref="D55:D73" si="4">B55*C55</f>
        <v>2450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98</v>
      </c>
      <c r="C56" s="191">
        <v>30</v>
      </c>
      <c r="D56" s="179">
        <f t="shared" si="4"/>
        <v>2940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92</v>
      </c>
      <c r="C57" s="191">
        <v>35</v>
      </c>
      <c r="D57" s="179">
        <f t="shared" si="4"/>
        <v>3220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75</v>
      </c>
      <c r="C58" s="191">
        <v>40</v>
      </c>
      <c r="D58" s="179">
        <f t="shared" si="4"/>
        <v>3000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67</v>
      </c>
      <c r="C59" s="191">
        <v>45</v>
      </c>
      <c r="D59" s="179">
        <f t="shared" si="4"/>
        <v>3015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63</v>
      </c>
      <c r="C60" s="191">
        <v>50</v>
      </c>
      <c r="D60" s="179">
        <f t="shared" si="4"/>
        <v>3150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80</v>
      </c>
      <c r="B61" s="181">
        <f>'Données projet'!D69</f>
        <v>487</v>
      </c>
      <c r="C61" s="191">
        <v>60</v>
      </c>
      <c r="D61" s="179">
        <f t="shared" si="4"/>
        <v>29220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hybride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2130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81</v>
      </c>
      <c r="C86" s="191">
        <v>10</v>
      </c>
      <c r="D86" s="179">
        <f t="shared" ref="D86:D104" si="6">B86*C86</f>
        <v>810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84</v>
      </c>
      <c r="C87" s="191">
        <v>25</v>
      </c>
      <c r="D87" s="179">
        <f t="shared" si="6"/>
        <v>2100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80</v>
      </c>
      <c r="C88" s="191">
        <v>30</v>
      </c>
      <c r="D88" s="179">
        <f t="shared" si="6"/>
        <v>2400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65</v>
      </c>
      <c r="C89" s="191">
        <v>35</v>
      </c>
      <c r="D89" s="179">
        <f t="shared" si="6"/>
        <v>2275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56</v>
      </c>
      <c r="C90" s="191">
        <v>40</v>
      </c>
      <c r="D90" s="179">
        <f t="shared" si="6"/>
        <v>2240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52</v>
      </c>
      <c r="C91" s="191">
        <v>45</v>
      </c>
      <c r="D91" s="179">
        <f t="shared" si="6"/>
        <v>2340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433</v>
      </c>
      <c r="C92" s="191">
        <v>60</v>
      </c>
      <c r="D92" s="179">
        <f t="shared" si="6"/>
        <v>25980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Sapin méditerranéen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1606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40</v>
      </c>
      <c r="B116" s="181">
        <f>'Données projet'!D114</f>
        <v>70.769230769230774</v>
      </c>
      <c r="C116" s="191">
        <v>15</v>
      </c>
      <c r="D116" s="179">
        <f>B116*C116</f>
        <v>1061.5384615384617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50</v>
      </c>
      <c r="B117" s="181">
        <f>'Données projet'!D115</f>
        <v>60</v>
      </c>
      <c r="C117" s="191">
        <v>20</v>
      </c>
      <c r="D117" s="179">
        <f t="shared" ref="D117:D135" si="8">B117*C117</f>
        <v>1200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60</v>
      </c>
      <c r="B118" s="181">
        <f>'Données projet'!D116</f>
        <v>50</v>
      </c>
      <c r="C118" s="191">
        <v>25</v>
      </c>
      <c r="D118" s="179">
        <f t="shared" si="8"/>
        <v>1250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70</v>
      </c>
      <c r="B119" s="181">
        <f>'Données projet'!D117</f>
        <v>40.769230769230766</v>
      </c>
      <c r="C119" s="191">
        <v>30</v>
      </c>
      <c r="D119" s="179">
        <f t="shared" si="8"/>
        <v>1223.0769230769231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80</v>
      </c>
      <c r="B120" s="181">
        <f>'Données projet'!D118</f>
        <v>34.615384615384613</v>
      </c>
      <c r="C120" s="191">
        <v>35</v>
      </c>
      <c r="D120" s="179">
        <f t="shared" si="8"/>
        <v>1211.5384615384614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90</v>
      </c>
      <c r="B121" s="181">
        <f>'Données projet'!D119</f>
        <v>26.153846153846153</v>
      </c>
      <c r="C121" s="191">
        <v>40</v>
      </c>
      <c r="D121" s="179">
        <f t="shared" si="8"/>
        <v>1046.1538461538462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100</v>
      </c>
      <c r="B122" s="181">
        <f>'Données projet'!D120</f>
        <v>17.692307692307693</v>
      </c>
      <c r="C122" s="191">
        <v>45</v>
      </c>
      <c r="D122" s="179">
        <f t="shared" si="8"/>
        <v>796.15384615384619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110</v>
      </c>
      <c r="B123" s="181">
        <f>'Données projet'!D121</f>
        <v>8.4615384615384617</v>
      </c>
      <c r="C123" s="191">
        <v>50</v>
      </c>
      <c r="D123" s="179">
        <f t="shared" si="8"/>
        <v>423.07692307692309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2025-10-01T12:59:59Z</dcterms:modified>
</cp:coreProperties>
</file>