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JOIGNY R3\"/>
    </mc:Choice>
  </mc:AlternateContent>
  <xr:revisionPtr revIDLastSave="0" documentId="13_ncr:1_{24A0EA0E-6519-4F1A-BCD9-AC89FE520A15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7" i="1" l="1"/>
  <c r="B97" i="1"/>
  <c r="D96" i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B88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114" i="1"/>
  <c r="D272" i="1"/>
  <c r="D271" i="1"/>
  <c r="D270" i="1"/>
  <c r="D246" i="1"/>
  <c r="D245" i="1"/>
  <c r="D244" i="1"/>
  <c r="B224" i="1"/>
  <c r="D224" i="1" s="1"/>
  <c r="D223" i="1"/>
  <c r="D222" i="1"/>
  <c r="D221" i="1"/>
  <c r="D220" i="1"/>
  <c r="D219" i="1"/>
  <c r="D218" i="1"/>
  <c r="D198" i="1"/>
  <c r="B198" i="1"/>
  <c r="D197" i="1"/>
  <c r="B197" i="1"/>
  <c r="D196" i="1"/>
  <c r="B196" i="1"/>
  <c r="D195" i="1"/>
  <c r="B195" i="1"/>
  <c r="D194" i="1"/>
  <c r="B194" i="1"/>
  <c r="D193" i="1"/>
  <c r="B193" i="1"/>
  <c r="B192" i="1"/>
  <c r="D179" i="1"/>
  <c r="B179" i="1"/>
  <c r="D178" i="1"/>
  <c r="B178" i="1"/>
  <c r="D177" i="1"/>
  <c r="B177" i="1"/>
  <c r="D176" i="1"/>
  <c r="B176" i="1"/>
  <c r="D175" i="1"/>
  <c r="B175" i="1"/>
  <c r="D174" i="1"/>
  <c r="B174" i="1"/>
  <c r="D173" i="1"/>
  <c r="B173" i="1"/>
  <c r="D172" i="1"/>
  <c r="B172" i="1"/>
  <c r="D171" i="1"/>
  <c r="B171" i="1"/>
  <c r="D170" i="1"/>
  <c r="B170" i="1"/>
  <c r="D169" i="1"/>
  <c r="B169" i="1"/>
  <c r="D168" i="1"/>
  <c r="B168" i="1"/>
  <c r="D167" i="1"/>
  <c r="B167" i="1"/>
  <c r="B166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41" i="1"/>
  <c r="B141" i="1"/>
  <c r="B140" i="1"/>
  <c r="D80" i="1"/>
  <c r="B80" i="1"/>
  <c r="D79" i="1"/>
  <c r="B79" i="1"/>
  <c r="D78" i="1"/>
  <c r="B78" i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D53" i="1"/>
  <c r="B53" i="1"/>
  <c r="D52" i="1"/>
  <c r="B52" i="1"/>
  <c r="D51" i="1"/>
  <c r="B51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EC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W172" i="2"/>
  <c r="EA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AJ33" i="2"/>
  <c r="AK33" i="2" s="1"/>
  <c r="AL33" i="2" s="1"/>
  <c r="AM33" i="2" s="1"/>
  <c r="AO3" i="2" s="1"/>
  <c r="HA3" i="2" l="1"/>
  <c r="D15" i="4" s="1"/>
  <c r="T85" i="2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3" i="2" l="1"/>
  <c r="C15" i="4" s="1"/>
  <c r="E15" i="4" s="1"/>
  <c r="F15" i="4" s="1"/>
  <c r="G15" i="4" s="1"/>
  <c r="L15" i="4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DT86" i="2" l="1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50" i="2" l="1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<sst xmlns="http://schemas.openxmlformats.org/spreadsheetml/2006/main" count="1179" uniqueCount="324">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</sst>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2.6857443894652788</c:v>
                </c:pt>
                <c:pt idx="2">
                  <c:v>3.1220341302776515</c:v>
                </c:pt>
                <c:pt idx="3">
                  <c:v>3.6294543059658344</c:v>
                </c:pt>
                <c:pt idx="4">
                  <c:v>4.2196411947233265</c:v>
                </c:pt>
                <c:pt idx="5">
                  <c:v>4.9061407295843642</c:v>
                </c:pt>
                <c:pt idx="6">
                  <c:v>5.7047228240822028</c:v>
                </c:pt>
                <c:pt idx="7">
                  <c:v>6.6337475768236276</c:v>
                </c:pt>
                <c:pt idx="8">
                  <c:v>7.7145919390154418</c:v>
                </c:pt>
                <c:pt idx="9">
                  <c:v>8.9721468525785806</c:v>
                </c:pt>
                <c:pt idx="10">
                  <c:v>10.435396526672468</c:v>
                </c:pt>
                <c:pt idx="11">
                  <c:v>12.138093456618288</c:v>
                </c:pt>
                <c:pt idx="12">
                  <c:v>14.119545047318164</c:v>
                </c:pt>
                <c:pt idx="13">
                  <c:v>16.42553033694788</c:v>
                </c:pt>
                <c:pt idx="14">
                  <c:v>19.109368388533348</c:v>
                </c:pt>
                <c:pt idx="15">
                  <c:v>22.233163500028613</c:v>
                </c:pt>
                <c:pt idx="16">
                  <c:v>25.869256562909538</c:v>
                </c:pt>
                <c:pt idx="17">
                  <c:v>30.101916774523115</c:v>
                </c:pt>
                <c:pt idx="18">
                  <c:v>35.029313596535836</c:v>
                </c:pt>
                <c:pt idx="19">
                  <c:v>40.765815486236747</c:v>
                </c:pt>
                <c:pt idx="20">
                  <c:v>47.444669667229327</c:v>
                </c:pt>
                <c:pt idx="21">
                  <c:v>55.221126235661643</c:v>
                </c:pt>
                <c:pt idx="22">
                  <c:v>64.276080432892542</c:v>
                </c:pt>
                <c:pt idx="23">
                  <c:v>74.820319206666056</c:v>
                </c:pt>
                <c:pt idx="24">
                  <c:v>87.099472523768256</c:v>
                </c:pt>
                <c:pt idx="25">
                  <c:v>101.39978663012171</c:v>
                </c:pt>
                <c:pt idx="26">
                  <c:v>118.05485597894473</c:v>
                </c:pt>
                <c:pt idx="27">
                  <c:v>137.45347333042426</c:v>
                </c:pt>
                <c:pt idx="28">
                  <c:v>160.04878411183111</c:v>
                </c:pt>
                <c:pt idx="29">
                  <c:v>186.36896215076243</c:v>
                </c:pt>
                <c:pt idx="30">
                  <c:v>217.02966009824979</c:v>
                </c:pt>
                <c:pt idx="31">
                  <c:v>233.29934918161189</c:v>
                </c:pt>
                <c:pt idx="32">
                  <c:v>249.54313827544206</c:v>
                </c:pt>
                <c:pt idx="33">
                  <c:v>265.76295073470305</c:v>
                </c:pt>
                <c:pt idx="34">
                  <c:v>281.96045587897055</c:v>
                </c:pt>
                <c:pt idx="35">
                  <c:v>239.57200365874317</c:v>
                </c:pt>
                <c:pt idx="36">
                  <c:v>258.66397322459017</c:v>
                </c:pt>
                <c:pt idx="37">
                  <c:v>277.72410067515142</c:v>
                </c:pt>
                <c:pt idx="38">
                  <c:v>296.75487826703966</c:v>
                </c:pt>
                <c:pt idx="39">
                  <c:v>315.75845245576846</c:v>
                </c:pt>
                <c:pt idx="40">
                  <c:v>334.73669023881172</c:v>
                </c:pt>
                <c:pt idx="41">
                  <c:v>353.69122965293923</c:v>
                </c:pt>
                <c:pt idx="42">
                  <c:v>372.62351887402855</c:v>
                </c:pt>
                <c:pt idx="43">
                  <c:v>304.4811604279688</c:v>
                </c:pt>
                <c:pt idx="44">
                  <c:v>323.72845473353181</c:v>
                </c:pt>
                <c:pt idx="45">
                  <c:v>342.95046115732583</c:v>
                </c:pt>
                <c:pt idx="46">
                  <c:v>362.14879588268133</c:v>
                </c:pt>
                <c:pt idx="47">
                  <c:v>381.3248897952999</c:v>
                </c:pt>
                <c:pt idx="48">
                  <c:v>400.48001817068416</c:v>
                </c:pt>
                <c:pt idx="49">
                  <c:v>419.6153243839251</c:v>
                </c:pt>
                <c:pt idx="50">
                  <c:v>438.73183906857093</c:v>
                </c:pt>
                <c:pt idx="51">
                  <c:v>356.63981068825109</c:v>
                </c:pt>
                <c:pt idx="52">
                  <c:v>375.2751819801511</c:v>
                </c:pt>
                <c:pt idx="53">
                  <c:v>393.89040213906009</c:v>
                </c:pt>
                <c:pt idx="54">
                  <c:v>412.48655707987967</c:v>
                </c:pt>
                <c:pt idx="55">
                  <c:v>431.06462685517272</c:v>
                </c:pt>
                <c:pt idx="56">
                  <c:v>449.62550018688563</c:v>
                </c:pt>
                <c:pt idx="57">
                  <c:v>468.16998647367103</c:v>
                </c:pt>
                <c:pt idx="58">
                  <c:v>486.69882579693893</c:v>
                </c:pt>
                <c:pt idx="59">
                  <c:v>413.23439994638017</c:v>
                </c:pt>
                <c:pt idx="60">
                  <c:v>430.97219592837968</c:v>
                </c:pt>
                <c:pt idx="61">
                  <c:v>448.69431201217094</c:v>
                </c:pt>
                <c:pt idx="62">
                  <c:v>466.40145438313789</c:v>
                </c:pt>
                <c:pt idx="63">
                  <c:v>484.09427125729331</c:v>
                </c:pt>
                <c:pt idx="64">
                  <c:v>501.77335962815204</c:v>
                </c:pt>
                <c:pt idx="65">
                  <c:v>519.4392710135229</c:v>
                </c:pt>
                <c:pt idx="66">
                  <c:v>537.09251638010244</c:v>
                </c:pt>
                <c:pt idx="67">
                  <c:v>449.95486925959204</c:v>
                </c:pt>
                <c:pt idx="68">
                  <c:v>466.6352163771781</c:v>
                </c:pt>
                <c:pt idx="69">
                  <c:v>483.30285804649662</c:v>
                </c:pt>
                <c:pt idx="70">
                  <c:v>499.95829393317217</c:v>
                </c:pt>
                <c:pt idx="71">
                  <c:v>516.60198771211776</c:v>
                </c:pt>
                <c:pt idx="72">
                  <c:v>533.23437075982554</c:v>
                </c:pt>
                <c:pt idx="73">
                  <c:v>549.85584536218471</c:v>
                </c:pt>
                <c:pt idx="74">
                  <c:v>566.46678751441152</c:v>
                </c:pt>
                <c:pt idx="75">
                  <c:v>481.14515659638232</c:v>
                </c:pt>
                <c:pt idx="76">
                  <c:v>496.8192212898191</c:v>
                </c:pt>
                <c:pt idx="77">
                  <c:v>512.4828143853855</c:v>
                </c:pt>
                <c:pt idx="78">
                  <c:v>528.13630087550121</c:v>
                </c:pt>
                <c:pt idx="79">
                  <c:v>543.78002236188331</c:v>
                </c:pt>
                <c:pt idx="80">
                  <c:v>559.41429919824748</c:v>
                </c:pt>
                <c:pt idx="81">
                  <c:v>575.03943238111356</c:v>
                </c:pt>
                <c:pt idx="82">
                  <c:v>590.65570522450832</c:v>
                </c:pt>
                <c:pt idx="83">
                  <c:v>528.50902868707601</c:v>
                </c:pt>
                <c:pt idx="84">
                  <c:v>543.56541133325175</c:v>
                </c:pt>
                <c:pt idx="85">
                  <c:v>558.61304131693703</c:v>
                </c:pt>
                <c:pt idx="86">
                  <c:v>573.65218751421037</c:v>
                </c:pt>
                <c:pt idx="87">
                  <c:v>588.68310356054678</c:v>
                </c:pt>
                <c:pt idx="88">
                  <c:v>603.70602908982733</c:v>
                </c:pt>
                <c:pt idx="89">
                  <c:v>618.72119084367489</c:v>
                </c:pt>
                <c:pt idx="90">
                  <c:v>633.72880366755624</c:v>
                </c:pt>
                <c:pt idx="91">
                  <c:v>557.88346206307892</c:v>
                </c:pt>
                <c:pt idx="92">
                  <c:v>572.38676311297058</c:v>
                </c:pt>
                <c:pt idx="93">
                  <c:v>586.88239135079641</c:v>
                </c:pt>
                <c:pt idx="94">
                  <c:v>601.37056289851682</c:v>
                </c:pt>
                <c:pt idx="95">
                  <c:v>615.85148262061796</c:v>
                </c:pt>
                <c:pt idx="96">
                  <c:v>630.32534496689959</c:v>
                </c:pt>
                <c:pt idx="97">
                  <c:v>644.79233473387114</c:v>
                </c:pt>
                <c:pt idx="98">
                  <c:v>659.25262775429837</c:v>
                </c:pt>
                <c:pt idx="99">
                  <c:v>673.70639152314664</c:v>
                </c:pt>
                <c:pt idx="100">
                  <c:v>688.15378576704654</c:v>
                </c:pt>
                <c:pt idx="101">
                  <c:v>580.3495169316717</c:v>
                </c:pt>
                <c:pt idx="102">
                  <c:v>594.23756277685459</c:v>
                </c:pt>
                <c:pt idx="103">
                  <c:v>608.11885699251968</c:v>
                </c:pt>
                <c:pt idx="104">
                  <c:v>621.99357533785758</c:v>
                </c:pt>
                <c:pt idx="105">
                  <c:v>635.86188509529109</c:v>
                </c:pt>
                <c:pt idx="106">
                  <c:v>649.72394565911247</c:v>
                </c:pt>
                <c:pt idx="107">
                  <c:v>663.57990907129715</c:v>
                </c:pt>
                <c:pt idx="108">
                  <c:v>677.42992051026795</c:v>
                </c:pt>
                <c:pt idx="109">
                  <c:v>691.27411873763378</c:v>
                </c:pt>
                <c:pt idx="110">
                  <c:v>705.11263650730291</c:v>
                </c:pt>
                <c:pt idx="111">
                  <c:v>623.42557076354058</c:v>
                </c:pt>
                <c:pt idx="112">
                  <c:v>637.10988303719455</c:v>
                </c:pt>
                <c:pt idx="113">
                  <c:v>650.78812393060309</c:v>
                </c:pt>
                <c:pt idx="114">
                  <c:v>664.46043896444064</c:v>
                </c:pt>
                <c:pt idx="115">
                  <c:v>678.12696718579889</c:v>
                </c:pt>
                <c:pt idx="116">
                  <c:v>691.78784158353881</c:v>
                </c:pt>
                <c:pt idx="117">
                  <c:v>705.44318946914564</c:v>
                </c:pt>
                <c:pt idx="118">
                  <c:v>719.09313282658798</c:v>
                </c:pt>
                <c:pt idx="119">
                  <c:v>732.73778863424411</c:v>
                </c:pt>
                <c:pt idx="120">
                  <c:v>746.3772691616241</c:v>
                </c:pt>
                <c:pt idx="121">
                  <c:v>674.5439171068449</c:v>
                </c:pt>
                <c:pt idx="122">
                  <c:v>688.20260040166215</c:v>
                </c:pt>
                <c:pt idx="123">
                  <c:v>701.85572727628733</c:v>
                </c:pt>
                <c:pt idx="124">
                  <c:v>715.50342098236149</c:v>
                </c:pt>
                <c:pt idx="125">
                  <c:v>729.14579968934993</c:v>
                </c:pt>
                <c:pt idx="126">
                  <c:v>742.782976787238</c:v>
                </c:pt>
                <c:pt idx="127">
                  <c:v>756.41506116585845</c:v>
                </c:pt>
                <c:pt idx="128">
                  <c:v>770.04215747305261</c:v>
                </c:pt>
                <c:pt idx="129">
                  <c:v>783.66436635362095</c:v>
                </c:pt>
                <c:pt idx="130">
                  <c:v>797.28178467080909</c:v>
                </c:pt>
                <c:pt idx="131">
                  <c:v>713.37917246490554</c:v>
                </c:pt>
                <c:pt idx="132">
                  <c:v>727.11745261066346</c:v>
                </c:pt>
                <c:pt idx="133">
                  <c:v>740.85044157147502</c:v>
                </c:pt>
                <c:pt idx="134">
                  <c:v>754.57825118102039</c:v>
                </c:pt>
                <c:pt idx="135">
                  <c:v>768.30098887504801</c:v>
                </c:pt>
                <c:pt idx="136">
                  <c:v>782.01875794141324</c:v>
                </c:pt>
                <c:pt idx="137">
                  <c:v>795.73165775167456</c:v>
                </c:pt>
                <c:pt idx="138">
                  <c:v>809.43978397591002</c:v>
                </c:pt>
                <c:pt idx="139">
                  <c:v>823.14322878223766</c:v>
                </c:pt>
                <c:pt idx="140">
                  <c:v>836.84208102237096</c:v>
                </c:pt>
                <c:pt idx="141">
                  <c:v>754.77192441771376</c:v>
                </c:pt>
                <c:pt idx="142">
                  <c:v>768.51042037633067</c:v>
                </c:pt>
                <c:pt idx="143">
                  <c:v>782.24393778449996</c:v>
                </c:pt>
                <c:pt idx="144">
                  <c:v>795.97257629769945</c:v>
                </c:pt>
                <c:pt idx="145">
                  <c:v>809.69643185621999</c:v>
                </c:pt>
                <c:pt idx="146">
                  <c:v>823.41559688559244</c:v>
                </c:pt>
                <c:pt idx="147">
                  <c:v>837.13016048297004</c:v>
                </c:pt>
                <c:pt idx="148">
                  <c:v>850.84020859067994</c:v>
                </c:pt>
                <c:pt idx="149">
                  <c:v>864.54582415801235</c:v>
                </c:pt>
                <c:pt idx="150">
                  <c:v>878.24708729223005</c:v>
                </c:pt>
                <c:pt idx="151">
                  <c:v>549.64639299167777</c:v>
                </c:pt>
                <c:pt idx="152">
                  <c:v>561.16482880194019</c:v>
                </c:pt>
                <c:pt idx="153">
                  <c:v>572.67831815051125</c:v>
                </c:pt>
                <c:pt idx="154">
                  <c:v>375.91176747689912</c:v>
                </c:pt>
                <c:pt idx="155">
                  <c:v>381.16425054600518</c:v>
                </c:pt>
                <c:pt idx="156">
                  <c:v>386.41515941560237</c:v>
                </c:pt>
                <c:pt idx="157">
                  <c:v>263.62343412107509</c:v>
                </c:pt>
                <c:pt idx="158">
                  <c:v>266.73759424597955</c:v>
                </c:pt>
                <c:pt idx="159">
                  <c:v>269.85093503021159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2.5419361243387457</c:v>
                </c:pt>
                <c:pt idx="2">
                  <c:v>3.1655725638916965</c:v>
                </c:pt>
                <c:pt idx="3">
                  <c:v>3.9428035750244419</c:v>
                </c:pt>
                <c:pt idx="4">
                  <c:v>4.9115952921971058</c:v>
                </c:pt>
                <c:pt idx="5">
                  <c:v>6.1193302965732146</c:v>
                </c:pt>
                <c:pt idx="6">
                  <c:v>7.6251504406534805</c:v>
                </c:pt>
                <c:pt idx="7">
                  <c:v>9.5028842563757507</c:v>
                </c:pt>
                <c:pt idx="8">
                  <c:v>11.844705198464125</c:v>
                </c:pt>
                <c:pt idx="9">
                  <c:v>14.765703652419754</c:v>
                </c:pt>
                <c:pt idx="10">
                  <c:v>18.409601532395097</c:v>
                </c:pt>
                <c:pt idx="11">
                  <c:v>22.955895729680325</c:v>
                </c:pt>
                <c:pt idx="12">
                  <c:v>28.628788554676579</c:v>
                </c:pt>
                <c:pt idx="13">
                  <c:v>35.708353284652667</c:v>
                </c:pt>
                <c:pt idx="14">
                  <c:v>44.544495545902528</c:v>
                </c:pt>
                <c:pt idx="15">
                  <c:v>55.574412233109683</c:v>
                </c:pt>
                <c:pt idx="16">
                  <c:v>69.344426154250357</c:v>
                </c:pt>
                <c:pt idx="17">
                  <c:v>86.537295547085179</c:v>
                </c:pt>
                <c:pt idx="18">
                  <c:v>108.00637426873294</c:v>
                </c:pt>
                <c:pt idx="19">
                  <c:v>134.81834487636456</c:v>
                </c:pt>
                <c:pt idx="20">
                  <c:v>168.30668061428091</c:v>
                </c:pt>
                <c:pt idx="21">
                  <c:v>114.89636998864779</c:v>
                </c:pt>
                <c:pt idx="22">
                  <c:v>136.11149105418758</c:v>
                </c:pt>
                <c:pt idx="23">
                  <c:v>157.24688373565013</c:v>
                </c:pt>
                <c:pt idx="24">
                  <c:v>178.31479007290764</c:v>
                </c:pt>
                <c:pt idx="25">
                  <c:v>199.32431229219446</c:v>
                </c:pt>
                <c:pt idx="26">
                  <c:v>220.28247236407125</c:v>
                </c:pt>
                <c:pt idx="27">
                  <c:v>241.19484478237635</c:v>
                </c:pt>
                <c:pt idx="28">
                  <c:v>262.06595742232184</c:v>
                </c:pt>
                <c:pt idx="29">
                  <c:v>282.89955759178861</c:v>
                </c:pt>
                <c:pt idx="30">
                  <c:v>303.69879541443913</c:v>
                </c:pt>
                <c:pt idx="31">
                  <c:v>225.42891467822554</c:v>
                </c:pt>
                <c:pt idx="32">
                  <c:v>242.90708874646216</c:v>
                </c:pt>
                <c:pt idx="33">
                  <c:v>260.35666841385739</c:v>
                </c:pt>
                <c:pt idx="34">
                  <c:v>277.77983970169777</c:v>
                </c:pt>
                <c:pt idx="35">
                  <c:v>295.17849192957436</c:v>
                </c:pt>
                <c:pt idx="36">
                  <c:v>312.55427347160997</c:v>
                </c:pt>
                <c:pt idx="37">
                  <c:v>329.90863445331962</c:v>
                </c:pt>
                <c:pt idx="38">
                  <c:v>347.24285998792817</c:v>
                </c:pt>
                <c:pt idx="39">
                  <c:v>364.55809642552708</c:v>
                </c:pt>
                <c:pt idx="40">
                  <c:v>381.85537235272409</c:v>
                </c:pt>
                <c:pt idx="41">
                  <c:v>299.78012652729893</c:v>
                </c:pt>
                <c:pt idx="42">
                  <c:v>312.89475650137177</c:v>
                </c:pt>
                <c:pt idx="43">
                  <c:v>325.9971979435436</c:v>
                </c:pt>
                <c:pt idx="44">
                  <c:v>339.08800983656238</c:v>
                </c:pt>
                <c:pt idx="45">
                  <c:v>352.16770447084946</c:v>
                </c:pt>
                <c:pt idx="46">
                  <c:v>365.23675297080734</c:v>
                </c:pt>
                <c:pt idx="47">
                  <c:v>378.29558998861233</c:v>
                </c:pt>
                <c:pt idx="48">
                  <c:v>391.34461771590031</c:v>
                </c:pt>
                <c:pt idx="49">
                  <c:v>404.38420933237239</c:v>
                </c:pt>
                <c:pt idx="50">
                  <c:v>417.41471198632871</c:v>
                </c:pt>
                <c:pt idx="51">
                  <c:v>360.82499034748571</c:v>
                </c:pt>
                <c:pt idx="52">
                  <c:v>370.32580293370683</c:v>
                </c:pt>
                <c:pt idx="53">
                  <c:v>379.82129986564109</c:v>
                </c:pt>
                <c:pt idx="54">
                  <c:v>389.31163283661289</c:v>
                </c:pt>
                <c:pt idx="55">
                  <c:v>398.79694553728024</c:v>
                </c:pt>
                <c:pt idx="56">
                  <c:v>408.27737426224047</c:v>
                </c:pt>
                <c:pt idx="57">
                  <c:v>417.7530484573353</c:v>
                </c:pt>
                <c:pt idx="58">
                  <c:v>427.22409121469786</c:v>
                </c:pt>
                <c:pt idx="59">
                  <c:v>436.69061972160131</c:v>
                </c:pt>
                <c:pt idx="60">
                  <c:v>446.15274566834916</c:v>
                </c:pt>
                <c:pt idx="61">
                  <c:v>410.81596227236088</c:v>
                </c:pt>
                <c:pt idx="62">
                  <c:v>417.7530484573353</c:v>
                </c:pt>
                <c:pt idx="63">
                  <c:v>424.68765216037281</c:v>
                </c:pt>
                <c:pt idx="64">
                  <c:v>431.61981966331041</c:v>
                </c:pt>
                <c:pt idx="65">
                  <c:v>438.54959563904839</c:v>
                </c:pt>
                <c:pt idx="66">
                  <c:v>445.477023232585</c:v>
                </c:pt>
                <c:pt idx="67">
                  <c:v>452.40214413674408</c:v>
                </c:pt>
                <c:pt idx="68">
                  <c:v>459.32499866302322</c:v>
                </c:pt>
                <c:pt idx="69">
                  <c:v>466.24562580794571</c:v>
                </c:pt>
                <c:pt idx="70">
                  <c:v>473.16406331526701</c:v>
                </c:pt>
                <c:pt idx="71">
                  <c:v>442.94286825616126</c:v>
                </c:pt>
                <c:pt idx="72">
                  <c:v>448.17978162908167</c:v>
                </c:pt>
                <c:pt idx="73">
                  <c:v>453.41538541847422</c:v>
                </c:pt>
                <c:pt idx="74">
                  <c:v>458.64969689218088</c:v>
                </c:pt>
                <c:pt idx="75">
                  <c:v>463.88273289143444</c:v>
                </c:pt>
                <c:pt idx="76">
                  <c:v>469.11450984619825</c:v>
                </c:pt>
                <c:pt idx="77">
                  <c:v>474.3450437897875</c:v>
                </c:pt>
                <c:pt idx="78">
                  <c:v>479.5743503728101</c:v>
                </c:pt>
                <c:pt idx="79">
                  <c:v>484.80244487646905</c:v>
                </c:pt>
                <c:pt idx="80">
                  <c:v>490.02934222525914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2.6545363919666056</c:v>
                </c:pt>
                <c:pt idx="2">
                  <c:v>3.0498680872909687</c:v>
                </c:pt>
                <c:pt idx="3">
                  <c:v>3.5042863496199099</c:v>
                </c:pt>
                <c:pt idx="4">
                  <c:v>4.0266521169806992</c:v>
                </c:pt>
                <c:pt idx="5">
                  <c:v>4.6271593579498189</c:v>
                </c:pt>
                <c:pt idx="6">
                  <c:v>5.3175362001651179</c:v>
                </c:pt>
                <c:pt idx="7">
                  <c:v>6.1112764875692553</c:v>
                </c:pt>
                <c:pt idx="8">
                  <c:v>7.0239063814266727</c:v>
                </c:pt>
                <c:pt idx="9">
                  <c:v>8.0732913217033442</c:v>
                </c:pt>
                <c:pt idx="10">
                  <c:v>9.2799894738115594</c:v>
                </c:pt>
                <c:pt idx="11">
                  <c:v>10.66765871730995</c:v>
                </c:pt>
                <c:pt idx="12">
                  <c:v>12.26352530671501</c:v>
                </c:pt>
                <c:pt idx="13">
                  <c:v>14.098923571801871</c:v>
                </c:pt>
                <c:pt idx="14">
                  <c:v>16.209917450642156</c:v>
                </c:pt>
                <c:pt idx="15">
                  <c:v>18.638016291961673</c:v>
                </c:pt>
                <c:pt idx="16">
                  <c:v>21.430999257425388</c:v>
                </c:pt>
                <c:pt idx="17">
                  <c:v>24.643864837480283</c:v>
                </c:pt>
                <c:pt idx="18">
                  <c:v>28.339924510581934</c:v>
                </c:pt>
                <c:pt idx="19">
                  <c:v>32.592062475931563</c:v>
                </c:pt>
                <c:pt idx="20">
                  <c:v>37.484186732991283</c:v>
                </c:pt>
                <c:pt idx="21">
                  <c:v>43.112900634753409</c:v>
                </c:pt>
                <c:pt idx="22">
                  <c:v>49.58942848411747</c:v>
                </c:pt>
                <c:pt idx="23">
                  <c:v>57.041833863841269</c:v>
                </c:pt>
                <c:pt idx="24">
                  <c:v>65.61757529424726</c:v>
                </c:pt>
                <c:pt idx="25">
                  <c:v>75.48645061896606</c:v>
                </c:pt>
                <c:pt idx="26">
                  <c:v>86.843989365628133</c:v>
                </c:pt>
                <c:pt idx="27">
                  <c:v>99.915361374894232</c:v>
                </c:pt>
                <c:pt idx="28">
                  <c:v>114.9598804212918</c:v>
                </c:pt>
                <c:pt idx="29">
                  <c:v>132.27619357492748</c:v>
                </c:pt>
                <c:pt idx="30">
                  <c:v>152.20826091870231</c:v>
                </c:pt>
                <c:pt idx="31">
                  <c:v>162.98463072137639</c:v>
                </c:pt>
                <c:pt idx="32">
                  <c:v>173.74415159546285</c:v>
                </c:pt>
                <c:pt idx="33">
                  <c:v>184.48801497982217</c:v>
                </c:pt>
                <c:pt idx="34">
                  <c:v>195.21726202720279</c:v>
                </c:pt>
                <c:pt idx="35">
                  <c:v>205.93280996116789</c:v>
                </c:pt>
                <c:pt idx="36">
                  <c:v>216.6354726500532</c:v>
                </c:pt>
                <c:pt idx="37">
                  <c:v>227.32597689583122</c:v>
                </c:pt>
                <c:pt idx="38">
                  <c:v>238.00497549414197</c:v>
                </c:pt>
                <c:pt idx="39">
                  <c:v>248.67305782470615</c:v>
                </c:pt>
                <c:pt idx="40">
                  <c:v>259.33075852724227</c:v>
                </c:pt>
                <c:pt idx="41">
                  <c:v>269.97856467507779</c:v>
                </c:pt>
                <c:pt idx="42">
                  <c:v>280.61692175681293</c:v>
                </c:pt>
                <c:pt idx="43">
                  <c:v>219.23649363663071</c:v>
                </c:pt>
                <c:pt idx="44">
                  <c:v>233.16817282079015</c:v>
                </c:pt>
                <c:pt idx="45">
                  <c:v>247.08084979641842</c:v>
                </c:pt>
                <c:pt idx="46">
                  <c:v>260.97574553687434</c:v>
                </c:pt>
                <c:pt idx="47">
                  <c:v>274.85394031838445</c:v>
                </c:pt>
                <c:pt idx="48">
                  <c:v>288.71639637046275</c:v>
                </c:pt>
                <c:pt idx="49">
                  <c:v>302.56397594468734</c:v>
                </c:pt>
                <c:pt idx="50">
                  <c:v>316.39745590015315</c:v>
                </c:pt>
                <c:pt idx="51">
                  <c:v>273.38670979243653</c:v>
                </c:pt>
                <c:pt idx="52">
                  <c:v>287.4202042943125</c:v>
                </c:pt>
                <c:pt idx="53">
                  <c:v>301.43837740586997</c:v>
                </c:pt>
                <c:pt idx="54">
                  <c:v>315.44204208522194</c:v>
                </c:pt>
                <c:pt idx="55">
                  <c:v>329.43193320131758</c:v>
                </c:pt>
                <c:pt idx="56">
                  <c:v>343.40871810261547</c:v>
                </c:pt>
                <c:pt idx="57">
                  <c:v>357.37300537454183</c:v>
                </c:pt>
                <c:pt idx="58">
                  <c:v>371.32535215621243</c:v>
                </c:pt>
                <c:pt idx="59">
                  <c:v>315.51183909506182</c:v>
                </c:pt>
                <c:pt idx="60">
                  <c:v>329.05073650276228</c:v>
                </c:pt>
                <c:pt idx="61">
                  <c:v>342.57734336481366</c:v>
                </c:pt>
                <c:pt idx="62">
                  <c:v>356.09221338084234</c:v>
                </c:pt>
                <c:pt idx="63">
                  <c:v>369.59585478551753</c:v>
                </c:pt>
                <c:pt idx="64">
                  <c:v>383.08873564151514</c:v>
                </c:pt>
                <c:pt idx="65">
                  <c:v>396.57128834770532</c:v>
                </c:pt>
                <c:pt idx="66">
                  <c:v>410.04391350218651</c:v>
                </c:pt>
                <c:pt idx="67">
                  <c:v>347.44730241687603</c:v>
                </c:pt>
                <c:pt idx="68">
                  <c:v>360.38278100948338</c:v>
                </c:pt>
                <c:pt idx="69">
                  <c:v>373.30810753560849</c:v>
                </c:pt>
                <c:pt idx="70">
                  <c:v>386.22368305629919</c:v>
                </c:pt>
                <c:pt idx="71">
                  <c:v>399.12987961766652</c:v>
                </c:pt>
                <c:pt idx="72">
                  <c:v>412.02704324015576</c:v>
                </c:pt>
                <c:pt idx="73">
                  <c:v>424.91549651397787</c:v>
                </c:pt>
                <c:pt idx="74">
                  <c:v>437.7955408632061</c:v>
                </c:pt>
                <c:pt idx="75">
                  <c:v>379.41318705628595</c:v>
                </c:pt>
                <c:pt idx="76">
                  <c:v>392.00536505326204</c:v>
                </c:pt>
                <c:pt idx="77">
                  <c:v>404.58877228753346</c:v>
                </c:pt>
                <c:pt idx="78">
                  <c:v>417.16372000047295</c:v>
                </c:pt>
                <c:pt idx="79">
                  <c:v>429.73049913746723</c:v>
                </c:pt>
                <c:pt idx="80">
                  <c:v>442.28938223878055</c:v>
                </c:pt>
                <c:pt idx="81">
                  <c:v>454.84062510445273</c:v>
                </c:pt>
                <c:pt idx="82">
                  <c:v>467.38446826585488</c:v>
                </c:pt>
                <c:pt idx="83">
                  <c:v>479.92113829104784</c:v>
                </c:pt>
                <c:pt idx="84">
                  <c:v>492.4508489466495</c:v>
                </c:pt>
                <c:pt idx="85">
                  <c:v>413.69789366517693</c:v>
                </c:pt>
                <c:pt idx="86">
                  <c:v>425.72326588472453</c:v>
                </c:pt>
                <c:pt idx="87">
                  <c:v>437.74133281024569</c:v>
                </c:pt>
                <c:pt idx="88">
                  <c:v>449.75232328199803</c:v>
                </c:pt>
                <c:pt idx="89">
                  <c:v>461.7564529200472</c:v>
                </c:pt>
                <c:pt idx="90">
                  <c:v>473.753925219108</c:v>
                </c:pt>
                <c:pt idx="91">
                  <c:v>485.74493252670771</c:v>
                </c:pt>
                <c:pt idx="92">
                  <c:v>497.72965691973963</c:v>
                </c:pt>
                <c:pt idx="93">
                  <c:v>509.70827099220423</c:v>
                </c:pt>
                <c:pt idx="94">
                  <c:v>521.68093856505436</c:v>
                </c:pt>
                <c:pt idx="95">
                  <c:v>442.71309293511786</c:v>
                </c:pt>
                <c:pt idx="96">
                  <c:v>454.3765359590837</c:v>
                </c:pt>
                <c:pt idx="97">
                  <c:v>466.03358176488206</c:v>
                </c:pt>
                <c:pt idx="98">
                  <c:v>477.68441292460761</c:v>
                </c:pt>
                <c:pt idx="99">
                  <c:v>489.32920237793718</c:v>
                </c:pt>
                <c:pt idx="100">
                  <c:v>500.96811416232441</c:v>
                </c:pt>
                <c:pt idx="101">
                  <c:v>512.60130407180884</c:v>
                </c:pt>
                <c:pt idx="102">
                  <c:v>524.22892025291378</c:v>
                </c:pt>
                <c:pt idx="103">
                  <c:v>535.85110374493013</c:v>
                </c:pt>
                <c:pt idx="104">
                  <c:v>547.4679889708965</c:v>
                </c:pt>
                <c:pt idx="105">
                  <c:v>470.83512622667882</c:v>
                </c:pt>
                <c:pt idx="106">
                  <c:v>482.31993060359918</c:v>
                </c:pt>
                <c:pt idx="107">
                  <c:v>493.79892623857177</c:v>
                </c:pt>
                <c:pt idx="108">
                  <c:v>505.27226719263064</c:v>
                </c:pt>
                <c:pt idx="109">
                  <c:v>516.74009995985239</c:v>
                </c:pt>
                <c:pt idx="110">
                  <c:v>528.20256400226037</c:v>
                </c:pt>
                <c:pt idx="111">
                  <c:v>539.65979223588886</c:v>
                </c:pt>
                <c:pt idx="112">
                  <c:v>551.11191147342777</c:v>
                </c:pt>
                <c:pt idx="113">
                  <c:v>562.55904282816812</c:v>
                </c:pt>
                <c:pt idx="114">
                  <c:v>574.00130208336577</c:v>
                </c:pt>
                <c:pt idx="115">
                  <c:v>503.63619118948236</c:v>
                </c:pt>
                <c:pt idx="116">
                  <c:v>515.16004926803487</c:v>
                </c:pt>
                <c:pt idx="117">
                  <c:v>526.678467751732</c:v>
                </c:pt>
                <c:pt idx="118">
                  <c:v>538.19158235978989</c:v>
                </c:pt>
                <c:pt idx="119">
                  <c:v>549.69952253188933</c:v>
                </c:pt>
                <c:pt idx="120">
                  <c:v>561.20241184688007</c:v>
                </c:pt>
                <c:pt idx="121">
                  <c:v>572.70036840537932</c:v>
                </c:pt>
                <c:pt idx="122">
                  <c:v>584.19350518005479</c:v>
                </c:pt>
                <c:pt idx="123">
                  <c:v>595.68193033691455</c:v>
                </c:pt>
                <c:pt idx="124">
                  <c:v>607.16574753053135</c:v>
                </c:pt>
                <c:pt idx="125">
                  <c:v>542.67444994481559</c:v>
                </c:pt>
                <c:pt idx="126">
                  <c:v>554.28705775501305</c:v>
                </c:pt>
                <c:pt idx="127">
                  <c:v>565.89456923136754</c:v>
                </c:pt>
                <c:pt idx="128">
                  <c:v>577.4971036223551</c:v>
                </c:pt>
                <c:pt idx="129">
                  <c:v>589.09477499506329</c:v>
                </c:pt>
                <c:pt idx="130">
                  <c:v>600.68769256005328</c:v>
                </c:pt>
                <c:pt idx="131">
                  <c:v>612.27596096984405</c:v>
                </c:pt>
                <c:pt idx="132">
                  <c:v>623.85968059363358</c:v>
                </c:pt>
                <c:pt idx="133">
                  <c:v>635.43894777056323</c:v>
                </c:pt>
                <c:pt idx="134">
                  <c:v>647.01385504356756</c:v>
                </c:pt>
                <c:pt idx="135">
                  <c:v>579.21299579651088</c:v>
                </c:pt>
                <c:pt idx="136">
                  <c:v>590.93727564374046</c:v>
                </c:pt>
                <c:pt idx="137">
                  <c:v>602.65671400044414</c:v>
                </c:pt>
                <c:pt idx="138">
                  <c:v>614.37141825894639</c:v>
                </c:pt>
                <c:pt idx="139">
                  <c:v>626.08149138337694</c:v>
                </c:pt>
                <c:pt idx="140">
                  <c:v>637.78703217341172</c:v>
                </c:pt>
                <c:pt idx="141">
                  <c:v>649.48813550765476</c:v>
                </c:pt>
                <c:pt idx="142">
                  <c:v>661.18489256857799</c:v>
                </c:pt>
                <c:pt idx="143">
                  <c:v>672.87739105072126</c:v>
                </c:pt>
                <c:pt idx="144">
                  <c:v>684.565715353678</c:v>
                </c:pt>
                <c:pt idx="145">
                  <c:v>615.99826184014353</c:v>
                </c:pt>
                <c:pt idx="146">
                  <c:v>627.9216678589429</c:v>
                </c:pt>
                <c:pt idx="147">
                  <c:v>639.84039007045806</c:v>
                </c:pt>
                <c:pt idx="148">
                  <c:v>651.75452798722415</c:v>
                </c:pt>
                <c:pt idx="149">
                  <c:v>663.66417718835169</c:v>
                </c:pt>
                <c:pt idx="150">
                  <c:v>675.56942954427848</c:v>
                </c:pt>
                <c:pt idx="151">
                  <c:v>687.47037342486556</c:v>
                </c:pt>
                <c:pt idx="152">
                  <c:v>699.36709389233954</c:v>
                </c:pt>
                <c:pt idx="153">
                  <c:v>711.25967288043466</c:v>
                </c:pt>
                <c:pt idx="154">
                  <c:v>723.14818936093491</c:v>
                </c:pt>
                <c:pt idx="155">
                  <c:v>656.10481372787297</c:v>
                </c:pt>
                <c:pt idx="156">
                  <c:v>668.18502285411137</c:v>
                </c:pt>
                <c:pt idx="157">
                  <c:v>680.26074198077015</c:v>
                </c:pt>
                <c:pt idx="158">
                  <c:v>692.33206200882353</c:v>
                </c:pt>
                <c:pt idx="159">
                  <c:v>704.39907041247386</c:v>
                </c:pt>
                <c:pt idx="160">
                  <c:v>716.46185142605145</c:v>
                </c:pt>
                <c:pt idx="161">
                  <c:v>728.52048621768199</c:v>
                </c:pt>
                <c:pt idx="162">
                  <c:v>740.57505305086408</c:v>
                </c:pt>
                <c:pt idx="163">
                  <c:v>752.62562743498745</c:v>
                </c:pt>
                <c:pt idx="164">
                  <c:v>764.67228226571444</c:v>
                </c:pt>
                <c:pt idx="165">
                  <c:v>691.65849642549847</c:v>
                </c:pt>
                <c:pt idx="166">
                  <c:v>703.8733396080155</c:v>
                </c:pt>
                <c:pt idx="167">
                  <c:v>716.08384763697256</c:v>
                </c:pt>
                <c:pt idx="168">
                  <c:v>728.29010481250043</c:v>
                </c:pt>
                <c:pt idx="169">
                  <c:v>740.4921923801586</c:v>
                </c:pt>
                <c:pt idx="170">
                  <c:v>752.69018869117497</c:v>
                </c:pt>
                <c:pt idx="171">
                  <c:v>764.88416935176713</c:v>
                </c:pt>
                <c:pt idx="172">
                  <c:v>777.07420736245524</c:v>
                </c:pt>
                <c:pt idx="173">
                  <c:v>789.26037324818105</c:v>
                </c:pt>
                <c:pt idx="174">
                  <c:v>801.44273517998238</c:v>
                </c:pt>
                <c:pt idx="175">
                  <c:v>499.69211352999099</c:v>
                </c:pt>
                <c:pt idx="176">
                  <c:v>507.54522794679656</c:v>
                </c:pt>
                <c:pt idx="177">
                  <c:v>515.39577427024642</c:v>
                </c:pt>
                <c:pt idx="178">
                  <c:v>352.97127757915558</c:v>
                </c:pt>
                <c:pt idx="179">
                  <c:v>357.82672398095764</c:v>
                </c:pt>
                <c:pt idx="180">
                  <c:v>362.680728387182</c:v>
                </c:pt>
                <c:pt idx="181">
                  <c:v>251.76948295809439</c:v>
                </c:pt>
                <c:pt idx="182">
                  <c:v>254.76218506142413</c:v>
                </c:pt>
                <c:pt idx="183">
                  <c:v>257.75409130952272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283.45438999358515</c:v>
                </c:pt>
                <c:pt idx="66">
                  <c:v>293.8022675095666</c:v>
                </c:pt>
                <c:pt idx="67">
                  <c:v>304.14201262042309</c:v>
                </c:pt>
                <c:pt idx="68">
                  <c:v>314.47394093474492</c:v>
                </c:pt>
                <c:pt idx="69">
                  <c:v>324.7983456175059</c:v>
                </c:pt>
                <c:pt idx="70">
                  <c:v>335.1154996641738</c:v>
                </c:pt>
                <c:pt idx="71">
                  <c:v>345.42565787999416</c:v>
                </c:pt>
                <c:pt idx="72">
                  <c:v>355.72905861051328</c:v>
                </c:pt>
                <c:pt idx="73">
                  <c:v>366.02592526105167</c:v>
                </c:pt>
                <c:pt idx="74">
                  <c:v>281.90576500782731</c:v>
                </c:pt>
                <c:pt idx="75">
                  <c:v>291.4615194153061</c:v>
                </c:pt>
                <c:pt idx="76">
                  <c:v>301.01027742846833</c:v>
                </c:pt>
                <c:pt idx="77">
                  <c:v>310.55229243957797</c:v>
                </c:pt>
                <c:pt idx="78">
                  <c:v>320.08780098731563</c:v>
                </c:pt>
                <c:pt idx="79">
                  <c:v>329.61702435733633</c:v>
                </c:pt>
                <c:pt idx="80">
                  <c:v>339.14016998796063</c:v>
                </c:pt>
                <c:pt idx="81">
                  <c:v>348.65743270964475</c:v>
                </c:pt>
                <c:pt idx="82">
                  <c:v>358.16899584197944</c:v>
                </c:pt>
                <c:pt idx="83">
                  <c:v>367.6750321680226</c:v>
                </c:pt>
                <c:pt idx="84">
                  <c:v>377.17570480256501</c:v>
                </c:pt>
                <c:pt idx="85">
                  <c:v>386.67116796831164</c:v>
                </c:pt>
                <c:pt idx="86">
                  <c:v>310.25502677283106</c:v>
                </c:pt>
                <c:pt idx="87">
                  <c:v>318.98740593712245</c:v>
                </c:pt>
                <c:pt idx="88">
                  <c:v>327.714493945801</c:v>
                </c:pt>
                <c:pt idx="89">
                  <c:v>336.43645167959869</c:v>
                </c:pt>
                <c:pt idx="90">
                  <c:v>345.1534309907932</c:v>
                </c:pt>
                <c:pt idx="91">
                  <c:v>353.86557543008013</c:v>
                </c:pt>
                <c:pt idx="92">
                  <c:v>362.57302089808542</c:v>
                </c:pt>
                <c:pt idx="93">
                  <c:v>371.27589623099425</c:v>
                </c:pt>
                <c:pt idx="94">
                  <c:v>379.97432372837596</c:v>
                </c:pt>
                <c:pt idx="95">
                  <c:v>388.66841963013377</c:v>
                </c:pt>
                <c:pt idx="96">
                  <c:v>397.3582945485353</c:v>
                </c:pt>
                <c:pt idx="97">
                  <c:v>406.04405386046125</c:v>
                </c:pt>
                <c:pt idx="98">
                  <c:v>334.41940603910399</c:v>
                </c:pt>
                <c:pt idx="99">
                  <c:v>342.29956794326108</c:v>
                </c:pt>
                <c:pt idx="100">
                  <c:v>350.17574235486956</c:v>
                </c:pt>
                <c:pt idx="101">
                  <c:v>358.04803168315993</c:v>
                </c:pt>
                <c:pt idx="102">
                  <c:v>365.91653346305429</c:v>
                </c:pt>
                <c:pt idx="103">
                  <c:v>373.781340689297</c:v>
                </c:pt>
                <c:pt idx="104">
                  <c:v>381.64254212098012</c:v>
                </c:pt>
                <c:pt idx="105">
                  <c:v>389.50022255965609</c:v>
                </c:pt>
                <c:pt idx="106">
                  <c:v>397.35446310382622</c:v>
                </c:pt>
                <c:pt idx="107">
                  <c:v>405.20534138224843</c:v>
                </c:pt>
                <c:pt idx="108">
                  <c:v>413.05293176821192</c:v>
                </c:pt>
                <c:pt idx="109">
                  <c:v>420.89730557667355</c:v>
                </c:pt>
                <c:pt idx="110">
                  <c:v>347.55719193287524</c:v>
                </c:pt>
                <c:pt idx="111">
                  <c:v>354.63762505887559</c:v>
                </c:pt>
                <c:pt idx="112">
                  <c:v>361.71496177810758</c:v>
                </c:pt>
                <c:pt idx="113">
                  <c:v>368.78927127528988</c:v>
                </c:pt>
                <c:pt idx="114">
                  <c:v>375.86061986197689</c:v>
                </c:pt>
                <c:pt idx="115">
                  <c:v>382.92907114888561</c:v>
                </c:pt>
                <c:pt idx="116">
                  <c:v>389.99468620482668</c:v>
                </c:pt>
                <c:pt idx="117">
                  <c:v>397.05752370351041</c:v>
                </c:pt>
                <c:pt idx="118">
                  <c:v>404.11764005935646</c:v>
                </c:pt>
                <c:pt idx="119">
                  <c:v>411.17508955331374</c:v>
                </c:pt>
                <c:pt idx="120">
                  <c:v>418.22992444958618</c:v>
                </c:pt>
                <c:pt idx="121">
                  <c:v>425.28219510406808</c:v>
                </c:pt>
                <c:pt idx="122">
                  <c:v>222.90571332852619</c:v>
                </c:pt>
                <c:pt idx="123">
                  <c:v>227.85759264677259</c:v>
                </c:pt>
                <c:pt idx="124">
                  <c:v>232.80700909260011</c:v>
                </c:pt>
                <c:pt idx="125">
                  <c:v>237.75402251395349</c:v>
                </c:pt>
                <c:pt idx="126">
                  <c:v>242.69869006033085</c:v>
                </c:pt>
                <c:pt idx="127">
                  <c:v>247.64106635821585</c:v>
                </c:pt>
                <c:pt idx="128">
                  <c:v>252.58120367175138</c:v>
                </c:pt>
                <c:pt idx="129">
                  <c:v>257.51915205016729</c:v>
                </c:pt>
                <c:pt idx="130">
                  <c:v>262.45495946329385</c:v>
                </c:pt>
                <c:pt idx="131">
                  <c:v>267.38867192633279</c:v>
                </c:pt>
                <c:pt idx="132">
                  <c:v>6.6746200022902298E-12</c:v>
                </c:pt>
                <c:pt idx="133">
                  <c:v>6.6746200022902298E-12</c:v>
                </c:pt>
                <c:pt idx="134">
                  <c:v>6.6746200022902298E-12</c:v>
                </c:pt>
                <c:pt idx="135">
                  <c:v>6.6746200022902298E-12</c:v>
                </c:pt>
                <c:pt idx="136">
                  <c:v>6.6746200022902298E-12</c:v>
                </c:pt>
                <c:pt idx="137">
                  <c:v>6.6746200022902298E-12</c:v>
                </c:pt>
                <c:pt idx="138">
                  <c:v>6.6746200022902298E-12</c:v>
                </c:pt>
                <c:pt idx="139">
                  <c:v>6.6746200022902298E-12</c:v>
                </c:pt>
                <c:pt idx="140">
                  <c:v>6.6746200022902298E-12</c:v>
                </c:pt>
                <c:pt idx="141">
                  <c:v>6.6746200022902298E-12</c:v>
                </c:pt>
                <c:pt idx="142">
                  <c:v>6.6746200022902298E-12</c:v>
                </c:pt>
                <c:pt idx="143">
                  <c:v>6.6746200022902298E-12</c:v>
                </c:pt>
                <c:pt idx="144">
                  <c:v>6.6746200022902298E-12</c:v>
                </c:pt>
                <c:pt idx="145">
                  <c:v>6.6746200022902298E-12</c:v>
                </c:pt>
                <c:pt idx="146">
                  <c:v>6.6746200022902298E-12</c:v>
                </c:pt>
                <c:pt idx="147">
                  <c:v>6.6746200022902298E-12</c:v>
                </c:pt>
                <c:pt idx="148">
                  <c:v>6.6746200022902298E-12</c:v>
                </c:pt>
                <c:pt idx="149">
                  <c:v>6.6746200022902298E-12</c:v>
                </c:pt>
                <c:pt idx="150">
                  <c:v>6.6746200022902298E-12</c:v>
                </c:pt>
                <c:pt idx="151">
                  <c:v>6.6746200022902298E-12</c:v>
                </c:pt>
                <c:pt idx="152">
                  <c:v>6.6746200022902298E-12</c:v>
                </c:pt>
                <c:pt idx="153">
                  <c:v>6.6746200022902298E-12</c:v>
                </c:pt>
                <c:pt idx="154">
                  <c:v>6.6746200022902298E-12</c:v>
                </c:pt>
                <c:pt idx="155">
                  <c:v>6.6746200022902298E-12</c:v>
                </c:pt>
                <c:pt idx="156">
                  <c:v>6.6746200022902298E-12</c:v>
                </c:pt>
                <c:pt idx="157">
                  <c:v>6.6746200022902298E-12</c:v>
                </c:pt>
                <c:pt idx="158">
                  <c:v>6.6746200022902298E-12</c:v>
                </c:pt>
                <c:pt idx="159">
                  <c:v>6.6746200022902298E-12</c:v>
                </c:pt>
                <c:pt idx="160">
                  <c:v>6.6746200022902298E-12</c:v>
                </c:pt>
                <c:pt idx="161">
                  <c:v>6.6746200022902298E-12</c:v>
                </c:pt>
                <c:pt idx="162">
                  <c:v>6.6746200022902298E-12</c:v>
                </c:pt>
                <c:pt idx="163">
                  <c:v>6.6746200022902298E-12</c:v>
                </c:pt>
                <c:pt idx="164">
                  <c:v>6.6746200022902298E-12</c:v>
                </c:pt>
                <c:pt idx="165">
                  <c:v>6.6746200022902298E-12</c:v>
                </c:pt>
                <c:pt idx="166">
                  <c:v>6.6746200022902298E-12</c:v>
                </c:pt>
                <c:pt idx="167">
                  <c:v>6.6746200022902298E-12</c:v>
                </c:pt>
                <c:pt idx="168">
                  <c:v>6.6746200022902298E-12</c:v>
                </c:pt>
                <c:pt idx="169">
                  <c:v>6.6746200022902298E-12</c:v>
                </c:pt>
                <c:pt idx="170">
                  <c:v>6.6746200022902298E-12</c:v>
                </c:pt>
                <c:pt idx="171">
                  <c:v>6.6746200022902298E-12</c:v>
                </c:pt>
                <c:pt idx="172">
                  <c:v>6.6746200022902298E-12</c:v>
                </c:pt>
                <c:pt idx="173">
                  <c:v>6.6746200022902298E-12</c:v>
                </c:pt>
                <c:pt idx="174">
                  <c:v>6.6746200022902298E-12</c:v>
                </c:pt>
                <c:pt idx="175">
                  <c:v>6.6746200022902298E-12</c:v>
                </c:pt>
                <c:pt idx="176">
                  <c:v>6.6746200022902298E-12</c:v>
                </c:pt>
                <c:pt idx="177">
                  <c:v>6.6746200022902298E-12</c:v>
                </c:pt>
                <c:pt idx="178">
                  <c:v>6.6746200022902298E-12</c:v>
                </c:pt>
                <c:pt idx="179">
                  <c:v>6.6746200022902298E-12</c:v>
                </c:pt>
                <c:pt idx="180">
                  <c:v>6.6746200022902298E-12</c:v>
                </c:pt>
                <c:pt idx="181">
                  <c:v>6.6746200022902298E-12</c:v>
                </c:pt>
                <c:pt idx="182">
                  <c:v>6.6746200022902298E-12</c:v>
                </c:pt>
                <c:pt idx="183">
                  <c:v>6.6746200022902298E-12</c:v>
                </c:pt>
                <c:pt idx="184">
                  <c:v>6.6746200022902298E-12</c:v>
                </c:pt>
                <c:pt idx="185">
                  <c:v>6.6746200022902298E-12</c:v>
                </c:pt>
                <c:pt idx="186">
                  <c:v>6.6746200022902298E-12</c:v>
                </c:pt>
                <c:pt idx="187">
                  <c:v>6.6746200022902298E-12</c:v>
                </c:pt>
                <c:pt idx="188">
                  <c:v>6.6746200022902298E-12</c:v>
                </c:pt>
                <c:pt idx="189">
                  <c:v>6.6746200022902298E-12</c:v>
                </c:pt>
                <c:pt idx="190">
                  <c:v>6.6746200022902298E-12</c:v>
                </c:pt>
                <c:pt idx="191">
                  <c:v>6.6746200022902298E-12</c:v>
                </c:pt>
                <c:pt idx="192">
                  <c:v>6.6746200022902298E-12</c:v>
                </c:pt>
                <c:pt idx="193">
                  <c:v>6.6746200022902298E-12</c:v>
                </c:pt>
                <c:pt idx="194">
                  <c:v>6.6746200022902298E-12</c:v>
                </c:pt>
                <c:pt idx="195">
                  <c:v>6.6746200022902298E-12</c:v>
                </c:pt>
                <c:pt idx="196">
                  <c:v>6.6746200022902298E-12</c:v>
                </c:pt>
                <c:pt idx="197">
                  <c:v>6.6746200022902298E-12</c:v>
                </c:pt>
                <c:pt idx="198">
                  <c:v>6.6746200022902298E-12</c:v>
                </c:pt>
                <c:pt idx="199">
                  <c:v>6.6746200022902298E-12</c:v>
                </c:pt>
                <c:pt idx="200">
                  <c:v>6.6746200022902298E-12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67.141068601994363</c:v>
                </c:pt>
                <c:pt idx="17">
                  <c:v>84.965895845508868</c:v>
                </c:pt>
                <c:pt idx="18">
                  <c:v>102.69609677832152</c:v>
                </c:pt>
                <c:pt idx="19">
                  <c:v>120.35039026570223</c:v>
                </c:pt>
                <c:pt idx="20">
                  <c:v>137.94151075020798</c:v>
                </c:pt>
                <c:pt idx="21">
                  <c:v>155.47866232925674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158.76051047616974</c:v>
                </c:pt>
                <c:pt idx="29">
                  <c:v>175.59896515661083</c:v>
                </c:pt>
                <c:pt idx="30">
                  <c:v>192.39950654022337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220.02792534458789</c:v>
                </c:pt>
                <c:pt idx="36">
                  <c:v>236.44664825214033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318.18531578207222</c:v>
                </c:pt>
                <c:pt idx="42">
                  <c:v>258.41598708702207</c:v>
                </c:pt>
                <c:pt idx="43">
                  <c:v>273.64897539352847</c:v>
                </c:pt>
                <c:pt idx="44">
                  <c:v>288.86291050410301</c:v>
                </c:pt>
                <c:pt idx="45">
                  <c:v>304.05893725366747</c:v>
                </c:pt>
                <c:pt idx="46">
                  <c:v>319.23807668113341</c:v>
                </c:pt>
                <c:pt idx="47">
                  <c:v>334.40124478994881</c:v>
                </c:pt>
                <c:pt idx="48">
                  <c:v>349.54926772624776</c:v>
                </c:pt>
                <c:pt idx="49">
                  <c:v>364.68289418741483</c:v>
                </c:pt>
                <c:pt idx="50">
                  <c:v>379.80280566271313</c:v>
                </c:pt>
                <c:pt idx="51">
                  <c:v>322.84049712168786</c:v>
                </c:pt>
                <c:pt idx="52">
                  <c:v>336.46900936276592</c:v>
                </c:pt>
                <c:pt idx="53">
                  <c:v>350.08536930552197</c:v>
                </c:pt>
                <c:pt idx="54">
                  <c:v>363.69011622210314</c:v>
                </c:pt>
                <c:pt idx="55">
                  <c:v>377.28374574247255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431.55573603859699</c:v>
                </c:pt>
                <c:pt idx="60">
                  <c:v>445.09999862375906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2.8639959403802187</c:v>
                </c:pt>
                <c:pt idx="2">
                  <c:v>3.3293427574033534</c:v>
                </c:pt>
                <c:pt idx="3">
                  <c:v>3.8705728416619798</c:v>
                </c:pt>
                <c:pt idx="4">
                  <c:v>4.5001023718033588</c:v>
                </c:pt>
                <c:pt idx="5">
                  <c:v>5.2323855366746921</c:v>
                </c:pt>
                <c:pt idx="6">
                  <c:v>6.0842500435635616</c:v>
                </c:pt>
                <c:pt idx="7">
                  <c:v>7.0752880099445896</c:v>
                </c:pt>
                <c:pt idx="8">
                  <c:v>8.2283114039272416</c:v>
                </c:pt>
                <c:pt idx="9">
                  <c:v>9.5698827187741795</c:v>
                </c:pt>
                <c:pt idx="10">
                  <c:v>11.13093333969983</c:v>
                </c:pt>
                <c:pt idx="11">
                  <c:v>12.947484128738731</c:v>
                </c:pt>
                <c:pt idx="12">
                  <c:v>15.061485164885092</c:v>
                </c:pt>
                <c:pt idx="13">
                  <c:v>17.521794389231651</c:v>
                </c:pt>
                <c:pt idx="14">
                  <c:v>20.385318185319104</c:v>
                </c:pt>
                <c:pt idx="15">
                  <c:v>23.718340751345561</c:v>
                </c:pt>
                <c:pt idx="16">
                  <c:v>27.598073584299282</c:v>
                </c:pt>
                <c:pt idx="17">
                  <c:v>32.114461602684813</c:v>
                </c:pt>
                <c:pt idx="18">
                  <c:v>37.37228850827281</c:v>
                </c:pt>
                <c:pt idx="19">
                  <c:v>43.493631072881378</c:v>
                </c:pt>
                <c:pt idx="20">
                  <c:v>50.620720302429298</c:v>
                </c:pt>
                <c:pt idx="21">
                  <c:v>58.91927707443957</c:v>
                </c:pt>
                <c:pt idx="22">
                  <c:v>68.582401096802926</c:v>
                </c:pt>
                <c:pt idx="23">
                  <c:v>79.835105163370045</c:v>
                </c:pt>
                <c:pt idx="24">
                  <c:v>92.939601999150909</c:v>
                </c:pt>
                <c:pt idx="25">
                  <c:v>108.20146886027378</c:v>
                </c:pt>
                <c:pt idx="26">
                  <c:v>125.97683590829324</c:v>
                </c:pt>
                <c:pt idx="27">
                  <c:v>146.68076871324072</c:v>
                </c:pt>
                <c:pt idx="28">
                  <c:v>170.79704363667568</c:v>
                </c:pt>
                <c:pt idx="29">
                  <c:v>198.88954798395798</c:v>
                </c:pt>
                <c:pt idx="30">
                  <c:v>231.61557548672567</c:v>
                </c:pt>
                <c:pt idx="31">
                  <c:v>248.98148133075566</c:v>
                </c:pt>
                <c:pt idx="32">
                  <c:v>266.31991507152122</c:v>
                </c:pt>
                <c:pt idx="33">
                  <c:v>283.63291681047082</c:v>
                </c:pt>
                <c:pt idx="34">
                  <c:v>300.92225719387051</c:v>
                </c:pt>
                <c:pt idx="35">
                  <c:v>255.67682082579753</c:v>
                </c:pt>
                <c:pt idx="36">
                  <c:v>276.05546061528617</c:v>
                </c:pt>
                <c:pt idx="37">
                  <c:v>296.40032549230995</c:v>
                </c:pt>
                <c:pt idx="38">
                  <c:v>316.71405899195372</c:v>
                </c:pt>
                <c:pt idx="39">
                  <c:v>336.99893785828505</c:v>
                </c:pt>
                <c:pt idx="40">
                  <c:v>357.25694241439805</c:v>
                </c:pt>
                <c:pt idx="41">
                  <c:v>377.48981012490543</c:v>
                </c:pt>
                <c:pt idx="42">
                  <c:v>397.69907706908663</c:v>
                </c:pt>
                <c:pt idx="43">
                  <c:v>324.9612598100843</c:v>
                </c:pt>
                <c:pt idx="44">
                  <c:v>345.50636423997958</c:v>
                </c:pt>
                <c:pt idx="45">
                  <c:v>366.02464582894544</c:v>
                </c:pt>
                <c:pt idx="46">
                  <c:v>386.51781886166515</c:v>
                </c:pt>
                <c:pt idx="47">
                  <c:v>406.98740107773807</c:v>
                </c:pt>
                <c:pt idx="48">
                  <c:v>427.43474516112082</c:v>
                </c:pt>
                <c:pt idx="49">
                  <c:v>447.86106388908206</c:v>
                </c:pt>
                <c:pt idx="50">
                  <c:v>468.26745045400418</c:v>
                </c:pt>
                <c:pt idx="51">
                  <c:v>380.63726250489032</c:v>
                </c:pt>
                <c:pt idx="52">
                  <c:v>400.52960561786057</c:v>
                </c:pt>
                <c:pt idx="53">
                  <c:v>420.40057443622942</c:v>
                </c:pt>
                <c:pt idx="54">
                  <c:v>440.25132078927794</c:v>
                </c:pt>
                <c:pt idx="55">
                  <c:v>460.08288421816832</c:v>
                </c:pt>
                <c:pt idx="56">
                  <c:v>479.89620738973196</c:v>
                </c:pt>
                <c:pt idx="57">
                  <c:v>499.69214883263152</c:v>
                </c:pt>
                <c:pt idx="58">
                  <c:v>519.47149355077215</c:v>
                </c:pt>
                <c:pt idx="59">
                  <c:v>441.04961955072281</c:v>
                </c:pt>
                <c:pt idx="60">
                  <c:v>459.98421652792916</c:v>
                </c:pt>
                <c:pt idx="61">
                  <c:v>478.90218184657004</c:v>
                </c:pt>
                <c:pt idx="62">
                  <c:v>497.80426455705566</c:v>
                </c:pt>
                <c:pt idx="63">
                  <c:v>516.69115222171979</c:v>
                </c:pt>
                <c:pt idx="64">
                  <c:v>535.56347807122279</c:v>
                </c:pt>
                <c:pt idx="65">
                  <c:v>554.4218271001721</c:v>
                </c:pt>
                <c:pt idx="66">
                  <c:v>573.26674129063406</c:v>
                </c:pt>
                <c:pt idx="67">
                  <c:v>480.24780263407638</c:v>
                </c:pt>
                <c:pt idx="68">
                  <c:v>498.05380229338692</c:v>
                </c:pt>
                <c:pt idx="69">
                  <c:v>515.84632529138878</c:v>
                </c:pt>
                <c:pt idx="70">
                  <c:v>533.62590162310812</c:v>
                </c:pt>
                <c:pt idx="71">
                  <c:v>551.39302310824553</c:v>
                </c:pt>
                <c:pt idx="72">
                  <c:v>569.14814730758542</c:v>
                </c:pt>
                <c:pt idx="73">
                  <c:v>586.89170092552831</c:v>
                </c:pt>
                <c:pt idx="74">
                  <c:v>604.62408277997235</c:v>
                </c:pt>
                <c:pt idx="75">
                  <c:v>513.54299813528871</c:v>
                </c:pt>
                <c:pt idx="76">
                  <c:v>530.27495450689946</c:v>
                </c:pt>
                <c:pt idx="77">
                  <c:v>546.99580366096939</c:v>
                </c:pt>
                <c:pt idx="78">
                  <c:v>563.70593274473765</c:v>
                </c:pt>
                <c:pt idx="79">
                  <c:v>580.40570409493978</c:v>
                </c:pt>
                <c:pt idx="80">
                  <c:v>597.09545751056794</c:v>
                </c:pt>
                <c:pt idx="81">
                  <c:v>613.77551225844934</c:v>
                </c:pt>
                <c:pt idx="82">
                  <c:v>630.44616884960124</c:v>
                </c:pt>
                <c:pt idx="83">
                  <c:v>564.10382127051901</c:v>
                </c:pt>
                <c:pt idx="84">
                  <c:v>580.17660502845399</c:v>
                </c:pt>
                <c:pt idx="85">
                  <c:v>596.2401048425678</c:v>
                </c:pt>
                <c:pt idx="86">
                  <c:v>612.29460590955534</c:v>
                </c:pt>
                <c:pt idx="87">
                  <c:v>628.34037726041072</c:v>
                </c:pt>
                <c:pt idx="88">
                  <c:v>644.37767307464867</c:v>
                </c:pt>
                <c:pt idx="89">
                  <c:v>660.40673385697016</c:v>
                </c:pt>
                <c:pt idx="90">
                  <c:v>676.42778749383285</c:v>
                </c:pt>
                <c:pt idx="91">
                  <c:v>595.46127013578644</c:v>
                </c:pt>
                <c:pt idx="92">
                  <c:v>610.94374529595405</c:v>
                </c:pt>
                <c:pt idx="93">
                  <c:v>626.41808190899428</c:v>
                </c:pt>
                <c:pt idx="94">
                  <c:v>641.88450921534013</c:v>
                </c:pt>
                <c:pt idx="95">
                  <c:v>657.3432445146284</c:v>
                </c:pt>
                <c:pt idx="96">
                  <c:v>672.79449405964499</c:v>
                </c:pt>
                <c:pt idx="97">
                  <c:v>688.23845386393521</c:v>
                </c:pt>
                <c:pt idx="98">
                  <c:v>703.67531043320753</c:v>
                </c:pt>
                <c:pt idx="99">
                  <c:v>719.10524142927113</c:v>
                </c:pt>
                <c:pt idx="100">
                  <c:v>734.52841627406622</c:v>
                </c:pt>
                <c:pt idx="101">
                  <c:v>619.44411785363297</c:v>
                </c:pt>
                <c:pt idx="102">
                  <c:v>634.26987556077927</c:v>
                </c:pt>
                <c:pt idx="103">
                  <c:v>649.08847181857095</c:v>
                </c:pt>
                <c:pt idx="104">
                  <c:v>663.90009305467527</c:v>
                </c:pt>
                <c:pt idx="105">
                  <c:v>678.704916705458</c:v>
                </c:pt>
                <c:pt idx="106">
                  <c:v>693.50311184034763</c:v>
                </c:pt>
                <c:pt idx="107">
                  <c:v>708.29483973017648</c:v>
                </c:pt>
                <c:pt idx="108">
                  <c:v>723.08025436560968</c:v>
                </c:pt>
                <c:pt idx="109">
                  <c:v>737.85950293100223</c:v>
                </c:pt>
                <c:pt idx="110">
                  <c:v>752.63272623834416</c:v>
                </c:pt>
                <c:pt idx="111">
                  <c:v>665.42878777540602</c:v>
                </c:pt>
                <c:pt idx="112">
                  <c:v>680.03719288224272</c:v>
                </c:pt>
                <c:pt idx="113">
                  <c:v>694.63915807971728</c:v>
                </c:pt>
                <c:pt idx="114">
                  <c:v>709.23483772152179</c:v>
                </c:pt>
                <c:pt idx="115">
                  <c:v>723.82437929482228</c:v>
                </c:pt>
                <c:pt idx="116">
                  <c:v>738.40792386082285</c:v>
                </c:pt>
                <c:pt idx="117">
                  <c:v>752.98560645873988</c:v>
                </c:pt>
                <c:pt idx="118">
                  <c:v>767.55755647689455</c:v>
                </c:pt>
                <c:pt idx="119">
                  <c:v>782.12389799418236</c:v>
                </c:pt>
                <c:pt idx="120">
                  <c:v>796.68475009480505</c:v>
                </c:pt>
                <c:pt idx="121">
                  <c:v>719.99933251995401</c:v>
                </c:pt>
                <c:pt idx="122">
                  <c:v>734.58052793392801</c:v>
                </c:pt>
                <c:pt idx="123">
                  <c:v>749.15582965635815</c:v>
                </c:pt>
                <c:pt idx="124">
                  <c:v>763.72536842018542</c:v>
                </c:pt>
                <c:pt idx="125">
                  <c:v>778.28926956769021</c:v>
                </c:pt>
                <c:pt idx="126">
                  <c:v>792.84765337156171</c:v>
                </c:pt>
                <c:pt idx="127">
                  <c:v>807.40063533118018</c:v>
                </c:pt>
                <c:pt idx="128">
                  <c:v>821.94832644644737</c:v>
                </c:pt>
                <c:pt idx="129">
                  <c:v>836.49083347124179</c:v>
                </c:pt>
                <c:pt idx="130">
                  <c:v>851.02825914835046</c:v>
                </c:pt>
                <c:pt idx="131">
                  <c:v>761.45763332164108</c:v>
                </c:pt>
                <c:pt idx="132">
                  <c:v>776.12390837982286</c:v>
                </c:pt>
                <c:pt idx="133">
                  <c:v>790.78457108132534</c:v>
                </c:pt>
                <c:pt idx="134">
                  <c:v>805.43974004806614</c:v>
                </c:pt>
                <c:pt idx="135">
                  <c:v>820.08952923707818</c:v>
                </c:pt>
                <c:pt idx="136">
                  <c:v>834.73404820572796</c:v>
                </c:pt>
                <c:pt idx="137">
                  <c:v>849.37340235736701</c:v>
                </c:pt>
                <c:pt idx="138">
                  <c:v>864.00769316918922</c:v>
                </c:pt>
                <c:pt idx="139">
                  <c:v>878.63701840386273</c:v>
                </c:pt>
                <c:pt idx="140">
                  <c:v>893.26147230634558</c:v>
                </c:pt>
                <c:pt idx="141">
                  <c:v>805.64649680872481</c:v>
                </c:pt>
                <c:pt idx="142">
                  <c:v>820.31310933155225</c:v>
                </c:pt>
                <c:pt idx="143">
                  <c:v>834.97444110892411</c:v>
                </c:pt>
                <c:pt idx="144">
                  <c:v>849.63059784534641</c:v>
                </c:pt>
                <c:pt idx="145">
                  <c:v>864.28168130462757</c:v>
                </c:pt>
                <c:pt idx="146">
                  <c:v>878.92778952247227</c:v>
                </c:pt>
                <c:pt idx="147">
                  <c:v>893.56901700417745</c:v>
                </c:pt>
                <c:pt idx="148">
                  <c:v>908.20545490871746</c:v>
                </c:pt>
                <c:pt idx="149">
                  <c:v>922.83719122035438</c:v>
                </c:pt>
                <c:pt idx="150">
                  <c:v>937.46431090881333</c:v>
                </c:pt>
                <c:pt idx="151">
                  <c:v>586.66810843693384</c:v>
                </c:pt>
                <c:pt idx="152">
                  <c:v>598.96417001608711</c:v>
                </c:pt>
                <c:pt idx="153">
                  <c:v>611.2549848863099</c:v>
                </c:pt>
                <c:pt idx="154">
                  <c:v>401.209131802287</c:v>
                </c:pt>
                <c:pt idx="155">
                  <c:v>406.81592560220616</c:v>
                </c:pt>
                <c:pt idx="156">
                  <c:v>412.42104964965648</c:v>
                </c:pt>
                <c:pt idx="157">
                  <c:v>281.34919143044465</c:v>
                </c:pt>
                <c:pt idx="158">
                  <c:v>284.67325459458777</c:v>
                </c:pt>
                <c:pt idx="159">
                  <c:v>287.99644868457426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2.8307100064276569</c:v>
                </c:pt>
                <c:pt idx="2">
                  <c:v>3.2523695185886425</c:v>
                </c:pt>
                <c:pt idx="3">
                  <c:v>3.7370634046994655</c:v>
                </c:pt>
                <c:pt idx="4">
                  <c:v>4.2942464432550436</c:v>
                </c:pt>
                <c:pt idx="5">
                  <c:v>4.9347960334377872</c:v>
                </c:pt>
                <c:pt idx="6">
                  <c:v>5.6712268764808265</c:v>
                </c:pt>
                <c:pt idx="7">
                  <c:v>6.5179381411137802</c:v>
                </c:pt>
                <c:pt idx="8">
                  <c:v>7.4914980405498142</c:v>
                </c:pt>
                <c:pt idx="9">
                  <c:v>8.6109714976064371</c:v>
                </c:pt>
                <c:pt idx="10">
                  <c:v>9.8982974378141702</c:v>
                </c:pt>
                <c:pt idx="11">
                  <c:v>11.378723245176147</c:v>
                </c:pt>
                <c:pt idx="12">
                  <c:v>13.081305061680647</c:v>
                </c:pt>
                <c:pt idx="13">
                  <c:v>15.039483932891544</c:v>
                </c:pt>
                <c:pt idx="14">
                  <c:v>17.291749324643522</c:v>
                </c:pt>
                <c:pt idx="15">
                  <c:v>19.882403290829028</c:v>
                </c:pt>
                <c:pt idx="16">
                  <c:v>22.862440594970909</c:v>
                </c:pt>
                <c:pt idx="17">
                  <c:v>26.290562419647603</c:v>
                </c:pt>
                <c:pt idx="18">
                  <c:v>30.234343985061098</c:v>
                </c:pt>
                <c:pt idx="19">
                  <c:v>34.771579495517038</c:v>
                </c:pt>
                <c:pt idx="20">
                  <c:v>39.991831403060566</c:v>
                </c:pt>
                <c:pt idx="21">
                  <c:v>45.998215093325911</c:v>
                </c:pt>
                <c:pt idx="22">
                  <c:v>52.909454843242116</c:v>
                </c:pt>
                <c:pt idx="23">
                  <c:v>60.862252369800835</c:v>
                </c:pt>
                <c:pt idx="24">
                  <c:v>70.014015594587036</c:v>
                </c:pt>
                <c:pt idx="25">
                  <c:v>80.546002518160876</c:v>
                </c:pt>
                <c:pt idx="26">
                  <c:v>92.666943479224003</c:v>
                </c:pt>
                <c:pt idx="27">
                  <c:v>106.61721473600949</c:v>
                </c:pt>
                <c:pt idx="28">
                  <c:v>122.67364744778793</c:v>
                </c:pt>
                <c:pt idx="29">
                  <c:v>141.15506897918578</c:v>
                </c:pt>
                <c:pt idx="30">
                  <c:v>162.42868826028186</c:v>
                </c:pt>
                <c:pt idx="31">
                  <c:v>173.93055019579205</c:v>
                </c:pt>
                <c:pt idx="32">
                  <c:v>185.41454048291868</c:v>
                </c:pt>
                <c:pt idx="33">
                  <c:v>196.88192288014184</c:v>
                </c:pt>
                <c:pt idx="34">
                  <c:v>208.33380173755381</c:v>
                </c:pt>
                <c:pt idx="35">
                  <c:v>219.77114995363402</c:v>
                </c:pt>
                <c:pt idx="36">
                  <c:v>231.19483079803521</c:v>
                </c:pt>
                <c:pt idx="37">
                  <c:v>242.60561518917095</c:v>
                </c:pt>
                <c:pt idx="38">
                  <c:v>254.00419554698237</c:v>
                </c:pt>
                <c:pt idx="39">
                  <c:v>265.39119702618359</c:v>
                </c:pt>
                <c:pt idx="40">
                  <c:v>276.7671867188015</c:v>
                </c:pt>
                <c:pt idx="41">
                  <c:v>288.13268126322043</c:v>
                </c:pt>
                <c:pt idx="42">
                  <c:v>299.48815318892986</c:v>
                </c:pt>
                <c:pt idx="43">
                  <c:v>233.97109008309337</c:v>
                </c:pt>
                <c:pt idx="44">
                  <c:v>248.8414658772368</c:v>
                </c:pt>
                <c:pt idx="45">
                  <c:v>263.69168604026027</c:v>
                </c:pt>
                <c:pt idx="46">
                  <c:v>278.52304565786835</c:v>
                </c:pt>
                <c:pt idx="47">
                  <c:v>293.33669057840274</c:v>
                </c:pt>
                <c:pt idx="48">
                  <c:v>308.13364143812822</c:v>
                </c:pt>
                <c:pt idx="49">
                  <c:v>322.91481282677307</c:v>
                </c:pt>
                <c:pt idx="50">
                  <c:v>337.68102875831045</c:v>
                </c:pt>
                <c:pt idx="51">
                  <c:v>291.77055729435006</c:v>
                </c:pt>
                <c:pt idx="52">
                  <c:v>306.75006624380251</c:v>
                </c:pt>
                <c:pt idx="53">
                  <c:v>321.71332380379141</c:v>
                </c:pt>
                <c:pt idx="54">
                  <c:v>336.66119227849669</c:v>
                </c:pt>
                <c:pt idx="55">
                  <c:v>351.59445114296915</c:v>
                </c:pt>
                <c:pt idx="56">
                  <c:v>366.5138082533162</c:v>
                </c:pt>
                <c:pt idx="57">
                  <c:v>381.41990913573176</c:v>
                </c:pt>
                <c:pt idx="58">
                  <c:v>396.31334474734012</c:v>
                </c:pt>
                <c:pt idx="59">
                  <c:v>336.73569562119013</c:v>
                </c:pt>
                <c:pt idx="60">
                  <c:v>351.18754836078023</c:v>
                </c:pt>
                <c:pt idx="61">
                  <c:v>365.62636452601845</c:v>
                </c:pt>
                <c:pt idx="62">
                  <c:v>380.05273142576448</c:v>
                </c:pt>
                <c:pt idx="63">
                  <c:v>394.46718814422502</c:v>
                </c:pt>
                <c:pt idx="64">
                  <c:v>408.8702311551977</c:v>
                </c:pt>
                <c:pt idx="65">
                  <c:v>423.26231910390328</c:v>
                </c:pt>
                <c:pt idx="66">
                  <c:v>437.64387690450309</c:v>
                </c:pt>
                <c:pt idx="67">
                  <c:v>370.82476415623222</c:v>
                </c:pt>
                <c:pt idx="68">
                  <c:v>384.63268809859414</c:v>
                </c:pt>
                <c:pt idx="69">
                  <c:v>398.42984375016573</c:v>
                </c:pt>
                <c:pt idx="70">
                  <c:v>412.21665651615825</c:v>
                </c:pt>
                <c:pt idx="71">
                  <c:v>425.99352102565734</c:v>
                </c:pt>
                <c:pt idx="72">
                  <c:v>439.76080430234055</c:v>
                </c:pt>
                <c:pt idx="73">
                  <c:v>453.51884851744944</c:v>
                </c:pt>
                <c:pt idx="74">
                  <c:v>467.26797339131707</c:v>
                </c:pt>
                <c:pt idx="75">
                  <c:v>404.94674143924408</c:v>
                </c:pt>
                <c:pt idx="76">
                  <c:v>418.3883702182809</c:v>
                </c:pt>
                <c:pt idx="77">
                  <c:v>431.82069585461068</c:v>
                </c:pt>
                <c:pt idx="78">
                  <c:v>445.24404848176937</c:v>
                </c:pt>
                <c:pt idx="79">
                  <c:v>458.65873670535325</c:v>
                </c:pt>
                <c:pt idx="80">
                  <c:v>472.06504960865618</c:v>
                </c:pt>
                <c:pt idx="81">
                  <c:v>485.46325851862588</c:v>
                </c:pt>
                <c:pt idx="82">
                  <c:v>498.85361856674268</c:v>
                </c:pt>
                <c:pt idx="83">
                  <c:v>512.23637007361174</c:v>
                </c:pt>
                <c:pt idx="84">
                  <c:v>525.6117397813556</c:v>
                </c:pt>
                <c:pt idx="85">
                  <c:v>441.54438463100996</c:v>
                </c:pt>
                <c:pt idx="86">
                  <c:v>454.38112044360383</c:v>
                </c:pt>
                <c:pt idx="87">
                  <c:v>467.21010753523325</c:v>
                </c:pt>
                <c:pt idx="88">
                  <c:v>480.03158863662088</c:v>
                </c:pt>
                <c:pt idx="89">
                  <c:v>492.84579245584081</c:v>
                </c:pt>
                <c:pt idx="90">
                  <c:v>505.65293483961369</c:v>
                </c:pt>
                <c:pt idx="91">
                  <c:v>518.45321981084578</c:v>
                </c:pt>
                <c:pt idx="92">
                  <c:v>531.24684049838822</c:v>
                </c:pt>
                <c:pt idx="93">
                  <c:v>544.03397997259253</c:v>
                </c:pt>
                <c:pt idx="94">
                  <c:v>556.81481199824509</c:v>
                </c:pt>
                <c:pt idx="95">
                  <c:v>472.51735174346186</c:v>
                </c:pt>
                <c:pt idx="96">
                  <c:v>484.96785143203329</c:v>
                </c:pt>
                <c:pt idx="97">
                  <c:v>497.41156559515588</c:v>
                </c:pt>
                <c:pt idx="98">
                  <c:v>509.84868788693979</c:v>
                </c:pt>
                <c:pt idx="99">
                  <c:v>522.27940174439595</c:v>
                </c:pt>
                <c:pt idx="100">
                  <c:v>534.70388116195261</c:v>
                </c:pt>
                <c:pt idx="101">
                  <c:v>547.12229139025374</c:v>
                </c:pt>
                <c:pt idx="102">
                  <c:v>559.5347895682263</c:v>
                </c:pt>
                <c:pt idx="103">
                  <c:v>571.94152529616179</c:v>
                </c:pt>
                <c:pt idx="104">
                  <c:v>584.34264115649614</c:v>
                </c:pt>
                <c:pt idx="105">
                  <c:v>502.53715158105643</c:v>
                </c:pt>
                <c:pt idx="106">
                  <c:v>514.79705879328628</c:v>
                </c:pt>
                <c:pt idx="107">
                  <c:v>527.05080467643836</c:v>
                </c:pt>
                <c:pt idx="108">
                  <c:v>539.29855264295816</c:v>
                </c:pt>
                <c:pt idx="109">
                  <c:v>551.54045807902435</c:v>
                </c:pt>
                <c:pt idx="110">
                  <c:v>563.77666891192064</c:v>
                </c:pt>
                <c:pt idx="111">
                  <c:v>576.007326125605</c:v>
                </c:pt>
                <c:pt idx="112">
                  <c:v>588.23256423022065</c:v>
                </c:pt>
                <c:pt idx="113">
                  <c:v>600.45251169056257</c:v>
                </c:pt>
                <c:pt idx="114">
                  <c:v>612.66729131785985</c:v>
                </c:pt>
                <c:pt idx="115">
                  <c:v>537.55204540117415</c:v>
                </c:pt>
                <c:pt idx="116">
                  <c:v>549.85375260834019</c:v>
                </c:pt>
                <c:pt idx="117">
                  <c:v>562.14969004052671</c:v>
                </c:pt>
                <c:pt idx="118">
                  <c:v>574.44000165502405</c:v>
                </c:pt>
                <c:pt idx="119">
                  <c:v>586.72482474842298</c:v>
                </c:pt>
                <c:pt idx="120">
                  <c:v>599.00429040073516</c:v>
                </c:pt>
                <c:pt idx="121">
                  <c:v>611.27852388121437</c:v>
                </c:pt>
                <c:pt idx="122">
                  <c:v>623.54764501990053</c:v>
                </c:pt>
                <c:pt idx="123">
                  <c:v>635.8117685484134</c:v>
                </c:pt>
                <c:pt idx="124">
                  <c:v>648.07100441309547</c:v>
                </c:pt>
                <c:pt idx="125">
                  <c:v>579.22549643046932</c:v>
                </c:pt>
                <c:pt idx="126">
                  <c:v>591.62206688831895</c:v>
                </c:pt>
                <c:pt idx="127">
                  <c:v>604.01323166793793</c:v>
                </c:pt>
                <c:pt idx="128">
                  <c:v>616.39911725611171</c:v>
                </c:pt>
                <c:pt idx="129">
                  <c:v>628.77984464373219</c:v>
                </c:pt>
                <c:pt idx="130">
                  <c:v>641.15552967037456</c:v>
                </c:pt>
                <c:pt idx="131">
                  <c:v>653.52628334090332</c:v>
                </c:pt>
                <c:pt idx="132">
                  <c:v>665.89221211686663</c:v>
                </c:pt>
                <c:pt idx="133">
                  <c:v>678.25341818513243</c:v>
                </c:pt>
                <c:pt idx="134">
                  <c:v>690.60999970593627</c:v>
                </c:pt>
                <c:pt idx="135">
                  <c:v>618.23086162332891</c:v>
                </c:pt>
                <c:pt idx="136">
                  <c:v>630.74675096006649</c:v>
                </c:pt>
                <c:pt idx="137">
                  <c:v>643.25750493072519</c:v>
                </c:pt>
                <c:pt idx="138">
                  <c:v>655.76323744627928</c:v>
                </c:pt>
                <c:pt idx="139">
                  <c:v>668.26405772071882</c:v>
                </c:pt>
                <c:pt idx="140">
                  <c:v>680.7600705507997</c:v>
                </c:pt>
                <c:pt idx="141">
                  <c:v>693.25137657420089</c:v>
                </c:pt>
                <c:pt idx="142">
                  <c:v>705.73807250811478</c:v>
                </c:pt>
                <c:pt idx="143">
                  <c:v>718.22025137008768</c:v>
                </c:pt>
                <c:pt idx="144">
                  <c:v>730.69800268271604</c:v>
                </c:pt>
                <c:pt idx="145">
                  <c:v>657.4999351633528</c:v>
                </c:pt>
                <c:pt idx="146">
                  <c:v>670.22849878803652</c:v>
                </c:pt>
                <c:pt idx="147">
                  <c:v>682.95209430116074</c:v>
                </c:pt>
                <c:pt idx="148">
                  <c:v>695.67082725561193</c:v>
                </c:pt>
                <c:pt idx="149">
                  <c:v>708.38479903209429</c:v>
                </c:pt>
                <c:pt idx="150">
                  <c:v>721.09410707752613</c:v>
                </c:pt>
                <c:pt idx="151">
                  <c:v>733.79884512576552</c:v>
                </c:pt>
                <c:pt idx="152">
                  <c:v>746.49910340226472</c:v>
                </c:pt>
                <c:pt idx="153">
                  <c:v>759.19496881408702</c:v>
                </c:pt>
                <c:pt idx="154">
                  <c:v>771.88652512655472</c:v>
                </c:pt>
                <c:pt idx="155">
                  <c:v>700.31490763373665</c:v>
                </c:pt>
                <c:pt idx="156">
                  <c:v>713.2109695923582</c:v>
                </c:pt>
                <c:pt idx="157">
                  <c:v>726.10226901113549</c:v>
                </c:pt>
                <c:pt idx="158">
                  <c:v>738.98890230867721</c:v>
                </c:pt>
                <c:pt idx="159">
                  <c:v>751.87096226881715</c:v>
                </c:pt>
                <c:pt idx="160">
                  <c:v>764.74853823885803</c:v>
                </c:pt>
                <c:pt idx="161">
                  <c:v>777.6217163137826</c:v>
                </c:pt>
                <c:pt idx="162">
                  <c:v>790.49057950763563</c:v>
                </c:pt>
                <c:pt idx="163">
                  <c:v>803.35520791318186</c:v>
                </c:pt>
                <c:pt idx="164">
                  <c:v>816.21567885080685</c:v>
                </c:pt>
                <c:pt idx="165">
                  <c:v>738.26984241282946</c:v>
                </c:pt>
                <c:pt idx="166">
                  <c:v>751.3097210030088</c:v>
                </c:pt>
                <c:pt idx="167">
                  <c:v>764.34500129842399</c:v>
                </c:pt>
                <c:pt idx="168">
                  <c:v>777.37577271617283</c:v>
                </c:pt>
                <c:pt idx="169">
                  <c:v>790.40212143337055</c:v>
                </c:pt>
                <c:pt idx="170">
                  <c:v>803.42413055711722</c:v>
                </c:pt>
                <c:pt idx="171">
                  <c:v>816.44188028288329</c:v>
                </c:pt>
                <c:pt idx="172">
                  <c:v>829.45544804227541</c:v>
                </c:pt>
                <c:pt idx="173">
                  <c:v>842.46490864105715</c:v>
                </c:pt>
                <c:pt idx="174">
                  <c:v>855.47033438820711</c:v>
                </c:pt>
                <c:pt idx="175">
                  <c:v>533.34175502884204</c:v>
                </c:pt>
                <c:pt idx="176">
                  <c:v>541.72493410524396</c:v>
                </c:pt>
                <c:pt idx="177">
                  <c:v>550.1053892065737</c:v>
                </c:pt>
                <c:pt idx="178">
                  <c:v>376.72130038522101</c:v>
                </c:pt>
                <c:pt idx="179">
                  <c:v>381.90422991293241</c:v>
                </c:pt>
                <c:pt idx="180">
                  <c:v>387.08562991680492</c:v>
                </c:pt>
                <c:pt idx="181">
                  <c:v>268.69630256773502</c:v>
                </c:pt>
                <c:pt idx="182">
                  <c:v>271.89070026573143</c:v>
                </c:pt>
                <c:pt idx="183">
                  <c:v>275.08425380056451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2.5419361243387457</c:v>
                </c:pt>
                <c:pt idx="2">
                  <c:v>3.1655725638916965</c:v>
                </c:pt>
                <c:pt idx="3">
                  <c:v>3.9428035750244419</c:v>
                </c:pt>
                <c:pt idx="4">
                  <c:v>4.9115952921971058</c:v>
                </c:pt>
                <c:pt idx="5">
                  <c:v>6.1193302965732146</c:v>
                </c:pt>
                <c:pt idx="6">
                  <c:v>7.6251504406534805</c:v>
                </c:pt>
                <c:pt idx="7">
                  <c:v>9.5028842563757507</c:v>
                </c:pt>
                <c:pt idx="8">
                  <c:v>11.844705198464125</c:v>
                </c:pt>
                <c:pt idx="9">
                  <c:v>14.765703652419754</c:v>
                </c:pt>
                <c:pt idx="10">
                  <c:v>18.409601532395097</c:v>
                </c:pt>
                <c:pt idx="11">
                  <c:v>22.955895729680325</c:v>
                </c:pt>
                <c:pt idx="12">
                  <c:v>28.628788554676579</c:v>
                </c:pt>
                <c:pt idx="13">
                  <c:v>35.708353284652667</c:v>
                </c:pt>
                <c:pt idx="14">
                  <c:v>44.544495545902528</c:v>
                </c:pt>
                <c:pt idx="15">
                  <c:v>55.574412233109683</c:v>
                </c:pt>
                <c:pt idx="16">
                  <c:v>69.344426154250357</c:v>
                </c:pt>
                <c:pt idx="17">
                  <c:v>86.537295547085179</c:v>
                </c:pt>
                <c:pt idx="18">
                  <c:v>108.00637426873294</c:v>
                </c:pt>
                <c:pt idx="19">
                  <c:v>134.81834487636456</c:v>
                </c:pt>
                <c:pt idx="20">
                  <c:v>168.30668061428091</c:v>
                </c:pt>
                <c:pt idx="21">
                  <c:v>114.89636998864779</c:v>
                </c:pt>
                <c:pt idx="22">
                  <c:v>136.11149105418758</c:v>
                </c:pt>
                <c:pt idx="23">
                  <c:v>157.24688373565013</c:v>
                </c:pt>
                <c:pt idx="24">
                  <c:v>178.31479007290764</c:v>
                </c:pt>
                <c:pt idx="25">
                  <c:v>199.32431229219446</c:v>
                </c:pt>
                <c:pt idx="26">
                  <c:v>220.28247236407125</c:v>
                </c:pt>
                <c:pt idx="27">
                  <c:v>241.19484478237635</c:v>
                </c:pt>
                <c:pt idx="28">
                  <c:v>262.06595742232184</c:v>
                </c:pt>
                <c:pt idx="29">
                  <c:v>282.89955759178861</c:v>
                </c:pt>
                <c:pt idx="30">
                  <c:v>303.69879541443913</c:v>
                </c:pt>
                <c:pt idx="31">
                  <c:v>225.42891467822554</c:v>
                </c:pt>
                <c:pt idx="32">
                  <c:v>242.90708874646216</c:v>
                </c:pt>
                <c:pt idx="33">
                  <c:v>260.35666841385739</c:v>
                </c:pt>
                <c:pt idx="34">
                  <c:v>277.77983970169777</c:v>
                </c:pt>
                <c:pt idx="35">
                  <c:v>295.17849192957436</c:v>
                </c:pt>
                <c:pt idx="36">
                  <c:v>312.55427347160997</c:v>
                </c:pt>
                <c:pt idx="37">
                  <c:v>329.90863445331962</c:v>
                </c:pt>
                <c:pt idx="38">
                  <c:v>347.24285998792817</c:v>
                </c:pt>
                <c:pt idx="39">
                  <c:v>364.55809642552708</c:v>
                </c:pt>
                <c:pt idx="40">
                  <c:v>381.85537235272409</c:v>
                </c:pt>
                <c:pt idx="41">
                  <c:v>299.78012652729893</c:v>
                </c:pt>
                <c:pt idx="42">
                  <c:v>312.89475650137177</c:v>
                </c:pt>
                <c:pt idx="43">
                  <c:v>325.9971979435436</c:v>
                </c:pt>
                <c:pt idx="44">
                  <c:v>339.08800983656238</c:v>
                </c:pt>
                <c:pt idx="45">
                  <c:v>352.16770447084946</c:v>
                </c:pt>
                <c:pt idx="46">
                  <c:v>365.23675297080734</c:v>
                </c:pt>
                <c:pt idx="47">
                  <c:v>378.29558998861233</c:v>
                </c:pt>
                <c:pt idx="48">
                  <c:v>391.34461771590031</c:v>
                </c:pt>
                <c:pt idx="49">
                  <c:v>404.38420933237239</c:v>
                </c:pt>
                <c:pt idx="50">
                  <c:v>417.41471198632871</c:v>
                </c:pt>
                <c:pt idx="51">
                  <c:v>360.82499034748571</c:v>
                </c:pt>
                <c:pt idx="52">
                  <c:v>370.32580293370683</c:v>
                </c:pt>
                <c:pt idx="53">
                  <c:v>379.82129986564109</c:v>
                </c:pt>
                <c:pt idx="54">
                  <c:v>389.31163283661289</c:v>
                </c:pt>
                <c:pt idx="55">
                  <c:v>398.79694553728024</c:v>
                </c:pt>
                <c:pt idx="56">
                  <c:v>408.27737426224047</c:v>
                </c:pt>
                <c:pt idx="57">
                  <c:v>417.7530484573353</c:v>
                </c:pt>
                <c:pt idx="58">
                  <c:v>427.22409121469786</c:v>
                </c:pt>
                <c:pt idx="59">
                  <c:v>436.69061972160131</c:v>
                </c:pt>
                <c:pt idx="60">
                  <c:v>446.15274566834916</c:v>
                </c:pt>
                <c:pt idx="61">
                  <c:v>410.81596227236088</c:v>
                </c:pt>
                <c:pt idx="62">
                  <c:v>417.7530484573353</c:v>
                </c:pt>
                <c:pt idx="63">
                  <c:v>424.68765216037281</c:v>
                </c:pt>
                <c:pt idx="64">
                  <c:v>431.61981966331041</c:v>
                </c:pt>
                <c:pt idx="65">
                  <c:v>438.54959563904839</c:v>
                </c:pt>
                <c:pt idx="66">
                  <c:v>445.477023232585</c:v>
                </c:pt>
                <c:pt idx="67">
                  <c:v>452.40214413674408</c:v>
                </c:pt>
                <c:pt idx="68">
                  <c:v>459.32499866302322</c:v>
                </c:pt>
                <c:pt idx="69">
                  <c:v>466.24562580794571</c:v>
                </c:pt>
                <c:pt idx="70">
                  <c:v>473.16406331526701</c:v>
                </c:pt>
                <c:pt idx="71">
                  <c:v>442.94286825616126</c:v>
                </c:pt>
                <c:pt idx="72">
                  <c:v>448.17978162908167</c:v>
                </c:pt>
                <c:pt idx="73">
                  <c:v>453.41538541847422</c:v>
                </c:pt>
                <c:pt idx="74">
                  <c:v>458.64969689218088</c:v>
                </c:pt>
                <c:pt idx="75">
                  <c:v>463.88273289143444</c:v>
                </c:pt>
                <c:pt idx="76">
                  <c:v>469.11450984619825</c:v>
                </c:pt>
                <c:pt idx="77">
                  <c:v>474.3450437897875</c:v>
                </c:pt>
                <c:pt idx="78">
                  <c:v>479.5743503728101</c:v>
                </c:pt>
                <c:pt idx="79">
                  <c:v>484.80244487646905</c:v>
                </c:pt>
                <c:pt idx="80">
                  <c:v>490.02934222525914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2.349628490596567</c:v>
                </c:pt>
                <c:pt idx="2">
                  <c:v>2.9259256206466504</c:v>
                </c:pt>
                <c:pt idx="3">
                  <c:v>3.6441213224988154</c:v>
                </c:pt>
                <c:pt idx="4">
                  <c:v>4.5392821358126039</c:v>
                </c:pt>
                <c:pt idx="5">
                  <c:v>5.655169916466896</c:v>
                </c:pt>
                <c:pt idx="6">
                  <c:v>7.0464047911606214</c:v>
                </c:pt>
                <c:pt idx="7">
                  <c:v>8.7811677106875958</c:v>
                </c:pt>
                <c:pt idx="8">
                  <c:v>10.944577575687909</c:v>
                </c:pt>
                <c:pt idx="9">
                  <c:v>13.642911752567786</c:v>
                </c:pt>
                <c:pt idx="10">
                  <c:v>17.008881145982745</c:v>
                </c:pt>
                <c:pt idx="11">
                  <c:v>21.208223989256144</c:v>
                </c:pt>
                <c:pt idx="12">
                  <c:v>26.447948836985294</c:v>
                </c:pt>
                <c:pt idx="13">
                  <c:v>32.986640253138752</c:v>
                </c:pt>
                <c:pt idx="14">
                  <c:v>41.147344589078159</c:v>
                </c:pt>
                <c:pt idx="15">
                  <c:v>51.333683306965732</c:v>
                </c:pt>
                <c:pt idx="16">
                  <c:v>64.050004123192423</c:v>
                </c:pt>
                <c:pt idx="17">
                  <c:v>79.926584088955266</c:v>
                </c:pt>
                <c:pt idx="18">
                  <c:v>99.75115394475516</c:v>
                </c:pt>
                <c:pt idx="19">
                  <c:v>124.50833265340184</c:v>
                </c:pt>
                <c:pt idx="20">
                  <c:v>155.42896118281021</c:v>
                </c:pt>
                <c:pt idx="21">
                  <c:v>106.11321895292241</c:v>
                </c:pt>
                <c:pt idx="22">
                  <c:v>125.70235128325668</c:v>
                </c:pt>
                <c:pt idx="23">
                  <c:v>145.21730655264767</c:v>
                </c:pt>
                <c:pt idx="24">
                  <c:v>164.6694744129513</c:v>
                </c:pt>
                <c:pt idx="25">
                  <c:v>184.06732332114089</c:v>
                </c:pt>
                <c:pt idx="26">
                  <c:v>203.41738632243278</c:v>
                </c:pt>
                <c:pt idx="27">
                  <c:v>222.72484977014358</c:v>
                </c:pt>
                <c:pt idx="28">
                  <c:v>241.99392627286227</c:v>
                </c:pt>
                <c:pt idx="29">
                  <c:v>261.22810222114185</c:v>
                </c:pt>
                <c:pt idx="30">
                  <c:v>280.43030840202363</c:v>
                </c:pt>
                <c:pt idx="31">
                  <c:v>208.16889650289264</c:v>
                </c:pt>
                <c:pt idx="32">
                  <c:v>224.30567506188856</c:v>
                </c:pt>
                <c:pt idx="33">
                  <c:v>240.41585018926619</c:v>
                </c:pt>
                <c:pt idx="34">
                  <c:v>256.50145569815317</c:v>
                </c:pt>
                <c:pt idx="35">
                  <c:v>272.56424935870956</c:v>
                </c:pt>
                <c:pt idx="36">
                  <c:v>288.60576477216404</c:v>
                </c:pt>
                <c:pt idx="37">
                  <c:v>304.62735109477933</c:v>
                </c:pt>
                <c:pt idx="38">
                  <c:v>320.63020395999393</c:v>
                </c:pt>
                <c:pt idx="39">
                  <c:v>336.61538989990396</c:v>
                </c:pt>
                <c:pt idx="40">
                  <c:v>352.58386588275079</c:v>
                </c:pt>
                <c:pt idx="41">
                  <c:v>276.8125452574306</c:v>
                </c:pt>
                <c:pt idx="42">
                  <c:v>288.92010093948954</c:v>
                </c:pt>
                <c:pt idx="43">
                  <c:v>301.01631675201418</c:v>
                </c:pt>
                <c:pt idx="44">
                  <c:v>313.10171275693489</c:v>
                </c:pt>
                <c:pt idx="45">
                  <c:v>325.17676557494673</c:v>
                </c:pt>
                <c:pt idx="46">
                  <c:v>337.24191352703059</c:v>
                </c:pt>
                <c:pt idx="47">
                  <c:v>349.29756100142686</c:v>
                </c:pt>
                <c:pt idx="48">
                  <c:v>361.3440821859968</c:v>
                </c:pt>
                <c:pt idx="49">
                  <c:v>373.38182427670745</c:v>
                </c:pt>
                <c:pt idx="50">
                  <c:v>385.41111025063793</c:v>
                </c:pt>
                <c:pt idx="51">
                  <c:v>333.16904934303881</c:v>
                </c:pt>
                <c:pt idx="52">
                  <c:v>341.94002746741876</c:v>
                </c:pt>
                <c:pt idx="53">
                  <c:v>350.70606005556914</c:v>
                </c:pt>
                <c:pt idx="54">
                  <c:v>359.46728823872041</c:v>
                </c:pt>
                <c:pt idx="55">
                  <c:v>368.22384570264654</c:v>
                </c:pt>
                <c:pt idx="56">
                  <c:v>376.97585925203225</c:v>
                </c:pt>
                <c:pt idx="57">
                  <c:v>385.72344931967217</c:v>
                </c:pt>
                <c:pt idx="58">
                  <c:v>394.46673042704816</c:v>
                </c:pt>
                <c:pt idx="59">
                  <c:v>403.20581160192432</c:v>
                </c:pt>
                <c:pt idx="60">
                  <c:v>411.94079675783877</c:v>
                </c:pt>
                <c:pt idx="61">
                  <c:v>379.31939262997997</c:v>
                </c:pt>
                <c:pt idx="62">
                  <c:v>385.72344931967223</c:v>
                </c:pt>
                <c:pt idx="63">
                  <c:v>392.12519637753098</c:v>
                </c:pt>
                <c:pt idx="64">
                  <c:v>398.5246768628835</c:v>
                </c:pt>
                <c:pt idx="65">
                  <c:v>404.92193233814868</c:v>
                </c:pt>
                <c:pt idx="66">
                  <c:v>411.3170029442274</c:v>
                </c:pt>
                <c:pt idx="67">
                  <c:v>417.70992747095789</c:v>
                </c:pt>
                <c:pt idx="68">
                  <c:v>424.10074342303113</c:v>
                </c:pt>
                <c:pt idx="69">
                  <c:v>430.48948708172276</c:v>
                </c:pt>
                <c:pt idx="70">
                  <c:v>436.87619356276872</c:v>
                </c:pt>
                <c:pt idx="71">
                  <c:v>408.9775939369726</c:v>
                </c:pt>
                <c:pt idx="72">
                  <c:v>413.81205599750388</c:v>
                </c:pt>
                <c:pt idx="73">
                  <c:v>418.6452996581101</c:v>
                </c:pt>
                <c:pt idx="74">
                  <c:v>423.47734098430948</c:v>
                </c:pt>
                <c:pt idx="75">
                  <c:v>428.30819564471432</c:v>
                </c:pt>
                <c:pt idx="76">
                  <c:v>433.13787892530354</c:v>
                </c:pt>
                <c:pt idx="77">
                  <c:v>437.96640574302529</c:v>
                </c:pt>
                <c:pt idx="78">
                  <c:v>442.7937906587685</c:v>
                </c:pt>
                <c:pt idx="79">
                  <c:v>447.62004788973678</c:v>
                </c:pt>
                <c:pt idx="80">
                  <c:v>452.44519132126362</c:v>
                </c:pt>
                <c:pt idx="81">
                  <c:v>1.2800215959791691E-12</c:v>
                </c:pt>
                <c:pt idx="82">
                  <c:v>1.2800215959791691E-12</c:v>
                </c:pt>
                <c:pt idx="83">
                  <c:v>1.2800215959791691E-12</c:v>
                </c:pt>
                <c:pt idx="84">
                  <c:v>1.2800215959791691E-12</c:v>
                </c:pt>
                <c:pt idx="85">
                  <c:v>1.2800215959791691E-12</c:v>
                </c:pt>
                <c:pt idx="86">
                  <c:v>1.2800215959791691E-12</c:v>
                </c:pt>
                <c:pt idx="87">
                  <c:v>1.2800215959791691E-12</c:v>
                </c:pt>
                <c:pt idx="88">
                  <c:v>1.2800215959791691E-12</c:v>
                </c:pt>
                <c:pt idx="89">
                  <c:v>1.2800215959791691E-12</c:v>
                </c:pt>
                <c:pt idx="90">
                  <c:v>1.2800215959791691E-12</c:v>
                </c:pt>
                <c:pt idx="91">
                  <c:v>1.2800215959791691E-12</c:v>
                </c:pt>
                <c:pt idx="92">
                  <c:v>1.2800215959791691E-12</c:v>
                </c:pt>
                <c:pt idx="93">
                  <c:v>1.2800215959791691E-12</c:v>
                </c:pt>
                <c:pt idx="94">
                  <c:v>1.2800215959791691E-12</c:v>
                </c:pt>
                <c:pt idx="95">
                  <c:v>1.2800215959791691E-12</c:v>
                </c:pt>
                <c:pt idx="96">
                  <c:v>1.2800215959791691E-12</c:v>
                </c:pt>
                <c:pt idx="97">
                  <c:v>1.2800215959791691E-12</c:v>
                </c:pt>
                <c:pt idx="98">
                  <c:v>1.2800215959791691E-12</c:v>
                </c:pt>
                <c:pt idx="99">
                  <c:v>1.2800215959791691E-12</c:v>
                </c:pt>
                <c:pt idx="100">
                  <c:v>1.2800215959791691E-12</c:v>
                </c:pt>
                <c:pt idx="101">
                  <c:v>1.2800215959791691E-12</c:v>
                </c:pt>
                <c:pt idx="102">
                  <c:v>1.2800215959791691E-12</c:v>
                </c:pt>
                <c:pt idx="103">
                  <c:v>1.2800215959791691E-12</c:v>
                </c:pt>
                <c:pt idx="104">
                  <c:v>1.2800215959791691E-12</c:v>
                </c:pt>
                <c:pt idx="105">
                  <c:v>1.2800215959791691E-12</c:v>
                </c:pt>
                <c:pt idx="106">
                  <c:v>1.2800215959791691E-12</c:v>
                </c:pt>
                <c:pt idx="107">
                  <c:v>1.2800215959791691E-12</c:v>
                </c:pt>
                <c:pt idx="108">
                  <c:v>1.2800215959791691E-12</c:v>
                </c:pt>
                <c:pt idx="109">
                  <c:v>1.2800215959791691E-12</c:v>
                </c:pt>
                <c:pt idx="110">
                  <c:v>1.2800215959791691E-12</c:v>
                </c:pt>
                <c:pt idx="111">
                  <c:v>1.2800215959791691E-12</c:v>
                </c:pt>
                <c:pt idx="112">
                  <c:v>1.2800215959791691E-12</c:v>
                </c:pt>
                <c:pt idx="113">
                  <c:v>1.2800215959791691E-12</c:v>
                </c:pt>
                <c:pt idx="114">
                  <c:v>1.2800215959791691E-12</c:v>
                </c:pt>
                <c:pt idx="115">
                  <c:v>1.2800215959791691E-12</c:v>
                </c:pt>
                <c:pt idx="116">
                  <c:v>1.2800215959791691E-12</c:v>
                </c:pt>
                <c:pt idx="117">
                  <c:v>1.2800215959791691E-12</c:v>
                </c:pt>
                <c:pt idx="118">
                  <c:v>1.2800215959791691E-12</c:v>
                </c:pt>
                <c:pt idx="119">
                  <c:v>1.2800215959791691E-12</c:v>
                </c:pt>
                <c:pt idx="120">
                  <c:v>1.2800215959791691E-12</c:v>
                </c:pt>
                <c:pt idx="121">
                  <c:v>1.2800215959791691E-12</c:v>
                </c:pt>
                <c:pt idx="122">
                  <c:v>1.2800215959791691E-12</c:v>
                </c:pt>
                <c:pt idx="123">
                  <c:v>1.2800215959791691E-12</c:v>
                </c:pt>
                <c:pt idx="124">
                  <c:v>1.2800215959791691E-12</c:v>
                </c:pt>
                <c:pt idx="125">
                  <c:v>1.2800215959791691E-12</c:v>
                </c:pt>
                <c:pt idx="126">
                  <c:v>1.2800215959791691E-12</c:v>
                </c:pt>
                <c:pt idx="127">
                  <c:v>1.2800215959791691E-12</c:v>
                </c:pt>
                <c:pt idx="128">
                  <c:v>1.2800215959791691E-12</c:v>
                </c:pt>
                <c:pt idx="129">
                  <c:v>1.2800215959791691E-12</c:v>
                </c:pt>
                <c:pt idx="130">
                  <c:v>1.2800215959791691E-12</c:v>
                </c:pt>
                <c:pt idx="131">
                  <c:v>1.2800215959791691E-12</c:v>
                </c:pt>
                <c:pt idx="132">
                  <c:v>1.2800215959791691E-12</c:v>
                </c:pt>
                <c:pt idx="133">
                  <c:v>1.2800215959791691E-12</c:v>
                </c:pt>
                <c:pt idx="134">
                  <c:v>1.2800215959791691E-12</c:v>
                </c:pt>
                <c:pt idx="135">
                  <c:v>1.2800215959791691E-12</c:v>
                </c:pt>
                <c:pt idx="136">
                  <c:v>1.2800215959791691E-12</c:v>
                </c:pt>
                <c:pt idx="137">
                  <c:v>1.2800215959791691E-12</c:v>
                </c:pt>
                <c:pt idx="138">
                  <c:v>1.2800215959791691E-12</c:v>
                </c:pt>
                <c:pt idx="139">
                  <c:v>1.2800215959791691E-12</c:v>
                </c:pt>
                <c:pt idx="140">
                  <c:v>1.2800215959791691E-12</c:v>
                </c:pt>
                <c:pt idx="141">
                  <c:v>1.2800215959791691E-12</c:v>
                </c:pt>
                <c:pt idx="142">
                  <c:v>1.2800215959791691E-12</c:v>
                </c:pt>
                <c:pt idx="143">
                  <c:v>1.2800215959791691E-12</c:v>
                </c:pt>
                <c:pt idx="144">
                  <c:v>1.2800215959791691E-12</c:v>
                </c:pt>
                <c:pt idx="145">
                  <c:v>1.2800215959791691E-12</c:v>
                </c:pt>
                <c:pt idx="146">
                  <c:v>1.2800215959791691E-12</c:v>
                </c:pt>
                <c:pt idx="147">
                  <c:v>1.2800215959791691E-12</c:v>
                </c:pt>
                <c:pt idx="148">
                  <c:v>1.2800215959791691E-12</c:v>
                </c:pt>
                <c:pt idx="149">
                  <c:v>1.2800215959791691E-12</c:v>
                </c:pt>
                <c:pt idx="150">
                  <c:v>1.2800215959791691E-12</c:v>
                </c:pt>
                <c:pt idx="151">
                  <c:v>1.2800215959791691E-12</c:v>
                </c:pt>
                <c:pt idx="152">
                  <c:v>1.2800215959791691E-12</c:v>
                </c:pt>
                <c:pt idx="153">
                  <c:v>1.2800215959791691E-12</c:v>
                </c:pt>
                <c:pt idx="154">
                  <c:v>1.2800215959791691E-12</c:v>
                </c:pt>
                <c:pt idx="155">
                  <c:v>1.2800215959791691E-12</c:v>
                </c:pt>
                <c:pt idx="156">
                  <c:v>1.2800215959791691E-12</c:v>
                </c:pt>
                <c:pt idx="157">
                  <c:v>1.2800215959791691E-12</c:v>
                </c:pt>
                <c:pt idx="158">
                  <c:v>1.2800215959791691E-12</c:v>
                </c:pt>
                <c:pt idx="159">
                  <c:v>1.2800215959791691E-12</c:v>
                </c:pt>
                <c:pt idx="160">
                  <c:v>1.2800215959791691E-12</c:v>
                </c:pt>
                <c:pt idx="161">
                  <c:v>1.2800215959791691E-12</c:v>
                </c:pt>
                <c:pt idx="162">
                  <c:v>1.2800215959791691E-12</c:v>
                </c:pt>
                <c:pt idx="163">
                  <c:v>1.2800215959791691E-12</c:v>
                </c:pt>
                <c:pt idx="164">
                  <c:v>1.2800215959791691E-12</c:v>
                </c:pt>
                <c:pt idx="165">
                  <c:v>1.2800215959791691E-12</c:v>
                </c:pt>
                <c:pt idx="166">
                  <c:v>1.2800215959791691E-12</c:v>
                </c:pt>
                <c:pt idx="167">
                  <c:v>1.2800215959791691E-12</c:v>
                </c:pt>
                <c:pt idx="168">
                  <c:v>1.2800215959791691E-12</c:v>
                </c:pt>
                <c:pt idx="169">
                  <c:v>1.2800215959791691E-12</c:v>
                </c:pt>
                <c:pt idx="170">
                  <c:v>1.2800215959791691E-12</c:v>
                </c:pt>
                <c:pt idx="171">
                  <c:v>1.2800215959791691E-12</c:v>
                </c:pt>
                <c:pt idx="172">
                  <c:v>1.2800215959791691E-12</c:v>
                </c:pt>
                <c:pt idx="173">
                  <c:v>1.2800215959791691E-12</c:v>
                </c:pt>
                <c:pt idx="174">
                  <c:v>1.2800215959791691E-12</c:v>
                </c:pt>
                <c:pt idx="175">
                  <c:v>1.2800215959791691E-12</c:v>
                </c:pt>
                <c:pt idx="176">
                  <c:v>1.2800215959791691E-12</c:v>
                </c:pt>
                <c:pt idx="177">
                  <c:v>1.2800215959791691E-12</c:v>
                </c:pt>
                <c:pt idx="178">
                  <c:v>1.2800215959791691E-12</c:v>
                </c:pt>
                <c:pt idx="179">
                  <c:v>1.2800215959791691E-12</c:v>
                </c:pt>
                <c:pt idx="180">
                  <c:v>1.2800215959791691E-12</c:v>
                </c:pt>
                <c:pt idx="181">
                  <c:v>1.2800215959791691E-12</c:v>
                </c:pt>
                <c:pt idx="182">
                  <c:v>1.2800215959791691E-12</c:v>
                </c:pt>
                <c:pt idx="183">
                  <c:v>1.2800215959791691E-12</c:v>
                </c:pt>
                <c:pt idx="184">
                  <c:v>1.2800215959791691E-12</c:v>
                </c:pt>
                <c:pt idx="185">
                  <c:v>1.2800215959791691E-12</c:v>
                </c:pt>
                <c:pt idx="186">
                  <c:v>1.2800215959791691E-12</c:v>
                </c:pt>
                <c:pt idx="187">
                  <c:v>1.2800215959791691E-12</c:v>
                </c:pt>
                <c:pt idx="188">
                  <c:v>1.2800215959791691E-12</c:v>
                </c:pt>
                <c:pt idx="189">
                  <c:v>1.2800215959791691E-12</c:v>
                </c:pt>
                <c:pt idx="190">
                  <c:v>1.2800215959791691E-12</c:v>
                </c:pt>
                <c:pt idx="191">
                  <c:v>1.2800215959791691E-12</c:v>
                </c:pt>
                <c:pt idx="192">
                  <c:v>1.2800215959791691E-12</c:v>
                </c:pt>
                <c:pt idx="193">
                  <c:v>1.2800215959791691E-12</c:v>
                </c:pt>
                <c:pt idx="194">
                  <c:v>1.2800215959791691E-12</c:v>
                </c:pt>
                <c:pt idx="195">
                  <c:v>1.2800215959791691E-12</c:v>
                </c:pt>
                <c:pt idx="196">
                  <c:v>1.2800215959791691E-12</c:v>
                </c:pt>
                <c:pt idx="197">
                  <c:v>1.2800215959791691E-12</c:v>
                </c:pt>
                <c:pt idx="198">
                  <c:v>1.2800215959791691E-12</c:v>
                </c:pt>
                <c:pt idx="199">
                  <c:v>1.2800215959791691E-12</c:v>
                </c:pt>
                <c:pt idx="200">
                  <c:v>1.2800215959791691E-12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C19" sqref="C19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167.6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0.58899999999999997</v>
      </c>
      <c r="D9" s="33">
        <f t="shared" ref="D9:D18" si="0">C9*$C$5</f>
        <v>98.716399999999993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6.0000000000000001E-3</v>
      </c>
      <c r="D10" s="33">
        <f t="shared" si="0"/>
        <v>1.0056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164</v>
      </c>
      <c r="C11" s="32">
        <v>7.1999999999999995E-2</v>
      </c>
      <c r="D11" s="33">
        <f t="shared" si="0"/>
        <v>12.067199999999998</v>
      </c>
      <c r="E11" s="34">
        <v>105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164</v>
      </c>
      <c r="C12" s="32">
        <v>6.0000000000000001E-3</v>
      </c>
      <c r="D12" s="33">
        <f t="shared" si="0"/>
        <v>1.0056</v>
      </c>
      <c r="E12" s="34">
        <v>131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35</v>
      </c>
      <c r="C13" s="32">
        <v>0.248</v>
      </c>
      <c r="D13" s="33">
        <f t="shared" si="0"/>
        <v>41.564799999999998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</v>
      </c>
      <c r="C14" s="32">
        <v>4.5999999999999999E-2</v>
      </c>
      <c r="D14" s="33">
        <f t="shared" si="0"/>
        <v>7.7096</v>
      </c>
      <c r="E14" s="34">
        <v>159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</v>
      </c>
      <c r="C15" s="32">
        <v>2E-3</v>
      </c>
      <c r="D15" s="33">
        <f t="shared" si="0"/>
        <v>0.3352</v>
      </c>
      <c r="E15" s="34">
        <v>183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23</v>
      </c>
      <c r="C16" s="32">
        <v>2.5000000000000001E-2</v>
      </c>
      <c r="D16" s="33">
        <f t="shared" si="0"/>
        <v>4.1900000000000004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8</v>
      </c>
      <c r="C17" s="32">
        <v>2E-3</v>
      </c>
      <c r="D17" s="33">
        <f t="shared" si="0"/>
        <v>0.3352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 t="s">
        <v>22</v>
      </c>
      <c r="C18" s="32">
        <v>4.0000000000000001E-3</v>
      </c>
      <c r="D18" s="33">
        <f t="shared" si="0"/>
        <v>0.6704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167.59999999999997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f>169.14/1.56</f>
        <v>108.42307692307691</v>
      </c>
      <c r="C36" s="60"/>
      <c r="D36" s="60"/>
      <c r="E36" s="51"/>
      <c r="F36" s="51"/>
      <c r="G36" s="51"/>
      <c r="H36" s="51"/>
      <c r="I36" s="49">
        <f>IFERROR(B36/A36,"")</f>
        <v>3.6141025641025637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34</v>
      </c>
      <c r="B37" s="60">
        <f>221.19/1.56</f>
        <v>141.78846153846152</v>
      </c>
      <c r="C37" s="60">
        <v>1</v>
      </c>
      <c r="D37" s="60">
        <f>49.32/1.56</f>
        <v>31.615384615384613</v>
      </c>
      <c r="E37" s="51"/>
      <c r="F37" s="51"/>
      <c r="G37" s="51"/>
      <c r="H37" s="51"/>
      <c r="I37" s="53">
        <f t="shared" ref="I37:I55" si="1">IF(A37&lt;&gt;0,(B37-(B36-D36))/(A37-A36),"")</f>
        <v>8.3413461538461533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42</v>
      </c>
      <c r="B38" s="60">
        <f>294.31/1.56</f>
        <v>188.66025641025641</v>
      </c>
      <c r="C38" s="60">
        <v>2</v>
      </c>
      <c r="D38" s="60">
        <f>70.51/1.56</f>
        <v>45.198717948717949</v>
      </c>
      <c r="E38" s="51"/>
      <c r="F38" s="51"/>
      <c r="G38" s="51"/>
      <c r="H38" s="51"/>
      <c r="I38" s="53">
        <f t="shared" si="1"/>
        <v>9.8108974358974379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f>347.88/1.56</f>
        <v>223</v>
      </c>
      <c r="C39" s="60">
        <v>3</v>
      </c>
      <c r="D39" s="60">
        <f>81.56/1.56</f>
        <v>52.282051282051285</v>
      </c>
      <c r="E39" s="51"/>
      <c r="F39" s="51"/>
      <c r="G39" s="51"/>
      <c r="H39" s="51"/>
      <c r="I39" s="49">
        <f t="shared" si="1"/>
        <v>9.9423076923076934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58</v>
      </c>
      <c r="B40" s="60">
        <f>386.86/1.56</f>
        <v>247.98717948717947</v>
      </c>
      <c r="C40" s="60">
        <v>4</v>
      </c>
      <c r="D40" s="60">
        <f>74.05/1.56</f>
        <v>47.467948717948715</v>
      </c>
      <c r="E40" s="51"/>
      <c r="F40" s="51"/>
      <c r="G40" s="51"/>
      <c r="H40" s="51"/>
      <c r="I40" s="49">
        <f t="shared" si="1"/>
        <v>9.6586538461538431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66</v>
      </c>
      <c r="B41" s="60">
        <f>427.9/1.56</f>
        <v>274.29487179487177</v>
      </c>
      <c r="C41" s="60">
        <v>5</v>
      </c>
      <c r="D41" s="60">
        <f>84.46/1.56</f>
        <v>54.141025641025635</v>
      </c>
      <c r="E41" s="51"/>
      <c r="F41" s="51"/>
      <c r="G41" s="51"/>
      <c r="H41" s="51"/>
      <c r="I41" s="53">
        <f t="shared" si="1"/>
        <v>9.2219551282051242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74</v>
      </c>
      <c r="B42" s="60">
        <f>451.86/1.56</f>
        <v>289.65384615384613</v>
      </c>
      <c r="C42" s="60">
        <v>6</v>
      </c>
      <c r="D42" s="60">
        <f>82.27/1.56</f>
        <v>52.737179487179482</v>
      </c>
      <c r="E42" s="51"/>
      <c r="F42" s="51"/>
      <c r="G42" s="51"/>
      <c r="H42" s="51"/>
      <c r="I42" s="53">
        <f t="shared" si="1"/>
        <v>8.6875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82</v>
      </c>
      <c r="B43" s="60">
        <f>471.61/1.56</f>
        <v>302.31410256410254</v>
      </c>
      <c r="C43" s="60">
        <v>7</v>
      </c>
      <c r="D43" s="60">
        <f>62.98/1.56</f>
        <v>40.371794871794869</v>
      </c>
      <c r="E43" s="51"/>
      <c r="F43" s="51"/>
      <c r="G43" s="51"/>
      <c r="H43" s="51"/>
      <c r="I43" s="49">
        <f t="shared" si="1"/>
        <v>8.1746794871794854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90</v>
      </c>
      <c r="B44" s="60">
        <f>506.82/1.56</f>
        <v>324.88461538461536</v>
      </c>
      <c r="C44" s="60">
        <v>8</v>
      </c>
      <c r="D44" s="60">
        <f>73.8/1.56</f>
        <v>47.307692307692307</v>
      </c>
      <c r="E44" s="51"/>
      <c r="F44" s="51"/>
      <c r="G44" s="51"/>
      <c r="H44" s="51"/>
      <c r="I44" s="49">
        <f t="shared" si="1"/>
        <v>7.8677884615384599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100</v>
      </c>
      <c r="B45" s="60">
        <f>551.38/1.56</f>
        <v>353.44871794871796</v>
      </c>
      <c r="C45" s="60">
        <v>9</v>
      </c>
      <c r="D45" s="60">
        <f>99.53/1.56</f>
        <v>63.801282051282051</v>
      </c>
      <c r="E45" s="51"/>
      <c r="F45" s="51"/>
      <c r="G45" s="51"/>
      <c r="H45" s="51"/>
      <c r="I45" s="49">
        <f t="shared" si="1"/>
        <v>7.5871794871794922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110</v>
      </c>
      <c r="B46" s="60">
        <f>565.28/1.56</f>
        <v>362.35897435897431</v>
      </c>
      <c r="C46" s="60">
        <v>10</v>
      </c>
      <c r="D46" s="60">
        <f>78.08/1.56</f>
        <v>50.051282051282051</v>
      </c>
      <c r="E46" s="51"/>
      <c r="F46" s="51"/>
      <c r="G46" s="51"/>
      <c r="H46" s="51"/>
      <c r="I46" s="49">
        <f t="shared" si="1"/>
        <v>7.2711538461538394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120</v>
      </c>
      <c r="B47" s="60">
        <f>599.13/1.56</f>
        <v>384.05769230769226</v>
      </c>
      <c r="C47" s="60">
        <v>11</v>
      </c>
      <c r="D47" s="60">
        <f>70.09/1.56</f>
        <v>44.929487179487182</v>
      </c>
      <c r="E47" s="51"/>
      <c r="F47" s="51"/>
      <c r="G47" s="51"/>
      <c r="H47" s="51"/>
      <c r="I47" s="49">
        <f t="shared" si="1"/>
        <v>7.1749999999999998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130</v>
      </c>
      <c r="B48" s="60">
        <f>640.94/1.56</f>
        <v>410.85897435897436</v>
      </c>
      <c r="C48" s="60">
        <v>12</v>
      </c>
      <c r="D48" s="60">
        <f>80.15/1.56</f>
        <v>51.378205128205131</v>
      </c>
      <c r="E48" s="51"/>
      <c r="F48" s="51"/>
      <c r="G48" s="51"/>
      <c r="H48" s="51"/>
      <c r="I48" s="49">
        <f t="shared" si="1"/>
        <v>7.1730769230769287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140</v>
      </c>
      <c r="B49" s="60">
        <f>673.47/1.56</f>
        <v>431.71153846153845</v>
      </c>
      <c r="C49" s="60">
        <v>13</v>
      </c>
      <c r="D49" s="60">
        <f>78.73/1.56</f>
        <v>50.467948717948715</v>
      </c>
      <c r="E49" s="51"/>
      <c r="F49" s="51"/>
      <c r="G49" s="51"/>
      <c r="H49" s="51"/>
      <c r="I49" s="49">
        <f t="shared" si="1"/>
        <v>7.2230769230769223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150</v>
      </c>
      <c r="B50" s="50">
        <f>707.55/1.56</f>
        <v>453.55769230769226</v>
      </c>
      <c r="C50" s="50">
        <v>14</v>
      </c>
      <c r="D50" s="50">
        <f>278.81/1.56</f>
        <v>178.72435897435898</v>
      </c>
      <c r="E50" s="51"/>
      <c r="F50" s="51"/>
      <c r="G50" s="51"/>
      <c r="H50" s="51"/>
      <c r="I50" s="49">
        <f t="shared" si="1"/>
        <v>7.2314102564102543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153</v>
      </c>
      <c r="B51" s="50">
        <f>456.93/1.56</f>
        <v>292.90384615384613</v>
      </c>
      <c r="C51" s="50">
        <v>15</v>
      </c>
      <c r="D51" s="50">
        <f>164.21/1.56</f>
        <v>105.26282051282051</v>
      </c>
      <c r="E51" s="51"/>
      <c r="F51" s="51"/>
      <c r="G51" s="51"/>
      <c r="H51" s="51"/>
      <c r="I51" s="49">
        <f t="shared" si="1"/>
        <v>6.0235042735042912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>
        <v>156</v>
      </c>
      <c r="B52" s="50">
        <f>305.47/1.56</f>
        <v>195.81410256410257</v>
      </c>
      <c r="C52" s="50">
        <v>16</v>
      </c>
      <c r="D52" s="50">
        <f>101.51/1.56</f>
        <v>65.070512820512818</v>
      </c>
      <c r="E52" s="51"/>
      <c r="F52" s="51"/>
      <c r="G52" s="51"/>
      <c r="H52" s="51"/>
      <c r="I52" s="49">
        <f t="shared" si="1"/>
        <v>2.724358974358978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>
        <v>159</v>
      </c>
      <c r="B53" s="50">
        <f>211.46/1.56</f>
        <v>135.55128205128204</v>
      </c>
      <c r="C53" s="50">
        <v>17</v>
      </c>
      <c r="D53" s="50">
        <f>211.46/1.56</f>
        <v>135.55128205128204</v>
      </c>
      <c r="E53" s="51"/>
      <c r="F53" s="51"/>
      <c r="G53" s="51"/>
      <c r="H53" s="51"/>
      <c r="I53" s="49">
        <f t="shared" si="1"/>
        <v>1.6025641025640975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30</v>
      </c>
      <c r="B62" s="60">
        <f>117.54/1.56</f>
        <v>75.346153846153854</v>
      </c>
      <c r="C62" s="60"/>
      <c r="D62" s="60"/>
      <c r="E62" s="51"/>
      <c r="F62" s="51"/>
      <c r="G62" s="51"/>
      <c r="H62" s="51"/>
      <c r="I62" s="53">
        <f>IFERROR(B62/A62,"")</f>
        <v>2.5115384615384619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42</v>
      </c>
      <c r="B63" s="60">
        <f>220.11/1.56</f>
        <v>141.09615384615384</v>
      </c>
      <c r="C63" s="60">
        <v>1</v>
      </c>
      <c r="D63" s="60">
        <f>60.35/1.56</f>
        <v>38.685897435897438</v>
      </c>
      <c r="E63" s="51"/>
      <c r="F63" s="51"/>
      <c r="G63" s="51"/>
      <c r="H63" s="51"/>
      <c r="I63" s="49">
        <f>IF(A63&lt;&gt;0,(B63-(B62-D62))/(A63-A62),"")</f>
        <v>5.4791666666666652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50</v>
      </c>
      <c r="B64" s="60">
        <f>248.91/1.56</f>
        <v>159.55769230769229</v>
      </c>
      <c r="C64" s="60">
        <v>2</v>
      </c>
      <c r="D64" s="60">
        <f>45.89/1.56</f>
        <v>29.416666666666664</v>
      </c>
      <c r="E64" s="51"/>
      <c r="F64" s="51"/>
      <c r="G64" s="51"/>
      <c r="H64" s="51"/>
      <c r="I64" s="49">
        <f>IF(A64&lt;&gt;0,(B64-(B63-D63))/(A64-A63),"")</f>
        <v>7.1434294871794854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58</v>
      </c>
      <c r="B65" s="60">
        <f>293.26/1.56</f>
        <v>187.98717948717947</v>
      </c>
      <c r="C65" s="60">
        <v>3</v>
      </c>
      <c r="D65" s="60">
        <f>55.98/1.56</f>
        <v>35.88461538461538</v>
      </c>
      <c r="E65" s="51"/>
      <c r="F65" s="51"/>
      <c r="G65" s="51"/>
      <c r="H65" s="51"/>
      <c r="I65" s="49">
        <f>IF(A65&lt;&gt;0,(B65-(B64-D64))/(A65-A64),"")</f>
        <v>7.2307692307692299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66</v>
      </c>
      <c r="B66" s="60">
        <f>324.61/1.56</f>
        <v>208.08333333333334</v>
      </c>
      <c r="C66" s="60">
        <v>4</v>
      </c>
      <c r="D66" s="60">
        <f>61.1/1.56</f>
        <v>39.166666666666664</v>
      </c>
      <c r="E66" s="51"/>
      <c r="F66" s="51"/>
      <c r="G66" s="51"/>
      <c r="H66" s="51"/>
      <c r="I66" s="49">
        <f t="shared" ref="I66:I81" si="2">IF(A66&lt;&gt;0,(B66-(B65-D65))/(A66-A65),"")</f>
        <v>6.9975961538461569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74</v>
      </c>
      <c r="B67" s="60">
        <f>347.12/1.56</f>
        <v>222.5128205128205</v>
      </c>
      <c r="C67" s="60">
        <v>5</v>
      </c>
      <c r="D67" s="60">
        <f>57.51/1.56</f>
        <v>36.865384615384613</v>
      </c>
      <c r="E67" s="51"/>
      <c r="F67" s="51"/>
      <c r="G67" s="51"/>
      <c r="H67" s="51"/>
      <c r="I67" s="49">
        <f t="shared" si="2"/>
        <v>6.6995192307692264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84</v>
      </c>
      <c r="B68" s="60">
        <f>391.54/1.56</f>
        <v>250.9871794871795</v>
      </c>
      <c r="C68" s="60">
        <v>6</v>
      </c>
      <c r="D68" s="60">
        <f>73.72/1.56</f>
        <v>47.256410256410255</v>
      </c>
      <c r="E68" s="51"/>
      <c r="F68" s="51"/>
      <c r="G68" s="51"/>
      <c r="H68" s="51"/>
      <c r="I68" s="49">
        <f t="shared" si="2"/>
        <v>6.533974358974362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94</v>
      </c>
      <c r="B69" s="50">
        <f>415.34/1.56</f>
        <v>266.24358974358972</v>
      </c>
      <c r="C69" s="50">
        <v>7</v>
      </c>
      <c r="D69" s="50">
        <f>73.7/1.56</f>
        <v>47.243589743589745</v>
      </c>
      <c r="E69" s="51"/>
      <c r="F69" s="51"/>
      <c r="G69" s="51"/>
      <c r="H69" s="51"/>
      <c r="I69" s="49">
        <f t="shared" si="2"/>
        <v>6.2512820512820468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104</v>
      </c>
      <c r="B70" s="50">
        <f>436.36/1.56</f>
        <v>279.71794871794873</v>
      </c>
      <c r="C70" s="50">
        <v>8</v>
      </c>
      <c r="D70" s="50">
        <f>71.74/1.56</f>
        <v>45.987179487179482</v>
      </c>
      <c r="E70" s="51"/>
      <c r="F70" s="51"/>
      <c r="G70" s="51"/>
      <c r="H70" s="51"/>
      <c r="I70" s="49">
        <f t="shared" si="2"/>
        <v>6.071794871794876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114</v>
      </c>
      <c r="B71" s="50">
        <f>458.01/1.56</f>
        <v>293.59615384615381</v>
      </c>
      <c r="C71" s="50">
        <v>9</v>
      </c>
      <c r="D71" s="50">
        <f>66.75/1.56</f>
        <v>42.78846153846154</v>
      </c>
      <c r="E71" s="51"/>
      <c r="F71" s="51"/>
      <c r="G71" s="51"/>
      <c r="H71" s="51"/>
      <c r="I71" s="49">
        <f t="shared" si="2"/>
        <v>5.9865384615384558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124</v>
      </c>
      <c r="B72" s="50">
        <f>485.1/1.56</f>
        <v>310.96153846153845</v>
      </c>
      <c r="C72" s="50">
        <v>10</v>
      </c>
      <c r="D72" s="50">
        <f>62.12/1.56</f>
        <v>39.820512820512818</v>
      </c>
      <c r="E72" s="51"/>
      <c r="F72" s="51"/>
      <c r="G72" s="51"/>
      <c r="H72" s="51"/>
      <c r="I72" s="49">
        <f t="shared" si="2"/>
        <v>6.0153846153846189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134</v>
      </c>
      <c r="B73" s="50">
        <f>517.69/1.56</f>
        <v>331.85256410256414</v>
      </c>
      <c r="C73" s="50">
        <v>11</v>
      </c>
      <c r="D73" s="50">
        <f>65/1.56</f>
        <v>41.666666666666664</v>
      </c>
      <c r="E73" s="51"/>
      <c r="F73" s="51"/>
      <c r="G73" s="51"/>
      <c r="H73" s="51"/>
      <c r="I73" s="49">
        <f t="shared" si="2"/>
        <v>6.0711538461538508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144</v>
      </c>
      <c r="B74" s="50">
        <f>548.44/1.56</f>
        <v>351.5641025641026</v>
      </c>
      <c r="C74" s="50">
        <v>12</v>
      </c>
      <c r="D74" s="50">
        <f>65.87/1.56</f>
        <v>42.224358974358978</v>
      </c>
      <c r="E74" s="51"/>
      <c r="F74" s="51"/>
      <c r="G74" s="51"/>
      <c r="H74" s="51"/>
      <c r="I74" s="49">
        <f t="shared" si="2"/>
        <v>6.1378205128205137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154</v>
      </c>
      <c r="B75" s="50">
        <f>580.07/1.56</f>
        <v>371.83974358974359</v>
      </c>
      <c r="C75" s="50">
        <v>13</v>
      </c>
      <c r="D75" s="50">
        <f>64.83/1.56</f>
        <v>41.557692307692307</v>
      </c>
      <c r="E75" s="51"/>
      <c r="F75" s="51"/>
      <c r="G75" s="51"/>
      <c r="H75" s="51"/>
      <c r="I75" s="49">
        <f t="shared" si="2"/>
        <v>6.2499999999999947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164</v>
      </c>
      <c r="B76" s="50">
        <f>614.15/1.56</f>
        <v>393.6858974358974</v>
      </c>
      <c r="C76" s="50">
        <v>14</v>
      </c>
      <c r="D76" s="50">
        <f>69.91/1.56</f>
        <v>44.814102564102562</v>
      </c>
      <c r="E76" s="51"/>
      <c r="F76" s="51"/>
      <c r="G76" s="51"/>
      <c r="H76" s="51"/>
      <c r="I76" s="49">
        <f t="shared" si="2"/>
        <v>6.3403846153846128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174</v>
      </c>
      <c r="B77" s="50">
        <f>644.36/1.56</f>
        <v>413.05128205128204</v>
      </c>
      <c r="C77" s="50">
        <v>15</v>
      </c>
      <c r="D77" s="50">
        <f>253.32/1.56</f>
        <v>162.38461538461539</v>
      </c>
      <c r="E77" s="51"/>
      <c r="F77" s="51"/>
      <c r="G77" s="51"/>
      <c r="H77" s="51"/>
      <c r="I77" s="49">
        <f t="shared" si="2"/>
        <v>6.4179487179487182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>
        <v>177</v>
      </c>
      <c r="B78" s="50">
        <f>410.22/1.56</f>
        <v>262.96153846153845</v>
      </c>
      <c r="C78" s="50">
        <v>16</v>
      </c>
      <c r="D78" s="50">
        <f>135.72/1.56</f>
        <v>87</v>
      </c>
      <c r="E78" s="51"/>
      <c r="F78" s="51"/>
      <c r="G78" s="51"/>
      <c r="H78" s="51"/>
      <c r="I78" s="49">
        <f t="shared" si="2"/>
        <v>4.0982905982905988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>
        <v>180</v>
      </c>
      <c r="B79" s="50">
        <f>286.27/1.56</f>
        <v>183.50641025641025</v>
      </c>
      <c r="C79" s="50">
        <v>17</v>
      </c>
      <c r="D79" s="50">
        <f>91.72/1.56</f>
        <v>58.794871794871796</v>
      </c>
      <c r="E79" s="51"/>
      <c r="F79" s="51"/>
      <c r="G79" s="51"/>
      <c r="H79" s="51"/>
      <c r="I79" s="49">
        <f t="shared" si="2"/>
        <v>2.5149572649572653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>
        <v>183</v>
      </c>
      <c r="B80" s="50">
        <f>201.75/1.56</f>
        <v>129.32692307692307</v>
      </c>
      <c r="C80" s="50">
        <v>18</v>
      </c>
      <c r="D80" s="50">
        <f>201.75/1.56</f>
        <v>129.32692307692307</v>
      </c>
      <c r="E80" s="51"/>
      <c r="F80" s="51"/>
      <c r="G80" s="51"/>
      <c r="H80" s="51"/>
      <c r="I80" s="49">
        <f t="shared" si="2"/>
        <v>1.5384615384615377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30</v>
      </c>
      <c r="B88" s="60">
        <f>281.83/1.3</f>
        <v>216.79230769230767</v>
      </c>
      <c r="C88" s="60"/>
      <c r="D88" s="60"/>
      <c r="E88" s="51"/>
      <c r="F88" s="51"/>
      <c r="G88" s="51"/>
      <c r="H88" s="87"/>
      <c r="I88" s="53">
        <f>IFERROR(B88/A88,"")</f>
        <v>7.2264102564102561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42</v>
      </c>
      <c r="B89" s="60">
        <f>533.48/1.3</f>
        <v>410.3692307692308</v>
      </c>
      <c r="C89" s="60">
        <v>1</v>
      </c>
      <c r="D89" s="60">
        <f>233.8/1.3</f>
        <v>179.84615384615384</v>
      </c>
      <c r="E89" s="51"/>
      <c r="F89" s="51"/>
      <c r="G89" s="51"/>
      <c r="H89" s="87"/>
      <c r="I89" s="53">
        <f t="shared" ref="I89:I107" si="3">IF(A89&lt;&gt;0,(B89-(B88-D88))/(A89-A88),"")</f>
        <v>16.131410256410259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49</v>
      </c>
      <c r="B90" s="60">
        <f>441.81/1.3</f>
        <v>339.85384615384612</v>
      </c>
      <c r="C90" s="60">
        <v>2</v>
      </c>
      <c r="D90" s="60">
        <f>122.82/1.3</f>
        <v>94.476923076923072</v>
      </c>
      <c r="E90" s="87"/>
      <c r="F90" s="87"/>
      <c r="G90" s="87"/>
      <c r="H90" s="87"/>
      <c r="I90" s="53">
        <f t="shared" si="3"/>
        <v>15.618681318681309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56</v>
      </c>
      <c r="B91" s="60">
        <f>452.47/1.3</f>
        <v>348.05384615384617</v>
      </c>
      <c r="C91" s="60">
        <v>3</v>
      </c>
      <c r="D91" s="60">
        <f>94.6/1.3</f>
        <v>72.769230769230759</v>
      </c>
      <c r="E91" s="87"/>
      <c r="F91" s="87"/>
      <c r="G91" s="87"/>
      <c r="H91" s="87"/>
      <c r="I91" s="53">
        <f t="shared" si="3"/>
        <v>14.668131868131875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63</v>
      </c>
      <c r="B92" s="60">
        <f>487.73/1.3</f>
        <v>375.17692307692306</v>
      </c>
      <c r="C92" s="60">
        <v>4</v>
      </c>
      <c r="D92" s="60">
        <f>92.46/1.3</f>
        <v>71.123076923076923</v>
      </c>
      <c r="E92" s="87"/>
      <c r="F92" s="87"/>
      <c r="G92" s="87"/>
      <c r="H92" s="87"/>
      <c r="I92" s="53">
        <f t="shared" si="3"/>
        <v>14.270329670329668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71</v>
      </c>
      <c r="B93" s="60">
        <f>538.14/1.3</f>
        <v>413.95384615384614</v>
      </c>
      <c r="C93" s="60">
        <v>5</v>
      </c>
      <c r="D93" s="60">
        <f>104.52/1.3</f>
        <v>80.399999999999991</v>
      </c>
      <c r="E93" s="87"/>
      <c r="F93" s="87"/>
      <c r="G93" s="87"/>
      <c r="H93" s="87"/>
      <c r="I93" s="53">
        <f t="shared" si="3"/>
        <v>13.737499999999997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79</v>
      </c>
      <c r="B94" s="60">
        <f>567.92/1.3</f>
        <v>436.86153846153843</v>
      </c>
      <c r="C94" s="60">
        <v>6</v>
      </c>
      <c r="D94" s="60">
        <f>100.54/1.3</f>
        <v>77.338461538461544</v>
      </c>
      <c r="E94" s="87"/>
      <c r="F94" s="87"/>
      <c r="G94" s="87"/>
      <c r="H94" s="87"/>
      <c r="I94" s="53">
        <f t="shared" si="3"/>
        <v>12.913461538461533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87</v>
      </c>
      <c r="B95" s="60">
        <f>593.47/1.3</f>
        <v>456.51538461538462</v>
      </c>
      <c r="C95" s="60">
        <v>7</v>
      </c>
      <c r="D95" s="60">
        <f>100.53/1.3</f>
        <v>77.330769230769235</v>
      </c>
      <c r="E95" s="87"/>
      <c r="F95" s="87"/>
      <c r="G95" s="87"/>
      <c r="H95" s="87"/>
      <c r="I95" s="53">
        <f t="shared" si="3"/>
        <v>12.124038461538468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95</v>
      </c>
      <c r="B96" s="60">
        <f>609.86/1.3</f>
        <v>469.12307692307689</v>
      </c>
      <c r="C96" s="60">
        <v>8</v>
      </c>
      <c r="D96" s="60">
        <f>304.75/1.3</f>
        <v>234.42307692307691</v>
      </c>
      <c r="E96" s="87"/>
      <c r="F96" s="87"/>
      <c r="G96" s="87"/>
      <c r="H96" s="87"/>
      <c r="I96" s="53">
        <f t="shared" si="3"/>
        <v>11.242307692307691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105</v>
      </c>
      <c r="B97" s="60">
        <f>402.63/1.3</f>
        <v>309.71538461538461</v>
      </c>
      <c r="C97" s="60">
        <v>9</v>
      </c>
      <c r="D97" s="60">
        <f>402.63/1.3</f>
        <v>309.71538461538461</v>
      </c>
      <c r="E97" s="87"/>
      <c r="F97" s="87"/>
      <c r="G97" s="87"/>
      <c r="H97" s="87"/>
      <c r="I97" s="53">
        <f t="shared" si="3"/>
        <v>7.5015384615384617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30</v>
      </c>
      <c r="B114" s="60">
        <f>191.43/1.3</f>
        <v>147.25384615384615</v>
      </c>
      <c r="C114" s="50"/>
      <c r="D114" s="60"/>
      <c r="E114" s="51"/>
      <c r="F114" s="51"/>
      <c r="G114" s="51"/>
      <c r="H114" s="51"/>
      <c r="I114" s="53">
        <f>IFERROR(B114/A114,"")</f>
        <v>4.9084615384615384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51</v>
      </c>
      <c r="B115" s="60">
        <f>503.84/1.3</f>
        <v>387.56923076923073</v>
      </c>
      <c r="C115" s="50">
        <v>1</v>
      </c>
      <c r="D115" s="60">
        <f>221.21/1.3</f>
        <v>170.16153846153847</v>
      </c>
      <c r="E115" s="51"/>
      <c r="F115" s="51"/>
      <c r="G115" s="51"/>
      <c r="H115" s="51"/>
      <c r="I115" s="53">
        <f t="shared" ref="I115:I133" si="4">IF(A115&lt;&gt;0,(B115-(B114-D114))/(A115-A114),"")</f>
        <v>11.443589743589742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61</v>
      </c>
      <c r="B116" s="60">
        <f>427.85/1.3</f>
        <v>329.11538461538464</v>
      </c>
      <c r="C116" s="50">
        <v>2</v>
      </c>
      <c r="D116" s="60">
        <f>123.19/1.3</f>
        <v>94.76153846153845</v>
      </c>
      <c r="E116" s="51"/>
      <c r="F116" s="51"/>
      <c r="G116" s="51"/>
      <c r="H116" s="51"/>
      <c r="I116" s="53">
        <f t="shared" si="4"/>
        <v>11.170769230769238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73</v>
      </c>
      <c r="B117" s="60">
        <f>465.57/1.3</f>
        <v>358.1307692307692</v>
      </c>
      <c r="C117" s="50">
        <v>3</v>
      </c>
      <c r="D117" s="60">
        <f>121.66/1.3</f>
        <v>93.584615384615375</v>
      </c>
      <c r="E117" s="51"/>
      <c r="F117" s="51"/>
      <c r="G117" s="51"/>
      <c r="H117" s="51"/>
      <c r="I117" s="53">
        <f t="shared" si="4"/>
        <v>10.314743589743586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85</v>
      </c>
      <c r="B118" s="60">
        <f>492.48/1.3</f>
        <v>378.83076923076925</v>
      </c>
      <c r="C118" s="50">
        <v>4</v>
      </c>
      <c r="D118" s="60">
        <f>110.77/1.3</f>
        <v>85.207692307692298</v>
      </c>
      <c r="E118" s="51"/>
      <c r="F118" s="51"/>
      <c r="G118" s="51"/>
      <c r="H118" s="51"/>
      <c r="I118" s="53">
        <f t="shared" si="4"/>
        <v>9.52371794871795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97</v>
      </c>
      <c r="B119" s="60">
        <f>517.76/1.3</f>
        <v>398.27692307692308</v>
      </c>
      <c r="C119" s="50">
        <v>5</v>
      </c>
      <c r="D119" s="60">
        <f>103.57/1.3</f>
        <v>79.669230769230765</v>
      </c>
      <c r="E119" s="51"/>
      <c r="F119" s="51"/>
      <c r="G119" s="51"/>
      <c r="H119" s="51"/>
      <c r="I119" s="53">
        <f t="shared" si="4"/>
        <v>8.7211538461538449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109</v>
      </c>
      <c r="B120" s="60">
        <f>537.16/1.3</f>
        <v>413.2</v>
      </c>
      <c r="C120" s="60">
        <v>6</v>
      </c>
      <c r="D120" s="60">
        <f>104.85/1.3</f>
        <v>80.653846153846146</v>
      </c>
      <c r="E120" s="87"/>
      <c r="F120" s="87"/>
      <c r="G120" s="87"/>
      <c r="H120" s="87"/>
      <c r="I120" s="53">
        <f t="shared" si="4"/>
        <v>7.882692307692305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121</v>
      </c>
      <c r="B121" s="60">
        <f>542.89/1.3</f>
        <v>417.60769230769228</v>
      </c>
      <c r="C121" s="60">
        <v>7</v>
      </c>
      <c r="D121" s="60">
        <f>269.2/1.3</f>
        <v>207.07692307692307</v>
      </c>
      <c r="E121" s="87"/>
      <c r="F121" s="87"/>
      <c r="G121" s="87"/>
      <c r="H121" s="87"/>
      <c r="I121" s="53">
        <f t="shared" si="4"/>
        <v>7.0884615384615346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131</v>
      </c>
      <c r="B122" s="60">
        <f>337.5/1.3</f>
        <v>259.61538461538458</v>
      </c>
      <c r="C122" s="60">
        <v>8</v>
      </c>
      <c r="D122" s="60">
        <f>337.5/1.3</f>
        <v>259.61538461538458</v>
      </c>
      <c r="E122" s="87"/>
      <c r="F122" s="87"/>
      <c r="G122" s="87"/>
      <c r="H122" s="87"/>
      <c r="I122" s="53">
        <f t="shared" si="4"/>
        <v>4.9084615384615375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Pin laricio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15</v>
      </c>
      <c r="B140" s="60">
        <f>46.42/1.3</f>
        <v>35.707692307692305</v>
      </c>
      <c r="C140" s="50"/>
      <c r="D140" s="60"/>
      <c r="E140" s="51"/>
      <c r="F140" s="51"/>
      <c r="G140" s="51"/>
      <c r="H140" s="51"/>
      <c r="I140" s="57">
        <f>IFERROR(B140/A140,"")</f>
        <v>2.3805128205128203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22</v>
      </c>
      <c r="B141" s="60">
        <f>168.98/1.3</f>
        <v>129.98461538461538</v>
      </c>
      <c r="C141" s="50">
        <v>1</v>
      </c>
      <c r="D141" s="60">
        <f>68.57/1.3</f>
        <v>52.746153846153838</v>
      </c>
      <c r="E141" s="51"/>
      <c r="F141" s="51">
        <v>0.5</v>
      </c>
      <c r="G141" s="51">
        <v>0.5</v>
      </c>
      <c r="H141" s="51"/>
      <c r="I141" s="57">
        <f t="shared" ref="I141:I159" si="5">IF(A141&lt;&gt;0,(B141-(B140-D140))/(A141-A140),"")</f>
        <v>13.468131868131868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27</v>
      </c>
      <c r="B142" s="60">
        <f>182.93/1.3</f>
        <v>140.71538461538461</v>
      </c>
      <c r="C142" s="50">
        <v>2</v>
      </c>
      <c r="D142" s="60">
        <f>45.04/1.3</f>
        <v>34.646153846153844</v>
      </c>
      <c r="E142" s="51"/>
      <c r="F142" s="51">
        <v>0.5</v>
      </c>
      <c r="G142" s="51">
        <v>0.5</v>
      </c>
      <c r="H142" s="51"/>
      <c r="I142" s="57">
        <f t="shared" si="5"/>
        <v>12.695384615384615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33</v>
      </c>
      <c r="B143" s="60">
        <f>239.07/1.3</f>
        <v>183.89999999999998</v>
      </c>
      <c r="C143" s="50">
        <v>3</v>
      </c>
      <c r="D143" s="60">
        <f>55.91/1.3</f>
        <v>43.007692307692302</v>
      </c>
      <c r="E143" s="51"/>
      <c r="F143" s="51"/>
      <c r="G143" s="51"/>
      <c r="H143" s="51"/>
      <c r="I143" s="57">
        <f t="shared" si="5"/>
        <v>12.97179487179487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41</v>
      </c>
      <c r="B144" s="60">
        <f>315.66/1.3</f>
        <v>242.81538461538463</v>
      </c>
      <c r="C144" s="50">
        <v>4</v>
      </c>
      <c r="D144" s="60">
        <f>76.03/1.3</f>
        <v>58.484615384615381</v>
      </c>
      <c r="E144" s="51"/>
      <c r="F144" s="51"/>
      <c r="G144" s="51"/>
      <c r="H144" s="51"/>
      <c r="I144" s="57">
        <f t="shared" si="5"/>
        <v>12.74038461538462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50</v>
      </c>
      <c r="B145" s="60">
        <f>378.41/1.3</f>
        <v>291.0846153846154</v>
      </c>
      <c r="C145" s="50">
        <v>5</v>
      </c>
      <c r="D145" s="60">
        <f>71.88/1.3</f>
        <v>55.292307692307688</v>
      </c>
      <c r="E145" s="51"/>
      <c r="F145" s="51"/>
      <c r="G145" s="51"/>
      <c r="H145" s="51"/>
      <c r="I145" s="57">
        <f t="shared" si="5"/>
        <v>11.861538461538462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60</v>
      </c>
      <c r="B146" s="60">
        <f>445.15/1.3</f>
        <v>342.42307692307691</v>
      </c>
      <c r="C146" s="50">
        <v>6</v>
      </c>
      <c r="D146" s="60">
        <f>70.54/1.3</f>
        <v>54.261538461538464</v>
      </c>
      <c r="E146" s="51"/>
      <c r="F146" s="51"/>
      <c r="G146" s="51"/>
      <c r="H146" s="51"/>
      <c r="I146" s="57">
        <f t="shared" si="5"/>
        <v>10.66307692307692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70</v>
      </c>
      <c r="B147" s="60">
        <f>493.99/1.3</f>
        <v>379.99230769230769</v>
      </c>
      <c r="C147" s="50">
        <v>7</v>
      </c>
      <c r="D147" s="60">
        <f>68.47/1.3</f>
        <v>52.669230769230765</v>
      </c>
      <c r="E147" s="51"/>
      <c r="F147" s="51"/>
      <c r="G147" s="51"/>
      <c r="H147" s="51"/>
      <c r="I147" s="57">
        <f>IF(A147&lt;&gt;0,(B147-(B146-D146))/(A147-A146),"")</f>
        <v>9.1830769230769249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80</v>
      </c>
      <c r="B148" s="60">
        <f>523.78/1.3</f>
        <v>402.90769230769229</v>
      </c>
      <c r="C148" s="50">
        <v>8</v>
      </c>
      <c r="D148" s="60">
        <f>523.78/1.3</f>
        <v>402.90769230769229</v>
      </c>
      <c r="E148" s="51"/>
      <c r="F148" s="51"/>
      <c r="G148" s="51"/>
      <c r="H148" s="51"/>
      <c r="I148" s="57">
        <f t="shared" si="5"/>
        <v>7.5584615384615343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Alisier torminal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30</v>
      </c>
      <c r="B166" s="60">
        <f>169.14/1.56</f>
        <v>108.42307692307691</v>
      </c>
      <c r="C166" s="60"/>
      <c r="D166" s="60"/>
      <c r="E166" s="51"/>
      <c r="F166" s="51"/>
      <c r="G166" s="51"/>
      <c r="H166" s="51"/>
      <c r="I166" s="49">
        <f>IFERROR(B166/A166,"")</f>
        <v>3.6141025641025637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34</v>
      </c>
      <c r="B167" s="60">
        <f>221.19/1.56</f>
        <v>141.78846153846152</v>
      </c>
      <c r="C167" s="60">
        <v>1</v>
      </c>
      <c r="D167" s="60">
        <f>49.32/1.56</f>
        <v>31.615384615384613</v>
      </c>
      <c r="E167" s="51"/>
      <c r="F167" s="51"/>
      <c r="G167" s="51"/>
      <c r="H167" s="51"/>
      <c r="I167" s="49">
        <f t="shared" ref="I167:I185" si="6">IF(A167&lt;&gt;0,(B167-(B166-D166))/(A167-A166),"")</f>
        <v>8.3413461538461533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42</v>
      </c>
      <c r="B168" s="60">
        <f>294.31/1.56</f>
        <v>188.66025641025641</v>
      </c>
      <c r="C168" s="60">
        <v>2</v>
      </c>
      <c r="D168" s="60">
        <f>70.51/1.56</f>
        <v>45.198717948717949</v>
      </c>
      <c r="E168" s="51"/>
      <c r="F168" s="51"/>
      <c r="G168" s="51"/>
      <c r="H168" s="51"/>
      <c r="I168" s="49">
        <f t="shared" si="6"/>
        <v>9.8108974358974379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f>347.88/1.56</f>
        <v>223</v>
      </c>
      <c r="C169" s="60">
        <v>3</v>
      </c>
      <c r="D169" s="60">
        <f>81.56/1.56</f>
        <v>52.282051282051285</v>
      </c>
      <c r="E169" s="51"/>
      <c r="F169" s="51"/>
      <c r="G169" s="51"/>
      <c r="H169" s="51"/>
      <c r="I169" s="49">
        <f t="shared" si="6"/>
        <v>9.9423076923076934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58</v>
      </c>
      <c r="B170" s="60">
        <f>386.86/1.56</f>
        <v>247.98717948717947</v>
      </c>
      <c r="C170" s="60">
        <v>4</v>
      </c>
      <c r="D170" s="60">
        <f>74.05/1.56</f>
        <v>47.467948717948715</v>
      </c>
      <c r="E170" s="51"/>
      <c r="F170" s="51"/>
      <c r="G170" s="51"/>
      <c r="H170" s="51"/>
      <c r="I170" s="49">
        <f t="shared" si="6"/>
        <v>9.6586538461538431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66</v>
      </c>
      <c r="B171" s="60">
        <f>427.9/1.56</f>
        <v>274.29487179487177</v>
      </c>
      <c r="C171" s="60">
        <v>5</v>
      </c>
      <c r="D171" s="60">
        <f>84.46/1.56</f>
        <v>54.141025641025635</v>
      </c>
      <c r="E171" s="51"/>
      <c r="F171" s="51"/>
      <c r="G171" s="51"/>
      <c r="H171" s="51"/>
      <c r="I171" s="49">
        <f t="shared" si="6"/>
        <v>9.2219551282051242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74</v>
      </c>
      <c r="B172" s="60">
        <f>451.86/1.56</f>
        <v>289.65384615384613</v>
      </c>
      <c r="C172" s="60">
        <v>6</v>
      </c>
      <c r="D172" s="60">
        <f>82.27/1.56</f>
        <v>52.737179487179482</v>
      </c>
      <c r="E172" s="51"/>
      <c r="F172" s="51"/>
      <c r="G172" s="51"/>
      <c r="H172" s="51"/>
      <c r="I172" s="49">
        <f t="shared" si="6"/>
        <v>8.6875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82</v>
      </c>
      <c r="B173" s="50">
        <f>471.61/1.56</f>
        <v>302.31410256410254</v>
      </c>
      <c r="C173" s="50">
        <v>7</v>
      </c>
      <c r="D173" s="50">
        <f>62.98/1.56</f>
        <v>40.371794871794869</v>
      </c>
      <c r="E173" s="51"/>
      <c r="F173" s="51"/>
      <c r="G173" s="51"/>
      <c r="H173" s="51"/>
      <c r="I173" s="49">
        <f t="shared" si="6"/>
        <v>8.1746794871794854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90</v>
      </c>
      <c r="B174" s="50">
        <f>506.82/1.56</f>
        <v>324.88461538461536</v>
      </c>
      <c r="C174" s="50">
        <v>8</v>
      </c>
      <c r="D174" s="50">
        <f>73.8/1.56</f>
        <v>47.307692307692307</v>
      </c>
      <c r="E174" s="51"/>
      <c r="F174" s="51"/>
      <c r="G174" s="51"/>
      <c r="H174" s="51"/>
      <c r="I174" s="49">
        <f t="shared" si="6"/>
        <v>7.8677884615384599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100</v>
      </c>
      <c r="B175" s="50">
        <f>551.38/1.56</f>
        <v>353.44871794871796</v>
      </c>
      <c r="C175" s="50">
        <v>9</v>
      </c>
      <c r="D175" s="50">
        <f>99.53/1.56</f>
        <v>63.801282051282051</v>
      </c>
      <c r="E175" s="51"/>
      <c r="F175" s="51"/>
      <c r="G175" s="51"/>
      <c r="H175" s="51"/>
      <c r="I175" s="49">
        <f t="shared" si="6"/>
        <v>7.5871794871794922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110</v>
      </c>
      <c r="B176" s="50">
        <f>565.28/1.56</f>
        <v>362.35897435897431</v>
      </c>
      <c r="C176" s="50">
        <v>10</v>
      </c>
      <c r="D176" s="50">
        <f>78.08/1.56</f>
        <v>50.051282051282051</v>
      </c>
      <c r="E176" s="51"/>
      <c r="F176" s="51"/>
      <c r="G176" s="51"/>
      <c r="H176" s="51"/>
      <c r="I176" s="49">
        <f t="shared" si="6"/>
        <v>7.2711538461538394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>
        <v>120</v>
      </c>
      <c r="B177" s="50">
        <f>599.13/1.56</f>
        <v>384.05769230769226</v>
      </c>
      <c r="C177" s="50">
        <v>11</v>
      </c>
      <c r="D177" s="50">
        <f>70.09/1.56</f>
        <v>44.929487179487182</v>
      </c>
      <c r="E177" s="51"/>
      <c r="F177" s="51"/>
      <c r="G177" s="51"/>
      <c r="H177" s="51"/>
      <c r="I177" s="49">
        <f t="shared" si="6"/>
        <v>7.1749999999999998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>
        <v>130</v>
      </c>
      <c r="B178" s="50">
        <f>640.94/1.56</f>
        <v>410.85897435897436</v>
      </c>
      <c r="C178" s="50">
        <v>12</v>
      </c>
      <c r="D178" s="50">
        <f>80.15/1.56</f>
        <v>51.378205128205131</v>
      </c>
      <c r="E178" s="51"/>
      <c r="F178" s="51"/>
      <c r="G178" s="51"/>
      <c r="H178" s="51"/>
      <c r="I178" s="49">
        <f t="shared" si="6"/>
        <v>7.1730769230769287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>
        <v>140</v>
      </c>
      <c r="B179" s="50">
        <f>673.47/1.56</f>
        <v>431.71153846153845</v>
      </c>
      <c r="C179" s="50">
        <v>13</v>
      </c>
      <c r="D179" s="50">
        <f>78.73/1.56</f>
        <v>50.467948717948715</v>
      </c>
      <c r="E179" s="51"/>
      <c r="F179" s="51"/>
      <c r="G179" s="51"/>
      <c r="H179" s="51"/>
      <c r="I179" s="49">
        <f t="shared" si="6"/>
        <v>7.2230769230769223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>
        <v>150</v>
      </c>
      <c r="B180" s="50">
        <v>453.55769230769226</v>
      </c>
      <c r="C180" s="50">
        <v>14</v>
      </c>
      <c r="D180" s="50">
        <v>178.72435897435898</v>
      </c>
      <c r="E180" s="51"/>
      <c r="F180" s="51"/>
      <c r="G180" s="51"/>
      <c r="H180" s="51"/>
      <c r="I180" s="49">
        <f t="shared" si="6"/>
        <v>7.2314102564102543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>
        <v>153</v>
      </c>
      <c r="B181" s="50">
        <v>292.90384615384613</v>
      </c>
      <c r="C181" s="50">
        <v>15</v>
      </c>
      <c r="D181" s="50">
        <v>105.26282051282051</v>
      </c>
      <c r="E181" s="51"/>
      <c r="F181" s="51"/>
      <c r="G181" s="51"/>
      <c r="H181" s="51"/>
      <c r="I181" s="49">
        <f t="shared" si="6"/>
        <v>6.0235042735042912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>
        <v>156</v>
      </c>
      <c r="B182" s="50">
        <v>195.81410256410257</v>
      </c>
      <c r="C182" s="50">
        <v>16</v>
      </c>
      <c r="D182" s="50">
        <v>65.070512820512818</v>
      </c>
      <c r="E182" s="51"/>
      <c r="F182" s="51"/>
      <c r="G182" s="51"/>
      <c r="H182" s="51"/>
      <c r="I182" s="49">
        <f t="shared" si="6"/>
        <v>2.724358974358978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>
        <v>159</v>
      </c>
      <c r="B183" s="50">
        <v>135.55128205128204</v>
      </c>
      <c r="C183" s="50">
        <v>17</v>
      </c>
      <c r="D183" s="50">
        <v>135.55128205128204</v>
      </c>
      <c r="E183" s="51"/>
      <c r="F183" s="51"/>
      <c r="G183" s="51"/>
      <c r="H183" s="51"/>
      <c r="I183" s="49">
        <f t="shared" si="6"/>
        <v>1.6025641025640975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Alisier torminal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30</v>
      </c>
      <c r="B192" s="60">
        <f>117.54/1.56</f>
        <v>75.346153846153854</v>
      </c>
      <c r="C192" s="60"/>
      <c r="D192" s="60"/>
      <c r="E192" s="51"/>
      <c r="F192" s="51"/>
      <c r="G192" s="51"/>
      <c r="H192" s="51"/>
      <c r="I192" s="49">
        <f>IFERROR(B192/A192,"")</f>
        <v>2.5115384615384619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42</v>
      </c>
      <c r="B193" s="60">
        <f>220.11/1.56</f>
        <v>141.09615384615384</v>
      </c>
      <c r="C193" s="60">
        <v>1</v>
      </c>
      <c r="D193" s="60">
        <f>60.35/1.56</f>
        <v>38.685897435897438</v>
      </c>
      <c r="E193" s="51"/>
      <c r="F193" s="51"/>
      <c r="G193" s="51"/>
      <c r="H193" s="51"/>
      <c r="I193" s="49">
        <f t="shared" ref="I193:I211" si="7">IF(A193&lt;&gt;0,(B193-(B192-D192))/(A193-A192),"")</f>
        <v>5.4791666666666652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50</v>
      </c>
      <c r="B194" s="60">
        <f>248.91/1.56</f>
        <v>159.55769230769229</v>
      </c>
      <c r="C194" s="60">
        <v>2</v>
      </c>
      <c r="D194" s="60">
        <f>45.89/1.56</f>
        <v>29.416666666666664</v>
      </c>
      <c r="E194" s="51"/>
      <c r="F194" s="51"/>
      <c r="G194" s="51"/>
      <c r="H194" s="51"/>
      <c r="I194" s="49">
        <f t="shared" si="7"/>
        <v>7.1434294871794854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58</v>
      </c>
      <c r="B195" s="60">
        <f>293.26/1.56</f>
        <v>187.98717948717947</v>
      </c>
      <c r="C195" s="60">
        <v>3</v>
      </c>
      <c r="D195" s="60">
        <f>55.98/1.56</f>
        <v>35.88461538461538</v>
      </c>
      <c r="E195" s="51"/>
      <c r="F195" s="51"/>
      <c r="G195" s="51"/>
      <c r="H195" s="51"/>
      <c r="I195" s="49">
        <f t="shared" si="7"/>
        <v>7.2307692307692299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66</v>
      </c>
      <c r="B196" s="60">
        <f>324.61/1.56</f>
        <v>208.08333333333334</v>
      </c>
      <c r="C196" s="60">
        <v>4</v>
      </c>
      <c r="D196" s="60">
        <f>61.1/1.56</f>
        <v>39.166666666666664</v>
      </c>
      <c r="E196" s="51"/>
      <c r="F196" s="51"/>
      <c r="G196" s="51"/>
      <c r="H196" s="51"/>
      <c r="I196" s="49">
        <f t="shared" si="7"/>
        <v>6.9975961538461569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74</v>
      </c>
      <c r="B197" s="60">
        <f>347.12/1.56</f>
        <v>222.5128205128205</v>
      </c>
      <c r="C197" s="60">
        <v>5</v>
      </c>
      <c r="D197" s="60">
        <f>57.51/1.56</f>
        <v>36.865384615384613</v>
      </c>
      <c r="E197" s="51"/>
      <c r="F197" s="51"/>
      <c r="G197" s="51"/>
      <c r="H197" s="51"/>
      <c r="I197" s="49">
        <f t="shared" si="7"/>
        <v>6.6995192307692264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84</v>
      </c>
      <c r="B198" s="60">
        <f>391.54/1.56</f>
        <v>250.9871794871795</v>
      </c>
      <c r="C198" s="60">
        <v>6</v>
      </c>
      <c r="D198" s="60">
        <f>73.72/1.56</f>
        <v>47.256410256410255</v>
      </c>
      <c r="E198" s="51"/>
      <c r="F198" s="51"/>
      <c r="G198" s="51"/>
      <c r="H198" s="51"/>
      <c r="I198" s="49">
        <f t="shared" si="7"/>
        <v>6.533974358974362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94</v>
      </c>
      <c r="B199" s="50">
        <v>266.24358974358972</v>
      </c>
      <c r="C199" s="50">
        <v>7</v>
      </c>
      <c r="D199" s="50">
        <v>47.243589743589745</v>
      </c>
      <c r="E199" s="51"/>
      <c r="F199" s="51"/>
      <c r="G199" s="51"/>
      <c r="H199" s="51"/>
      <c r="I199" s="49">
        <f t="shared" si="7"/>
        <v>6.2512820512820468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104</v>
      </c>
      <c r="B200" s="50">
        <v>279.71794871794873</v>
      </c>
      <c r="C200" s="50">
        <v>8</v>
      </c>
      <c r="D200" s="50">
        <v>45.987179487179482</v>
      </c>
      <c r="E200" s="51"/>
      <c r="F200" s="51"/>
      <c r="G200" s="51"/>
      <c r="H200" s="51"/>
      <c r="I200" s="49">
        <f t="shared" si="7"/>
        <v>6.071794871794876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114</v>
      </c>
      <c r="B201" s="50">
        <v>293.59615384615381</v>
      </c>
      <c r="C201" s="50">
        <v>9</v>
      </c>
      <c r="D201" s="50">
        <v>42.78846153846154</v>
      </c>
      <c r="E201" s="51"/>
      <c r="F201" s="51"/>
      <c r="G201" s="51"/>
      <c r="H201" s="51"/>
      <c r="I201" s="49">
        <f t="shared" si="7"/>
        <v>5.9865384615384558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124</v>
      </c>
      <c r="B202" s="50">
        <v>310.96153846153845</v>
      </c>
      <c r="C202" s="50">
        <v>10</v>
      </c>
      <c r="D202" s="50">
        <v>39.820512820512818</v>
      </c>
      <c r="E202" s="51"/>
      <c r="F202" s="51"/>
      <c r="G202" s="51"/>
      <c r="H202" s="51"/>
      <c r="I202" s="49">
        <f t="shared" si="7"/>
        <v>6.0153846153846189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>
        <v>134</v>
      </c>
      <c r="B203" s="50">
        <v>331.85256410256414</v>
      </c>
      <c r="C203" s="50">
        <v>11</v>
      </c>
      <c r="D203" s="50">
        <v>41.666666666666664</v>
      </c>
      <c r="E203" s="51"/>
      <c r="F203" s="51"/>
      <c r="G203" s="51"/>
      <c r="H203" s="51"/>
      <c r="I203" s="49">
        <f t="shared" si="7"/>
        <v>6.0711538461538508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>
        <v>144</v>
      </c>
      <c r="B204" s="50">
        <v>351.5641025641026</v>
      </c>
      <c r="C204" s="50">
        <v>12</v>
      </c>
      <c r="D204" s="50">
        <v>42.224358974358978</v>
      </c>
      <c r="E204" s="51"/>
      <c r="F204" s="51"/>
      <c r="G204" s="51"/>
      <c r="H204" s="51"/>
      <c r="I204" s="49">
        <f t="shared" si="7"/>
        <v>6.1378205128205137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>
        <v>154</v>
      </c>
      <c r="B205" s="50">
        <v>371.83974358974359</v>
      </c>
      <c r="C205" s="50">
        <v>13</v>
      </c>
      <c r="D205" s="50">
        <v>41.557692307692307</v>
      </c>
      <c r="E205" s="51"/>
      <c r="F205" s="51"/>
      <c r="G205" s="51"/>
      <c r="H205" s="51"/>
      <c r="I205" s="49">
        <f t="shared" si="7"/>
        <v>6.2499999999999947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>
        <v>164</v>
      </c>
      <c r="B206" s="50">
        <v>393.6858974358974</v>
      </c>
      <c r="C206" s="50">
        <v>14</v>
      </c>
      <c r="D206" s="50">
        <v>44.814102564102562</v>
      </c>
      <c r="E206" s="51"/>
      <c r="F206" s="51"/>
      <c r="G206" s="51"/>
      <c r="H206" s="51"/>
      <c r="I206" s="49">
        <f t="shared" si="7"/>
        <v>6.3403846153846128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>
        <v>174</v>
      </c>
      <c r="B207" s="50">
        <v>413.05128205128204</v>
      </c>
      <c r="C207" s="50">
        <v>15</v>
      </c>
      <c r="D207" s="50">
        <v>162.38461538461539</v>
      </c>
      <c r="E207" s="51"/>
      <c r="F207" s="51"/>
      <c r="G207" s="51"/>
      <c r="H207" s="51"/>
      <c r="I207" s="49">
        <f t="shared" si="7"/>
        <v>6.4179487179487182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>
        <v>177</v>
      </c>
      <c r="B208" s="50">
        <v>262.96153846153845</v>
      </c>
      <c r="C208" s="50">
        <v>16</v>
      </c>
      <c r="D208" s="50">
        <v>87</v>
      </c>
      <c r="E208" s="51"/>
      <c r="F208" s="51"/>
      <c r="G208" s="51"/>
      <c r="H208" s="51"/>
      <c r="I208" s="49">
        <f t="shared" si="7"/>
        <v>4.0982905982905988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>
        <v>180</v>
      </c>
      <c r="B209" s="50">
        <v>183.50641025641025</v>
      </c>
      <c r="C209" s="50">
        <v>17</v>
      </c>
      <c r="D209" s="50">
        <v>58.794871794871796</v>
      </c>
      <c r="E209" s="51"/>
      <c r="F209" s="51"/>
      <c r="G209" s="51"/>
      <c r="H209" s="51"/>
      <c r="I209" s="49">
        <f t="shared" si="7"/>
        <v>2.5149572649572653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>
        <v>183</v>
      </c>
      <c r="B210" s="50">
        <v>129.32692307692307</v>
      </c>
      <c r="C210" s="50">
        <v>18</v>
      </c>
      <c r="D210" s="50">
        <v>129.32692307692307</v>
      </c>
      <c r="E210" s="51"/>
      <c r="F210" s="51"/>
      <c r="G210" s="51"/>
      <c r="H210" s="51"/>
      <c r="I210" s="49">
        <f t="shared" si="7"/>
        <v>1.5384615384615377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Erable sycomore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20</v>
      </c>
      <c r="B218" s="60">
        <v>95</v>
      </c>
      <c r="C218" s="50">
        <v>1</v>
      </c>
      <c r="D218" s="60">
        <f>15+28</f>
        <v>43</v>
      </c>
      <c r="E218" s="63"/>
      <c r="F218" s="63">
        <v>0.25</v>
      </c>
      <c r="G218" s="63">
        <v>0.25</v>
      </c>
      <c r="H218" s="63">
        <v>0.5</v>
      </c>
      <c r="I218" s="53">
        <f>IFERROR(B218/A218,"")</f>
        <v>4.75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v>174</v>
      </c>
      <c r="C219" s="50">
        <v>2</v>
      </c>
      <c r="D219" s="60">
        <f>28+28</f>
        <v>56</v>
      </c>
      <c r="E219" s="63"/>
      <c r="F219" s="63">
        <v>0.25</v>
      </c>
      <c r="G219" s="63">
        <v>0.25</v>
      </c>
      <c r="H219" s="63">
        <v>0.5</v>
      </c>
      <c r="I219" s="53">
        <f t="shared" ref="I219:I237" si="8">IF(A219&lt;&gt;0,(B219-(B218-D218))/(A219-A218),"")</f>
        <v>12.2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40</v>
      </c>
      <c r="B220" s="60">
        <v>220</v>
      </c>
      <c r="C220" s="50">
        <v>3</v>
      </c>
      <c r="D220" s="60">
        <f>28+28</f>
        <v>56</v>
      </c>
      <c r="E220" s="63"/>
      <c r="F220" s="63"/>
      <c r="G220" s="63"/>
      <c r="H220" s="63"/>
      <c r="I220" s="53">
        <f t="shared" si="8"/>
        <v>10.199999999999999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v>241</v>
      </c>
      <c r="C221" s="55">
        <v>4</v>
      </c>
      <c r="D221" s="55">
        <f>22+17</f>
        <v>39</v>
      </c>
      <c r="E221" s="63"/>
      <c r="F221" s="63"/>
      <c r="G221" s="63"/>
      <c r="H221" s="63"/>
      <c r="I221" s="53">
        <f t="shared" si="8"/>
        <v>7.7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60</v>
      </c>
      <c r="B222" s="55">
        <v>258</v>
      </c>
      <c r="C222" s="55">
        <v>5</v>
      </c>
      <c r="D222" s="55">
        <f>13+12</f>
        <v>25</v>
      </c>
      <c r="E222" s="63"/>
      <c r="F222" s="63"/>
      <c r="G222" s="63"/>
      <c r="H222" s="63"/>
      <c r="I222" s="53">
        <f t="shared" si="8"/>
        <v>5.6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70</v>
      </c>
      <c r="B223" s="55">
        <v>274</v>
      </c>
      <c r="C223" s="55">
        <v>6</v>
      </c>
      <c r="D223" s="55">
        <f>11+10</f>
        <v>21</v>
      </c>
      <c r="E223" s="63"/>
      <c r="F223" s="63"/>
      <c r="G223" s="63"/>
      <c r="H223" s="63"/>
      <c r="I223" s="53">
        <f t="shared" si="8"/>
        <v>4.0999999999999996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80</v>
      </c>
      <c r="B224" s="55">
        <f>267+9+8</f>
        <v>284</v>
      </c>
      <c r="C224" s="55">
        <v>7</v>
      </c>
      <c r="D224" s="55">
        <f>B224</f>
        <v>284</v>
      </c>
      <c r="E224" s="63"/>
      <c r="F224" s="63"/>
      <c r="G224" s="63"/>
      <c r="H224" s="63"/>
      <c r="I224" s="53">
        <f t="shared" si="8"/>
        <v>3.1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Châtaignier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20</v>
      </c>
      <c r="B244" s="60">
        <v>95</v>
      </c>
      <c r="C244" s="60">
        <v>1</v>
      </c>
      <c r="D244" s="60">
        <f>15+28</f>
        <v>43</v>
      </c>
      <c r="E244" s="51"/>
      <c r="F244" s="51">
        <v>0.25</v>
      </c>
      <c r="G244" s="51">
        <v>0.25</v>
      </c>
      <c r="H244" s="63">
        <v>0.5</v>
      </c>
      <c r="I244" s="53">
        <f>IFERROR(B244/A244,"")</f>
        <v>4.75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30</v>
      </c>
      <c r="B245" s="60">
        <v>174</v>
      </c>
      <c r="C245" s="60">
        <v>2</v>
      </c>
      <c r="D245" s="60">
        <f>28+28</f>
        <v>56</v>
      </c>
      <c r="E245" s="63"/>
      <c r="F245" s="63">
        <v>0.25</v>
      </c>
      <c r="G245" s="63">
        <v>0.25</v>
      </c>
      <c r="H245" s="63">
        <v>0.5</v>
      </c>
      <c r="I245" s="53">
        <f>IF(A245&lt;&gt;0,(B245-(B244-D244))/(A245-A244),"")</f>
        <v>12.2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40</v>
      </c>
      <c r="B246" s="60">
        <v>220</v>
      </c>
      <c r="C246" s="60">
        <v>3</v>
      </c>
      <c r="D246" s="60">
        <f>28+28</f>
        <v>56</v>
      </c>
      <c r="E246" s="63"/>
      <c r="F246" s="63"/>
      <c r="G246" s="63"/>
      <c r="H246" s="63"/>
      <c r="I246" s="53">
        <f>IF(A246&lt;&gt;0,(B246-(B245-D245))/(A246-A245),"")</f>
        <v>10.199999999999999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50</v>
      </c>
      <c r="B247" s="60">
        <v>241</v>
      </c>
      <c r="C247" s="60">
        <v>4</v>
      </c>
      <c r="D247" s="60">
        <v>39</v>
      </c>
      <c r="E247" s="63"/>
      <c r="F247" s="63"/>
      <c r="G247" s="63"/>
      <c r="H247" s="63"/>
      <c r="I247" s="53">
        <f t="shared" ref="I247:I263" si="9">IF(A247&lt;&gt;0,(B247-(B246-D246))/(A247-A246),"")</f>
        <v>7.7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60</v>
      </c>
      <c r="B248" s="60">
        <v>258</v>
      </c>
      <c r="C248" s="60">
        <v>5</v>
      </c>
      <c r="D248" s="60">
        <v>25</v>
      </c>
      <c r="E248" s="63"/>
      <c r="F248" s="63"/>
      <c r="G248" s="63"/>
      <c r="H248" s="63"/>
      <c r="I248" s="53">
        <f t="shared" si="9"/>
        <v>5.6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70</v>
      </c>
      <c r="B249" s="60">
        <v>274</v>
      </c>
      <c r="C249" s="60">
        <v>6</v>
      </c>
      <c r="D249" s="60">
        <v>21</v>
      </c>
      <c r="E249" s="63"/>
      <c r="F249" s="63"/>
      <c r="G249" s="63"/>
      <c r="H249" s="63"/>
      <c r="I249" s="53">
        <f t="shared" si="9"/>
        <v>4.0999999999999996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80</v>
      </c>
      <c r="B250" s="60">
        <v>284</v>
      </c>
      <c r="C250" s="60">
        <v>7</v>
      </c>
      <c r="D250" s="60">
        <v>284</v>
      </c>
      <c r="E250" s="63"/>
      <c r="F250" s="63"/>
      <c r="G250" s="63"/>
      <c r="H250" s="63"/>
      <c r="I250" s="53">
        <f t="shared" si="9"/>
        <v>3.1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>Erable plane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>
        <v>20</v>
      </c>
      <c r="B270" s="60">
        <v>95</v>
      </c>
      <c r="C270" s="50">
        <v>1</v>
      </c>
      <c r="D270" s="60">
        <f>15+28</f>
        <v>43</v>
      </c>
      <c r="E270" s="51"/>
      <c r="F270" s="51">
        <v>0.25</v>
      </c>
      <c r="G270" s="51">
        <v>0.25</v>
      </c>
      <c r="H270" s="51">
        <v>0.5</v>
      </c>
      <c r="I270" s="53">
        <f>IFERROR(B270/A270,"")</f>
        <v>4.75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>
        <v>30</v>
      </c>
      <c r="B271" s="60">
        <v>174</v>
      </c>
      <c r="C271" s="50">
        <v>2</v>
      </c>
      <c r="D271" s="60">
        <f>28+28</f>
        <v>56</v>
      </c>
      <c r="E271" s="51"/>
      <c r="F271" s="51">
        <v>0.25</v>
      </c>
      <c r="G271" s="51">
        <v>0.25</v>
      </c>
      <c r="H271" s="51">
        <v>0.5</v>
      </c>
      <c r="I271" s="53">
        <f>IF(A271&lt;&gt;0,(B271-(B270-D270))/(A271-A270),"")</f>
        <v>12.2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>
        <v>40</v>
      </c>
      <c r="B272" s="60">
        <v>220</v>
      </c>
      <c r="C272" s="50">
        <v>3</v>
      </c>
      <c r="D272" s="60">
        <f>28+28</f>
        <v>56</v>
      </c>
      <c r="E272" s="51"/>
      <c r="F272" s="51"/>
      <c r="G272" s="51"/>
      <c r="H272" s="51"/>
      <c r="I272" s="53">
        <f t="shared" ref="I272:I289" si="10">IF(A272&lt;&gt;0,(B272-(B271-D271))/(A272-A271),"")</f>
        <v>10.199999999999999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>
        <v>50</v>
      </c>
      <c r="B273" s="60">
        <v>241</v>
      </c>
      <c r="C273" s="50">
        <v>4</v>
      </c>
      <c r="D273" s="60">
        <v>39</v>
      </c>
      <c r="E273" s="51"/>
      <c r="F273" s="51"/>
      <c r="G273" s="51"/>
      <c r="H273" s="51"/>
      <c r="I273" s="53">
        <f t="shared" si="10"/>
        <v>7.7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>
        <v>60</v>
      </c>
      <c r="B274" s="60">
        <v>258</v>
      </c>
      <c r="C274" s="50">
        <v>5</v>
      </c>
      <c r="D274" s="60">
        <v>25</v>
      </c>
      <c r="E274" s="51"/>
      <c r="F274" s="51"/>
      <c r="G274" s="51"/>
      <c r="H274" s="51"/>
      <c r="I274" s="53">
        <f t="shared" si="10"/>
        <v>5.6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>
        <v>70</v>
      </c>
      <c r="B275" s="60">
        <v>274</v>
      </c>
      <c r="C275" s="50">
        <v>6</v>
      </c>
      <c r="D275" s="60">
        <v>21</v>
      </c>
      <c r="E275" s="63"/>
      <c r="F275" s="63"/>
      <c r="G275" s="63"/>
      <c r="H275" s="63"/>
      <c r="I275" s="53">
        <f t="shared" si="10"/>
        <v>4.0999999999999996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>
        <v>80</v>
      </c>
      <c r="B276" s="60">
        <v>284</v>
      </c>
      <c r="C276" s="50">
        <v>7</v>
      </c>
      <c r="D276" s="60">
        <v>284</v>
      </c>
      <c r="E276" s="63"/>
      <c r="F276" s="63"/>
      <c r="G276" s="63"/>
      <c r="H276" s="63"/>
      <c r="I276" s="53">
        <f t="shared" si="10"/>
        <v>3.1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4" sqref="G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Pin laricio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Alisier torminal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Alisier torminal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Erable sycomore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Châtaignier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>Erable plane</v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309.07357540707869</v>
      </c>
      <c r="T3" s="59">
        <f>IF('Données projet'!E9&gt;30,$R$33-$H$33,LOOKUP('Données projet'!$E$9,$A$3:$A$203,R3:R203)-LOOKUP('Données projet'!$E$9,$A$3:$A$203,$H$3:$H$203))</f>
        <v>155.9593924683299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234.30804102916278</v>
      </c>
      <c r="AO3" s="59">
        <f>IF('Données projet'!E10&gt;30,$AM$33-$H$33,LOOKUP('Données projet'!$E$10,$A$3:$A$203,AM3:AM203)-LOOKUP('Données projet'!$E$10,$A$3:$A$203,$H$3:$H$203))</f>
        <v>91.137993288782411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158.58786357608489</v>
      </c>
      <c r="BJ3" s="59">
        <f>IF('Données projet'!E11&gt;30,$BH$33-$H$33,LOOKUP('Données projet'!$E$11,$A$3:$A$203,BH3:BH203)-LOOKUP('Données projet'!$E$11,$A$3:$A$203,$H$3:$H$203))</f>
        <v>163.20074068819849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123.2823358462245</v>
      </c>
      <c r="CE3" s="59">
        <f>IF('Données projet'!E12&gt;30,$CC$33-$H$33,LOOKUP('Données projet'!$E$12,$A$3:$A$203,CC3:CC203)-LOOKUP('Données projet'!$E$12,$A$3:$A$203,$H$3:$H$203))</f>
        <v>92.75115399786057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179.32848817523677</v>
      </c>
      <c r="CZ3" s="59">
        <f>IF('Données projet'!E13&gt;30,$CX$33-$H$33,LOOKUP('Données projet'!$E$13,$A$3:$A$203,CX3:CX203)-LOOKUP('Données projet'!$E$13,$A$3:$A$203,$H$3:$H$203))</f>
        <v>131.3292389103035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340.4659523898373</v>
      </c>
      <c r="DU3" s="59">
        <f>IF('Données projet'!E14&gt;30,$DS$33-$H$33,LOOKUP('Données projet'!$E$14,$A$3:$A$203,DS3:DS203)-LOOKUP('Données projet'!$E$14,$A$3:$A$203,$H$3:$H$203))</f>
        <v>170.54530785680572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262.20955982183017</v>
      </c>
      <c r="EP3" s="59">
        <f>IF('Données projet'!E15&gt;30,$EN$33-$H$33,LOOKUP('Données projet'!$E$15,$A$3:$A$203,EN3:EN203)-LOOKUP('Données projet'!$E$15,$A$3:$A$203,$H$3:$H$203))</f>
        <v>101.35842063036193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199.58763537752952</v>
      </c>
      <c r="FK3" s="59">
        <f>IF('Données projet'!E16&gt;30,$FI$33-$H$33,LOOKUP('Données projet'!$E$16,$A$3:$A$203,FI3:FI203)-LOOKUP('Données projet'!$E$16,$A$3:$A$203,$H$3:$H$203))</f>
        <v>242.62852778451929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178.12968684094687</v>
      </c>
      <c r="GF3" s="59">
        <f>IF('Données projet'!E17&gt;30,$GD$33-$H$33,LOOKUP('Données projet'!$E$17,$A$3:$A$203,GD3:GD203)-LOOKUP('Données projet'!$E$17,$A$3:$A$203,$H$3:$H$203))</f>
        <v>219.36004077210373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199.58763537752952</v>
      </c>
      <c r="HA3" s="59">
        <f>IF('Données projet'!E18&gt;30,$GY$33-$H$33,LOOKUP('Données projet'!$E$18,$A$3:$A$203,GY3:GY203)-LOOKUP('Données projet'!$E$18,$A$3:$A$203,$H$3:$H$203))</f>
        <v>242.62852778451929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3.6141025641025637</v>
      </c>
      <c r="N4" s="13">
        <f>IF('Données projet'!$A$36&gt;35,N3+M4-V3,IF(A4&lt;'Données projet'!$A$36,$K$205^A4,IF(A4='Données projet'!$A$36,'Données projet'!$B$36,N3+M4-V3)))</f>
        <v>1.1690615875970631</v>
      </c>
      <c r="O4" s="13">
        <f>N4*VLOOKUP('Données projet'!$B$9,Paramètres!$A$1:$I$89,3,0)*VLOOKUP('Données projet'!$B$9,Paramètres!$A$1:$I$89,5,0)</f>
        <v>1.0577669244578227</v>
      </c>
      <c r="P4" s="13">
        <f>EXP(-1.0587+0.8836*LN(O4)+0.284)</f>
        <v>0.48428727045047132</v>
      </c>
      <c r="Q4" s="20">
        <f t="shared" ref="Q4:Q34" si="2">(O4+P4)*0.475*44/12</f>
        <v>2.6857443894652788</v>
      </c>
      <c r="R4" s="59">
        <f t="shared" si="0"/>
        <v>296.01907772279861</v>
      </c>
      <c r="S4" s="59">
        <f ca="1">AVERAGE(OFFSET($R$3,0,0,'Données projet'!$E$9+1,1))-AVERAGE(OFFSET($H$3,0,0,'Données projet'!$E$9+1,1))</f>
        <v>309.07357540707869</v>
      </c>
      <c r="T4" s="59">
        <f>$T$3</f>
        <v>155.9593924683299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2.5115384615384619</v>
      </c>
      <c r="AI4" s="13">
        <f>IF('Données projet'!$A$62&gt;35,AI3+AH4-AQ3,IF(A4&lt;'Données projet'!$A$62,$AF$205^A4,IF(A4='Données projet'!$A$62,'Données projet'!$B$62,AI3+AH4-AQ3)))</f>
        <v>1.1549646791274306</v>
      </c>
      <c r="AJ4" s="13">
        <f>AI4*VLOOKUP('Données projet'!$B$10,Paramètres!$A$1:$I$89,3,0)*VLOOKUP('Données projet'!$B$10,Paramètres!$A$1:$I$89,5,0)</f>
        <v>1.0450120416744992</v>
      </c>
      <c r="AK4" s="13">
        <f>EXP(-1.0587+0.8836*LN(AJ4)+0.284)</f>
        <v>0.47912368577044179</v>
      </c>
      <c r="AL4" s="20">
        <f t="shared" ref="AL4:AL67" si="4">(AJ4+AK4)*0.475*44/12</f>
        <v>2.6545363919666056</v>
      </c>
      <c r="AM4" s="59">
        <f t="shared" ref="AM4:AM67" si="5">AL4+(AD4+AE4)*44/12</f>
        <v>295.9878697252999</v>
      </c>
      <c r="AN4" s="59">
        <f ca="1">AVERAGE(OFFSET($AM$3,0,0,'Données projet'!$E$10+1,1))-AVERAGE(OFFSET($H$3,0,0,'Données projet'!$E$10+1,1))</f>
        <v>234.30804102916278</v>
      </c>
      <c r="AO4" s="59">
        <f>$AO$3</f>
        <v>91.137993288782411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7.2264102564102561</v>
      </c>
      <c r="BD4" s="12">
        <f>IF('Données projet'!$A$88&gt;35,BD3+BC4-BL3,IF(A4&lt;'Données projet'!$A$88,$BA$205^A4,IF(A4='Données projet'!$A$88,'Données projet'!$B$88,BD3+BC4-BL3)))</f>
        <v>1.1963772029987372</v>
      </c>
      <c r="BE4" s="13">
        <f>BD4*VLOOKUP('Données projet'!$B$11,Paramètres!$A$1:$I$89,3,0)*VLOOKUP('Données projet'!$B$11,Paramètres!$A$1:$I$89,5,0)</f>
        <v>0.55990453100340898</v>
      </c>
      <c r="BF4" s="13">
        <f>EXP(-1.0587+0.8836*LN(BE4)+0.284)</f>
        <v>0.2760486193577778</v>
      </c>
      <c r="BG4" s="20">
        <f t="shared" ref="BG4:BG67" si="7">(BE4+BF4)*0.475*44/12</f>
        <v>1.4559517368790669</v>
      </c>
      <c r="BH4" s="59">
        <f t="shared" ref="BH4:BH67" si="8">BG4+(AY4+AZ4)*44/12</f>
        <v>294.78928507021237</v>
      </c>
      <c r="BI4" s="59">
        <f ca="1">AVERAGE(OFFSET($BH$3,0,0,'Données projet'!$E$11+1,1))-AVERAGE(OFFSET($H$3,0,0,'Données projet'!$E$11+1,1))</f>
        <v>158.58786357608489</v>
      </c>
      <c r="BJ4" s="59">
        <f>$BJ$3</f>
        <v>163.20074068819849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4.9084615384615384</v>
      </c>
      <c r="BY4" s="12">
        <f>IF('Données projet'!$A$114&gt;35,BY3+BX4-CG3,IF(A4&lt;'Données projet'!$A$114,$BV$205^A4,IF(A4='Données projet'!$A$114,'Données projet'!$B$114,BY3+BX4-CG3)))</f>
        <v>1.1810516433311786</v>
      </c>
      <c r="BZ4" s="13">
        <f>BY4*VLOOKUP('Données projet'!$B$12,Paramètres!$A$1:$I$89,3,0)*VLOOKUP('Données projet'!$B$12,Paramètres!$A$1:$I$89,5,0)</f>
        <v>0.55273216907899159</v>
      </c>
      <c r="CA4" s="13">
        <f>EXP(-1.0587+0.8836*LN(BZ4)+0.284)</f>
        <v>0.27292171413945432</v>
      </c>
      <c r="CB4" s="20">
        <f t="shared" ref="CB4:CB67" si="10">(BZ4+CA4)*0.475*44/12</f>
        <v>1.4380138466054599</v>
      </c>
      <c r="CC4" s="59">
        <f t="shared" ref="CC4:CC67" si="11">CB4+(BT4+BU4)*44/12</f>
        <v>294.7713471799388</v>
      </c>
      <c r="CD4" s="59">
        <f ca="1">AVERAGE(OFFSET($CC$3,0,0,'Données projet'!$E$12+1,1))-AVERAGE(OFFSET($H$3,0,0,'Données projet'!$E$12+1,1))</f>
        <v>123.2823358462245</v>
      </c>
      <c r="CE4" s="59">
        <f>$CE$3</f>
        <v>92.75115399786057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2.3805128205128203</v>
      </c>
      <c r="CT4" s="12">
        <f>IF('Données projet'!$A$140&gt;35,CT3+CS4-DB3,IF(A4&lt;'Données projet'!$A$140,$CQ$205^A4,IF(A4='Données projet'!$A$140,'Données projet'!$B$140,CT3+CS4-DB3)))</f>
        <v>1.2691631451226497</v>
      </c>
      <c r="CU4" s="17">
        <f>CT4*VLOOKUP('Données projet'!$B$13,Paramètres!$A$1:$I$89,3,0)*VLOOKUP('Données projet'!$B$13,Paramètres!$A$1:$I$89,5,0)</f>
        <v>0.75895956078334459</v>
      </c>
      <c r="CV4" s="13">
        <f>EXP(-1.0587+0.8836*LN(CU4)+0.284)</f>
        <v>0.36117131619841292</v>
      </c>
      <c r="CW4" s="20">
        <f t="shared" ref="CW4:CW67" si="13">(CU4+CV4)*0.475*44/12</f>
        <v>1.9508946107432275</v>
      </c>
      <c r="CX4" s="59">
        <f t="shared" ref="CX4:CX67" si="14">CW4+(CO4+CP4)*44/12</f>
        <v>295.28422794407652</v>
      </c>
      <c r="CY4" s="59">
        <f ca="1">AVERAGE(OFFSET($CX$3,0,0,'Données projet'!$E$13+1,1))-AVERAGE(OFFSET($H$3,0,0,'Données projet'!$E$13+1,1))</f>
        <v>179.32848817523677</v>
      </c>
      <c r="CZ4" s="59">
        <f>$CZ$3</f>
        <v>131.3292389103035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3.6141025641025637</v>
      </c>
      <c r="DO4" s="12">
        <f>IF('Données projet'!$A$166&gt;35,DO3+DN4-DW3,IF(A4&lt;'Données projet'!$A$166,$DL$205^A4,IF(A4='Données projet'!$A$166,'Données projet'!$B$166,DO3+DN4-DW3)))</f>
        <v>1.1690615875970631</v>
      </c>
      <c r="DP4" s="17">
        <f>DO4*VLOOKUP('Données projet'!$B$14,Paramètres!$A$1:$I$89,3,0)*VLOOKUP('Données projet'!$B$14,Paramètres!$A$1:$I$89,5,0)</f>
        <v>1.1307163675238796</v>
      </c>
      <c r="DQ4" s="13">
        <f>EXP(-1.0587+0.8836*LN(DP4)+0.284)</f>
        <v>0.51368321546954721</v>
      </c>
      <c r="DR4" s="20">
        <f t="shared" ref="DR4:DR67" si="16">(DP4+DQ4)*0.475*44/12</f>
        <v>2.8639959403802187</v>
      </c>
      <c r="DS4" s="59">
        <f t="shared" ref="DS4:DS67" si="17">DR4+(DJ4+DK4)*44/12</f>
        <v>296.19732927371354</v>
      </c>
      <c r="DT4" s="59">
        <f ca="1">AVERAGE(OFFSET($DS$3,0,0,'Données projet'!$E$14+1,1))-AVERAGE(OFFSET($H$3,0,0,'Données projet'!$E$14+1,1))</f>
        <v>340.4659523898373</v>
      </c>
      <c r="DU4" s="59">
        <f>$DU$3</f>
        <v>170.54530785680572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2.5115384615384619</v>
      </c>
      <c r="EJ4" s="12">
        <f>IF('Données projet'!$A$192&gt;35,EJ3+EI4-ER3,IF(A4&lt;'Données projet'!$A$192,$EG$205^A4,IF(A4='Données projet'!$A$192,'Données projet'!$B$192,EJ3+EI4-ER3)))</f>
        <v>1.1549646791274306</v>
      </c>
      <c r="EK4" s="17">
        <f>EJ4*VLOOKUP('Données projet'!$B$15,Paramètres!$A$1:$I$89,3,0)*VLOOKUP('Données projet'!$B$15,Paramètres!$A$1:$I$89,5,0)</f>
        <v>1.1170818376520508</v>
      </c>
      <c r="EL4" s="13">
        <f>EXP(-1.0587+0.8836*LN(EK4)+0.284)</f>
        <v>0.50820620431598196</v>
      </c>
      <c r="EM4" s="20">
        <f t="shared" ref="EM4:EM67" si="19">(EK4+EL4)*0.475*44/12</f>
        <v>2.8307100064276569</v>
      </c>
      <c r="EN4" s="59">
        <f t="shared" ref="EN4:EN67" si="20">EM4+(EE4+EF4)*44/12</f>
        <v>296.16404333976095</v>
      </c>
      <c r="EO4" s="59">
        <f ca="1">AVERAGE(OFFSET($EN$3,0,0,'Données projet'!$E$15+1,1))-AVERAGE(OFFSET($H$3,0,0,'Données projet'!$E$15+1,1))</f>
        <v>262.20955982183017</v>
      </c>
      <c r="EP4" s="59">
        <f>$EP$3</f>
        <v>101.35842063036193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4.75</v>
      </c>
      <c r="FE4" s="12">
        <f>IF('Données projet'!$A$218&gt;35,FE3+FD4-FM3,IF(A4&lt;'Données projet'!$A$218,$FB$205^A4,IF(A4='Données projet'!$A$218,'Données projet'!$B$218,FE3+FD4-FM3)))</f>
        <v>1.2557008269631629</v>
      </c>
      <c r="FF4" s="17">
        <f>FE4*VLOOKUP('Données projet'!$B$16,Paramètres!$A$1:$I$89,3,0)*VLOOKUP('Données projet'!$B$16,Paramètres!$A$1:$I$89,5,0)</f>
        <v>0.99903557793189246</v>
      </c>
      <c r="FG4" s="13">
        <f>EXP(-1.0587+0.8836*LN(FF4)+0.284)</f>
        <v>0.46044927814777026</v>
      </c>
      <c r="FH4" s="20">
        <f t="shared" ref="FH4:FH67" si="22">(FF4+FG4)*0.475*44/12</f>
        <v>2.5419361243387457</v>
      </c>
      <c r="FI4" s="59">
        <f t="shared" ref="FI4:FI67" si="23">FH4+(EZ4+FA4)*44/12</f>
        <v>295.87526945767206</v>
      </c>
      <c r="FJ4" s="59">
        <f ca="1">AVERAGE(OFFSET($FI$3,0,0,'Données projet'!$E$16+1,1))-AVERAGE(OFFSET($H$3,0,0,'Données projet'!$E$16+1,1))</f>
        <v>199.58763537752952</v>
      </c>
      <c r="FK4" s="59">
        <f>$FK$3</f>
        <v>242.62852778451929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4.75</v>
      </c>
      <c r="FZ4" s="12">
        <f>IF('Données projet'!$A$244&gt;35,FZ3+FY4-GH3,IF(A4&lt;'Données projet'!$A$244,$FW$205^A4,IF(A4='Données projet'!$A$244,'Données projet'!$B$244,FZ3+FY4-GH3)))</f>
        <v>1.2557008269631629</v>
      </c>
      <c r="GA4" s="17">
        <f>FZ4*VLOOKUP('Données projet'!$B$17,Paramètres!$A$1:$I$89,3,0)*VLOOKUP('Données projet'!$B$17,Paramètres!$A$1:$I$89,5,0)</f>
        <v>0.92067984632939093</v>
      </c>
      <c r="GB4" s="13">
        <f>EXP(-1.0587+0.8836*LN(GA4)+0.284)</f>
        <v>0.42838914348681989</v>
      </c>
      <c r="GC4" s="20">
        <f t="shared" ref="GC4:GC67" si="25">(GA4+GB4)*0.475*44/12</f>
        <v>2.349628490596567</v>
      </c>
      <c r="GD4" s="59">
        <f t="shared" ref="GD4:GD67" si="26">GC4+(FU4+FV4)*44/12</f>
        <v>295.68296182392987</v>
      </c>
      <c r="GE4" s="59">
        <f ca="1">AVERAGE(OFFSET($GD$3,0,0,'Données projet'!$E$17+1,1))-AVERAGE(OFFSET($H$3,0,0,'Données projet'!$E$17+1,1))</f>
        <v>178.12968684094687</v>
      </c>
      <c r="GF4" s="59">
        <f>$GF$3</f>
        <v>219.36004077210373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4.75</v>
      </c>
      <c r="GU4" s="12">
        <f>IF('Données projet'!$A$270&gt;35,GU3+GT4-HC3,IF(A4&lt;'Données projet'!$A$270,$GR$205^A4,IF(A4='Données projet'!$A$270,'Données projet'!$B$270,GU3+GT4-HC3)))</f>
        <v>1.2557008269631629</v>
      </c>
      <c r="GV4" s="17">
        <f>GU4*VLOOKUP('Données projet'!$B$18,Paramètres!$A$1:$I$89,3,0)*VLOOKUP('Données projet'!$B$18,Paramètres!$A$1:$I$89,5,0)</f>
        <v>0.99903557793189246</v>
      </c>
      <c r="GW4" s="13">
        <f>EXP(-1.0587+0.8836*LN(GV4)+0.284)</f>
        <v>0.46044927814777026</v>
      </c>
      <c r="GX4" s="20">
        <f t="shared" ref="GX4:GX67" si="28">(GV4+GW4)*0.475*44/12</f>
        <v>2.5419361243387457</v>
      </c>
      <c r="GY4" s="59">
        <f t="shared" ref="GY4:GY67" si="29">GX4+(GP4+GQ4)*44/12</f>
        <v>295.87526945767206</v>
      </c>
      <c r="GZ4" s="59">
        <f ca="1">AVERAGE(OFFSET($GY$3,0,0,'Données projet'!$E$18+1,1))-AVERAGE(OFFSET($H$3,0,0,'Données projet'!$E$18+1,1))</f>
        <v>199.58763537752952</v>
      </c>
      <c r="HA4" s="59">
        <f>$HA$3</f>
        <v>242.62852778451929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3.6141025641025637</v>
      </c>
      <c r="N5" s="13">
        <f>IF('Données projet'!$A$36&gt;35,N4+M5-V4,IF(A5&lt;'Données projet'!$A$36,$K$205^A5,IF(A5='Données projet'!$A$36,'Données projet'!$B$36,N4+M5-V4)))</f>
        <v>1.3667049955949657</v>
      </c>
      <c r="O5" s="13">
        <f>N5*VLOOKUP('Données projet'!$B$9,Paramètres!$A$1:$I$89,3,0)*VLOOKUP('Données projet'!$B$9,Paramètres!$A$1:$I$89,5,0)</f>
        <v>1.236594680014325</v>
      </c>
      <c r="P5" s="13">
        <f t="shared" ref="P5:P68" si="33">EXP(-1.0587+0.8836*LN(O5)+0.284)</f>
        <v>0.55596080148480498</v>
      </c>
      <c r="Q5" s="20">
        <f t="shared" si="2"/>
        <v>3.1220341302776515</v>
      </c>
      <c r="R5" s="59">
        <f t="shared" si="0"/>
        <v>296.45536746361097</v>
      </c>
      <c r="S5" s="59">
        <f ca="1">AVERAGE(OFFSET($R$3,0,0,'Données projet'!$E$9+1,1))-AVERAGE(OFFSET($H$3,0,0,'Données projet'!$E$9+1,1))</f>
        <v>309.07357540707869</v>
      </c>
      <c r="T5" s="59">
        <f t="shared" ref="T5:T68" si="34">$T$3</f>
        <v>155.9593924683299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2.5115384615384619</v>
      </c>
      <c r="AI5" s="13">
        <f>IF('Données projet'!$A$62&gt;35,AI4+AH5-AQ4,IF(A5&lt;'Données projet'!$A$62,$AF$205^A5,IF(A5='Données projet'!$A$62,'Données projet'!$B$62,AI4+AH5-AQ4)))</f>
        <v>1.3339434100319287</v>
      </c>
      <c r="AJ5" s="13">
        <f>AI5*VLOOKUP('Données projet'!$B$10,Paramètres!$A$1:$I$89,3,0)*VLOOKUP('Données projet'!$B$10,Paramètres!$A$1:$I$89,5,0)</f>
        <v>1.206951997396889</v>
      </c>
      <c r="AK5" s="13">
        <f t="shared" ref="AK5:AK68" si="35">EXP(-1.0587+0.8836*LN(AJ5)+0.284)</f>
        <v>0.54416843549744709</v>
      </c>
      <c r="AL5" s="20">
        <f t="shared" si="4"/>
        <v>3.0498680872909687</v>
      </c>
      <c r="AM5" s="59">
        <f t="shared" si="5"/>
        <v>296.38320142062429</v>
      </c>
      <c r="AN5" s="59">
        <f ca="1">AVERAGE(OFFSET($AM$3,0,0,'Données projet'!$E$10+1,1))-AVERAGE(OFFSET($H$3,0,0,'Données projet'!$E$10+1,1))</f>
        <v>234.30804102916278</v>
      </c>
      <c r="AO5" s="59">
        <f t="shared" ref="AO5:AO68" si="36">$AO$3</f>
        <v>91.137993288782411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7.2264102564102561</v>
      </c>
      <c r="BD5" s="12">
        <f>IF('Données projet'!$A$88&gt;35,BD4+BC5-BL4,IF(A5&lt;'Données projet'!$A$88,$BA$205^A5,IF(A5='Données projet'!$A$88,'Données projet'!$B$88,BD4+BC5-BL4)))</f>
        <v>1.4313184118550817</v>
      </c>
      <c r="BE5" s="13">
        <f>BD5*VLOOKUP('Données projet'!$B$11,Paramètres!$A$1:$I$89,3,0)*VLOOKUP('Données projet'!$B$11,Paramètres!$A$1:$I$89,5,0)</f>
        <v>0.66985701674817832</v>
      </c>
      <c r="BF5" s="13">
        <f t="shared" ref="BF5:BF68" si="37">EXP(-1.0587+0.8836*LN(BE5)+0.284)</f>
        <v>0.32343711768198868</v>
      </c>
      <c r="BG5" s="20">
        <f t="shared" si="7"/>
        <v>1.729987284132541</v>
      </c>
      <c r="BH5" s="59">
        <f t="shared" si="8"/>
        <v>295.06332061746588</v>
      </c>
      <c r="BI5" s="59">
        <f ca="1">AVERAGE(OFFSET($BH$3,0,0,'Données projet'!$E$11+1,1))-AVERAGE(OFFSET($H$3,0,0,'Données projet'!$E$11+1,1))</f>
        <v>158.58786357608489</v>
      </c>
      <c r="BJ5" s="59">
        <f t="shared" ref="BJ5:BJ68" si="38">$BJ$3</f>
        <v>163.20074068819849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4.9084615384615384</v>
      </c>
      <c r="BY5" s="12">
        <f>IF('Données projet'!$A$114&gt;35,BY4+BX5-CG4,IF(A5&lt;'Données projet'!$A$114,$BV$205^A5,IF(A5='Données projet'!$A$114,'Données projet'!$B$114,BY4+BX5-CG4)))</f>
        <v>1.3948829842152777</v>
      </c>
      <c r="BZ5" s="13">
        <f>BY5*VLOOKUP('Données projet'!$B$12,Paramètres!$A$1:$I$89,3,0)*VLOOKUP('Données projet'!$B$12,Paramètres!$A$1:$I$89,5,0)</f>
        <v>0.65280523661274992</v>
      </c>
      <c r="CA5" s="13">
        <f t="shared" ref="CA5:CA68" si="39">EXP(-1.0587+0.8836*LN(BZ5)+0.284)</f>
        <v>0.31615123301372139</v>
      </c>
      <c r="CB5" s="20">
        <f t="shared" si="10"/>
        <v>1.6875991845994376</v>
      </c>
      <c r="CC5" s="59">
        <f t="shared" si="11"/>
        <v>295.02093251793275</v>
      </c>
      <c r="CD5" s="59">
        <f ca="1">AVERAGE(OFFSET($CC$3,0,0,'Données projet'!$E$12+1,1))-AVERAGE(OFFSET($H$3,0,0,'Données projet'!$E$12+1,1))</f>
        <v>123.2823358462245</v>
      </c>
      <c r="CE5" s="59">
        <f t="shared" ref="CE5:CE68" si="40">$CE$3</f>
        <v>92.75115399786057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2.3805128205128203</v>
      </c>
      <c r="CT5" s="12">
        <f>IF('Données projet'!$A$140&gt;35,CT4+CS5-DB4,IF(A5&lt;'Données projet'!$A$140,$CQ$205^A5,IF(A5='Données projet'!$A$140,'Données projet'!$B$140,CT4+CS5-DB4)))</f>
        <v>1.610775088937616</v>
      </c>
      <c r="CU5" s="17">
        <f>CT5*VLOOKUP('Données projet'!$B$13,Paramètres!$A$1:$I$89,3,0)*VLOOKUP('Données projet'!$B$13,Paramètres!$A$1:$I$89,5,0)</f>
        <v>0.96324350318469443</v>
      </c>
      <c r="CV5" s="13">
        <f t="shared" ref="CV5:CV68" si="41">EXP(-1.0587+0.8836*LN(CU5)+0.284)</f>
        <v>0.44584230224208238</v>
      </c>
      <c r="CW5" s="20">
        <f t="shared" si="13"/>
        <v>2.4541577777849692</v>
      </c>
      <c r="CX5" s="59">
        <f t="shared" si="14"/>
        <v>295.7874911111183</v>
      </c>
      <c r="CY5" s="59">
        <f ca="1">AVERAGE(OFFSET($CX$3,0,0,'Données projet'!$E$13+1,1))-AVERAGE(OFFSET($H$3,0,0,'Données projet'!$E$13+1,1))</f>
        <v>179.32848817523677</v>
      </c>
      <c r="CZ5" s="59">
        <f t="shared" ref="CZ5:CZ68" si="42">$CZ$3</f>
        <v>131.3292389103035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3.6141025641025637</v>
      </c>
      <c r="DO5" s="12">
        <f>IF('Données projet'!$A$166&gt;35,DO4+DN5-DW4,IF(A5&lt;'Données projet'!$A$166,$DL$205^A5,IF(A5='Données projet'!$A$166,'Données projet'!$B$166,DO4+DN5-DW4)))</f>
        <v>1.3667049955949657</v>
      </c>
      <c r="DP5" s="17">
        <f>DO5*VLOOKUP('Données projet'!$B$14,Paramètres!$A$1:$I$89,3,0)*VLOOKUP('Données projet'!$B$14,Paramètres!$A$1:$I$89,5,0)</f>
        <v>1.321877071739451</v>
      </c>
      <c r="DQ5" s="13">
        <f t="shared" ref="DQ5:DQ68" si="43">EXP(-1.0587+0.8836*LN(DP5)+0.284)</f>
        <v>0.58970728657826388</v>
      </c>
      <c r="DR5" s="20">
        <f t="shared" si="16"/>
        <v>3.3293427574033534</v>
      </c>
      <c r="DS5" s="59">
        <f t="shared" si="17"/>
        <v>296.66267609073668</v>
      </c>
      <c r="DT5" s="59">
        <f ca="1">AVERAGE(OFFSET($DS$3,0,0,'Données projet'!$E$14+1,1))-AVERAGE(OFFSET($H$3,0,0,'Données projet'!$E$14+1,1))</f>
        <v>340.4659523898373</v>
      </c>
      <c r="DU5" s="59">
        <f t="shared" ref="DU5:DU68" si="44">$DU$3</f>
        <v>170.54530785680572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2.5115384615384619</v>
      </c>
      <c r="EJ5" s="12">
        <f>IF('Données projet'!$A$192&gt;35,EJ4+EI5-ER4,IF(A5&lt;'Données projet'!$A$192,$EG$205^A5,IF(A5='Données projet'!$A$192,'Données projet'!$B$192,EJ4+EI5-ER4)))</f>
        <v>1.3339434100319287</v>
      </c>
      <c r="EK5" s="17">
        <f>EJ5*VLOOKUP('Données projet'!$B$15,Paramètres!$A$1:$I$89,3,0)*VLOOKUP('Données projet'!$B$15,Paramètres!$A$1:$I$89,5,0)</f>
        <v>1.2901900661828813</v>
      </c>
      <c r="EL5" s="13">
        <f t="shared" ref="EL5:EL68" si="45">EXP(-1.0587+0.8836*LN(EK5)+0.284)</f>
        <v>0.57719913109289434</v>
      </c>
      <c r="EM5" s="20">
        <f t="shared" si="19"/>
        <v>3.2523695185886425</v>
      </c>
      <c r="EN5" s="59">
        <f t="shared" si="20"/>
        <v>296.58570285192195</v>
      </c>
      <c r="EO5" s="59">
        <f ca="1">AVERAGE(OFFSET($EN$3,0,0,'Données projet'!$E$15+1,1))-AVERAGE(OFFSET($H$3,0,0,'Données projet'!$E$15+1,1))</f>
        <v>262.20955982183017</v>
      </c>
      <c r="EP5" s="59">
        <f t="shared" ref="EP5:EP68" si="46">$EP$3</f>
        <v>101.35842063036193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4.75</v>
      </c>
      <c r="FE5" s="12">
        <f>IF('Données projet'!$A$218&gt;35,FE4+FD5-FM4,IF(A5&lt;'Données projet'!$A$218,$FB$205^A5,IF(A5='Données projet'!$A$218,'Données projet'!$B$218,FE4+FD5-FM4)))</f>
        <v>1.576784566835971</v>
      </c>
      <c r="FF5" s="17">
        <f>FE5*VLOOKUP('Données projet'!$B$16,Paramètres!$A$1:$I$89,3,0)*VLOOKUP('Données projet'!$B$16,Paramètres!$A$1:$I$89,5,0)</f>
        <v>1.2544898013746986</v>
      </c>
      <c r="FG5" s="13">
        <f t="shared" ref="FG5:FG68" si="47">EXP(-1.0587+0.8836*LN(FF5)+0.284)</f>
        <v>0.56306382382627529</v>
      </c>
      <c r="FH5" s="20">
        <f t="shared" si="22"/>
        <v>3.1655725638916965</v>
      </c>
      <c r="FI5" s="59">
        <f t="shared" si="23"/>
        <v>296.49890589722503</v>
      </c>
      <c r="FJ5" s="59">
        <f ca="1">AVERAGE(OFFSET($FI$3,0,0,'Données projet'!$E$16+1,1))-AVERAGE(OFFSET($H$3,0,0,'Données projet'!$E$16+1,1))</f>
        <v>199.58763537752952</v>
      </c>
      <c r="FK5" s="59">
        <f t="shared" ref="FK5:FK68" si="48">$FK$3</f>
        <v>242.62852778451929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4.75</v>
      </c>
      <c r="FZ5" s="12">
        <f>IF('Données projet'!$A$244&gt;35,FZ4+FY5-GH4,IF(A5&lt;'Données projet'!$A$244,$FW$205^A5,IF(A5='Données projet'!$A$244,'Données projet'!$B$244,FZ4+FY5-GH4)))</f>
        <v>1.576784566835971</v>
      </c>
      <c r="GA5" s="17">
        <f>FZ5*VLOOKUP('Données projet'!$B$17,Paramètres!$A$1:$I$89,3,0)*VLOOKUP('Données projet'!$B$17,Paramètres!$A$1:$I$89,5,0)</f>
        <v>1.156098444404134</v>
      </c>
      <c r="GB5" s="13">
        <f t="shared" ref="GB5:GB68" si="49">EXP(-1.0587+0.8836*LN(GA5)+0.284)</f>
        <v>0.52385884974705288</v>
      </c>
      <c r="GC5" s="20">
        <f t="shared" si="25"/>
        <v>2.9259256206466504</v>
      </c>
      <c r="GD5" s="59">
        <f t="shared" si="26"/>
        <v>296.25925895397995</v>
      </c>
      <c r="GE5" s="59">
        <f ca="1">AVERAGE(OFFSET($GD$3,0,0,'Données projet'!$E$17+1,1))-AVERAGE(OFFSET($H$3,0,0,'Données projet'!$E$17+1,1))</f>
        <v>178.12968684094687</v>
      </c>
      <c r="GF5" s="59">
        <f t="shared" ref="GF5:GF68" si="50">$GF$3</f>
        <v>219.36004077210373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4.75</v>
      </c>
      <c r="GU5" s="12">
        <f>IF('Données projet'!$A$270&gt;35,GU4+GT5-HC4,IF(A5&lt;'Données projet'!$A$270,$GR$205^A5,IF(A5='Données projet'!$A$270,'Données projet'!$B$270,GU4+GT5-HC4)))</f>
        <v>1.576784566835971</v>
      </c>
      <c r="GV5" s="17">
        <f>GU5*VLOOKUP('Données projet'!$B$18,Paramètres!$A$1:$I$89,3,0)*VLOOKUP('Données projet'!$B$18,Paramètres!$A$1:$I$89,5,0)</f>
        <v>1.2544898013746986</v>
      </c>
      <c r="GW5" s="13">
        <f t="shared" ref="GW5:GW68" si="51">EXP(-1.0587+0.8836*LN(GV5)+0.284)</f>
        <v>0.56306382382627529</v>
      </c>
      <c r="GX5" s="20">
        <f t="shared" si="28"/>
        <v>3.1655725638916965</v>
      </c>
      <c r="GY5" s="59">
        <f t="shared" si="29"/>
        <v>296.49890589722503</v>
      </c>
      <c r="GZ5" s="59">
        <f ca="1">AVERAGE(OFFSET($GY$3,0,0,'Données projet'!$E$18+1,1))-AVERAGE(OFFSET($H$3,0,0,'Données projet'!$E$18+1,1))</f>
        <v>199.58763537752952</v>
      </c>
      <c r="HA5" s="59">
        <f t="shared" ref="HA5:HA68" si="52">$HA$3</f>
        <v>242.62852778451929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3.6141025641025637</v>
      </c>
      <c r="N6" s="13">
        <f>IF('Données projet'!$A$36&gt;35,N5+M6-V5,IF(A6&lt;'Données projet'!$A$36,$K$205^A6,IF(A6='Données projet'!$A$36,'Données projet'!$B$36,N5+M6-V5)))</f>
        <v>1.5977623119270878</v>
      </c>
      <c r="O6" s="13">
        <f>N6*VLOOKUP('Données projet'!$B$9,Paramètres!$A$1:$I$89,3,0)*VLOOKUP('Données projet'!$B$9,Paramètres!$A$1:$I$89,5,0)</f>
        <v>1.445655339831629</v>
      </c>
      <c r="P6" s="13">
        <f t="shared" si="33"/>
        <v>0.63824186933535754</v>
      </c>
      <c r="Q6" s="20">
        <f t="shared" si="2"/>
        <v>3.6294543059658344</v>
      </c>
      <c r="R6" s="59">
        <f t="shared" si="0"/>
        <v>296.96278763929917</v>
      </c>
      <c r="S6" s="59">
        <f ca="1">AVERAGE(OFFSET($R$3,0,0,'Données projet'!$E$9+1,1))-AVERAGE(OFFSET($H$3,0,0,'Données projet'!$E$9+1,1))</f>
        <v>309.07357540707869</v>
      </c>
      <c r="T6" s="59">
        <f t="shared" si="34"/>
        <v>155.9593924683299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2.5115384615384619</v>
      </c>
      <c r="AI6" s="13">
        <f>IF('Données projet'!$A$62&gt;35,AI5+AH6-AQ5,IF(A6&lt;'Données projet'!$A$62,$AF$205^A6,IF(A6='Données projet'!$A$62,'Données projet'!$B$62,AI5+AH6-AQ5)))</f>
        <v>1.5406575225416772</v>
      </c>
      <c r="AJ6" s="13">
        <f>AI6*VLOOKUP('Données projet'!$B$10,Paramètres!$A$1:$I$89,3,0)*VLOOKUP('Données projet'!$B$10,Paramètres!$A$1:$I$89,5,0)</f>
        <v>1.3939869263957094</v>
      </c>
      <c r="AK6" s="13">
        <f t="shared" si="35"/>
        <v>0.6180435135774448</v>
      </c>
      <c r="AL6" s="20">
        <f t="shared" si="4"/>
        <v>3.5042863496199099</v>
      </c>
      <c r="AM6" s="59">
        <f t="shared" si="5"/>
        <v>296.83761968295323</v>
      </c>
      <c r="AN6" s="59">
        <f ca="1">AVERAGE(OFFSET($AM$3,0,0,'Données projet'!$E$10+1,1))-AVERAGE(OFFSET($H$3,0,0,'Données projet'!$E$10+1,1))</f>
        <v>234.30804102916278</v>
      </c>
      <c r="AO6" s="59">
        <f t="shared" si="36"/>
        <v>91.137993288782411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7.2264102564102561</v>
      </c>
      <c r="BD6" s="12">
        <f>IF('Données projet'!$A$88&gt;35,BD5+BC6-BL5,IF(A6&lt;'Données projet'!$A$88,$BA$205^A6,IF(A6='Données projet'!$A$88,'Données projet'!$B$88,BD5+BC6-BL5)))</f>
        <v>1.7123967181757771</v>
      </c>
      <c r="BE6" s="13">
        <f>BD6*VLOOKUP('Données projet'!$B$11,Paramètres!$A$1:$I$89,3,0)*VLOOKUP('Données projet'!$B$11,Paramètres!$A$1:$I$89,5,0)</f>
        <v>0.80140166410626379</v>
      </c>
      <c r="BF6" s="13">
        <f t="shared" si="37"/>
        <v>0.37896066764546593</v>
      </c>
      <c r="BG6" s="20">
        <f t="shared" si="7"/>
        <v>2.0557977278009294</v>
      </c>
      <c r="BH6" s="59">
        <f t="shared" si="8"/>
        <v>295.38913106113426</v>
      </c>
      <c r="BI6" s="59">
        <f ca="1">AVERAGE(OFFSET($BH$3,0,0,'Données projet'!$E$11+1,1))-AVERAGE(OFFSET($H$3,0,0,'Données projet'!$E$11+1,1))</f>
        <v>158.58786357608489</v>
      </c>
      <c r="BJ6" s="59">
        <f t="shared" si="38"/>
        <v>163.20074068819849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4.9084615384615384</v>
      </c>
      <c r="BY6" s="12">
        <f>IF('Données projet'!$A$114&gt;35,BY5+BX6-CG5,IF(A6&lt;'Données projet'!$A$114,$BV$205^A6,IF(A6='Données projet'!$A$114,'Données projet'!$B$114,BY5+BX6-CG5)))</f>
        <v>1.6474288407621522</v>
      </c>
      <c r="BZ6" s="13">
        <f>BY6*VLOOKUP('Données projet'!$B$12,Paramètres!$A$1:$I$89,3,0)*VLOOKUP('Données projet'!$B$12,Paramètres!$A$1:$I$89,5,0)</f>
        <v>0.7709966974766872</v>
      </c>
      <c r="CA6" s="13">
        <f t="shared" si="39"/>
        <v>0.36622810482944673</v>
      </c>
      <c r="CB6" s="20">
        <f t="shared" si="10"/>
        <v>1.9806665306831832</v>
      </c>
      <c r="CC6" s="59">
        <f t="shared" si="11"/>
        <v>295.31399986401652</v>
      </c>
      <c r="CD6" s="59">
        <f ca="1">AVERAGE(OFFSET($CC$3,0,0,'Données projet'!$E$12+1,1))-AVERAGE(OFFSET($H$3,0,0,'Données projet'!$E$12+1,1))</f>
        <v>123.2823358462245</v>
      </c>
      <c r="CE6" s="59">
        <f t="shared" si="40"/>
        <v>92.75115399786057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2.3805128205128203</v>
      </c>
      <c r="CT6" s="12">
        <f>IF('Données projet'!$A$140&gt;35,CT5+CS6-DB5,IF(A6&lt;'Données projet'!$A$140,$CQ$205^A6,IF(A6='Données projet'!$A$140,'Données projet'!$B$140,CT5+CS6-DB5)))</f>
        <v>2.0443363779612804</v>
      </c>
      <c r="CU6" s="17">
        <f>CT6*VLOOKUP('Données projet'!$B$13,Paramètres!$A$1:$I$89,3,0)*VLOOKUP('Données projet'!$B$13,Paramètres!$A$1:$I$89,5,0)</f>
        <v>1.2225131540208458</v>
      </c>
      <c r="CV6" s="13">
        <f t="shared" si="41"/>
        <v>0.55036308132321654</v>
      </c>
      <c r="CW6" s="20">
        <f t="shared" si="13"/>
        <v>3.0877594432242415</v>
      </c>
      <c r="CX6" s="59">
        <f t="shared" si="14"/>
        <v>296.42109277655754</v>
      </c>
      <c r="CY6" s="59">
        <f ca="1">AVERAGE(OFFSET($CX$3,0,0,'Données projet'!$E$13+1,1))-AVERAGE(OFFSET($H$3,0,0,'Données projet'!$E$13+1,1))</f>
        <v>179.32848817523677</v>
      </c>
      <c r="CZ6" s="59">
        <f t="shared" si="42"/>
        <v>131.3292389103035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3.6141025641025637</v>
      </c>
      <c r="DO6" s="12">
        <f>IF('Données projet'!$A$166&gt;35,DO5+DN6-DW5,IF(A6&lt;'Données projet'!$A$166,$DL$205^A6,IF(A6='Données projet'!$A$166,'Données projet'!$B$166,DO5+DN6-DW5)))</f>
        <v>1.5977623119270878</v>
      </c>
      <c r="DP6" s="17">
        <f>DO6*VLOOKUP('Données projet'!$B$14,Paramètres!$A$1:$I$89,3,0)*VLOOKUP('Données projet'!$B$14,Paramètres!$A$1:$I$89,5,0)</f>
        <v>1.5453557080958793</v>
      </c>
      <c r="DQ6" s="13">
        <f t="shared" si="43"/>
        <v>0.67698276558564041</v>
      </c>
      <c r="DR6" s="20">
        <f t="shared" si="16"/>
        <v>3.8705728416619798</v>
      </c>
      <c r="DS6" s="59">
        <f t="shared" si="17"/>
        <v>297.20390617499527</v>
      </c>
      <c r="DT6" s="59">
        <f ca="1">AVERAGE(OFFSET($DS$3,0,0,'Données projet'!$E$14+1,1))-AVERAGE(OFFSET($H$3,0,0,'Données projet'!$E$14+1,1))</f>
        <v>340.4659523898373</v>
      </c>
      <c r="DU6" s="59">
        <f t="shared" si="44"/>
        <v>170.54530785680572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2.5115384615384619</v>
      </c>
      <c r="EJ6" s="12">
        <f>IF('Données projet'!$A$192&gt;35,EJ5+EI6-ER5,IF(A6&lt;'Données projet'!$A$192,$EG$205^A6,IF(A6='Données projet'!$A$192,'Données projet'!$B$192,EJ5+EI6-ER5)))</f>
        <v>1.5406575225416772</v>
      </c>
      <c r="EK6" s="17">
        <f>EJ6*VLOOKUP('Données projet'!$B$15,Paramètres!$A$1:$I$89,3,0)*VLOOKUP('Données projet'!$B$15,Paramètres!$A$1:$I$89,5,0)</f>
        <v>1.4901239558023103</v>
      </c>
      <c r="EL6" s="13">
        <f t="shared" si="45"/>
        <v>0.65555838182417725</v>
      </c>
      <c r="EM6" s="20">
        <f t="shared" si="19"/>
        <v>3.7370634046994655</v>
      </c>
      <c r="EN6" s="59">
        <f t="shared" si="20"/>
        <v>297.0703967380328</v>
      </c>
      <c r="EO6" s="59">
        <f ca="1">AVERAGE(OFFSET($EN$3,0,0,'Données projet'!$E$15+1,1))-AVERAGE(OFFSET($H$3,0,0,'Données projet'!$E$15+1,1))</f>
        <v>262.20955982183017</v>
      </c>
      <c r="EP6" s="59">
        <f t="shared" si="46"/>
        <v>101.35842063036193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4.75</v>
      </c>
      <c r="FE6" s="12">
        <f>IF('Données projet'!$A$218&gt;35,FE5+FD6-FM5,IF(A6&lt;'Données projet'!$A$218,$FB$205^A6,IF(A6='Données projet'!$A$218,'Données projet'!$B$218,FE5+FD6-FM5)))</f>
        <v>1.9799696845186814</v>
      </c>
      <c r="FF6" s="17">
        <f>FE6*VLOOKUP('Données projet'!$B$16,Paramètres!$A$1:$I$89,3,0)*VLOOKUP('Données projet'!$B$16,Paramètres!$A$1:$I$89,5,0)</f>
        <v>1.575263881003063</v>
      </c>
      <c r="FG6" s="13">
        <f t="shared" si="47"/>
        <v>0.68854678408274117</v>
      </c>
      <c r="FH6" s="20">
        <f t="shared" si="22"/>
        <v>3.9428035750244419</v>
      </c>
      <c r="FI6" s="59">
        <f t="shared" si="23"/>
        <v>297.27613690835778</v>
      </c>
      <c r="FJ6" s="59">
        <f ca="1">AVERAGE(OFFSET($FI$3,0,0,'Données projet'!$E$16+1,1))-AVERAGE(OFFSET($H$3,0,0,'Données projet'!$E$16+1,1))</f>
        <v>199.58763537752952</v>
      </c>
      <c r="FK6" s="59">
        <f t="shared" si="48"/>
        <v>242.62852778451929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4.75</v>
      </c>
      <c r="FZ6" s="12">
        <f>IF('Données projet'!$A$244&gt;35,FZ5+FY6-GH5,IF(A6&lt;'Données projet'!$A$244,$FW$205^A6,IF(A6='Données projet'!$A$244,'Données projet'!$B$244,FZ5+FY6-GH5)))</f>
        <v>1.9799696845186814</v>
      </c>
      <c r="GA6" s="17">
        <f>FZ6*VLOOKUP('Données projet'!$B$17,Paramètres!$A$1:$I$89,3,0)*VLOOKUP('Données projet'!$B$17,Paramètres!$A$1:$I$89,5,0)</f>
        <v>1.4517137726890972</v>
      </c>
      <c r="GB6" s="13">
        <f t="shared" si="49"/>
        <v>0.64060468998964859</v>
      </c>
      <c r="GC6" s="20">
        <f t="shared" si="25"/>
        <v>3.6441213224988154</v>
      </c>
      <c r="GD6" s="59">
        <f t="shared" si="26"/>
        <v>296.9774546558321</v>
      </c>
      <c r="GE6" s="59">
        <f ca="1">AVERAGE(OFFSET($GD$3,0,0,'Données projet'!$E$17+1,1))-AVERAGE(OFFSET($H$3,0,0,'Données projet'!$E$17+1,1))</f>
        <v>178.12968684094687</v>
      </c>
      <c r="GF6" s="59">
        <f t="shared" si="50"/>
        <v>219.36004077210373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4.75</v>
      </c>
      <c r="GU6" s="12">
        <f>IF('Données projet'!$A$270&gt;35,GU5+GT6-HC5,IF(A6&lt;'Données projet'!$A$270,$GR$205^A6,IF(A6='Données projet'!$A$270,'Données projet'!$B$270,GU5+GT6-HC5)))</f>
        <v>1.9799696845186814</v>
      </c>
      <c r="GV6" s="17">
        <f>GU6*VLOOKUP('Données projet'!$B$18,Paramètres!$A$1:$I$89,3,0)*VLOOKUP('Données projet'!$B$18,Paramètres!$A$1:$I$89,5,0)</f>
        <v>1.575263881003063</v>
      </c>
      <c r="GW6" s="13">
        <f t="shared" si="51"/>
        <v>0.68854678408274117</v>
      </c>
      <c r="GX6" s="20">
        <f t="shared" si="28"/>
        <v>3.9428035750244419</v>
      </c>
      <c r="GY6" s="59">
        <f t="shared" si="29"/>
        <v>297.27613690835778</v>
      </c>
      <c r="GZ6" s="59">
        <f ca="1">AVERAGE(OFFSET($GY$3,0,0,'Données projet'!$E$18+1,1))-AVERAGE(OFFSET($H$3,0,0,'Données projet'!$E$18+1,1))</f>
        <v>199.58763537752952</v>
      </c>
      <c r="HA6" s="59">
        <f t="shared" si="52"/>
        <v>242.62852778451929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3.6141025641025637</v>
      </c>
      <c r="N7" s="13">
        <f>IF('Données projet'!$A$36&gt;35,N6+M7-V6,IF(A7&lt;'Données projet'!$A$36,$K$205^A7,IF(A7='Données projet'!$A$36,'Données projet'!$B$36,N6+M7-V6)))</f>
        <v>1.8678825449842353</v>
      </c>
      <c r="O7" s="13">
        <f>N7*VLOOKUP('Données projet'!$B$9,Paramètres!$A$1:$I$89,3,0)*VLOOKUP('Données projet'!$B$9,Paramètres!$A$1:$I$89,5,0)</f>
        <v>1.6900601267017361</v>
      </c>
      <c r="P7" s="13">
        <f t="shared" si="33"/>
        <v>0.73270036787625048</v>
      </c>
      <c r="Q7" s="20">
        <f t="shared" si="2"/>
        <v>4.2196411947233265</v>
      </c>
      <c r="R7" s="59">
        <f t="shared" si="0"/>
        <v>297.55297452805667</v>
      </c>
      <c r="S7" s="59">
        <f ca="1">AVERAGE(OFFSET($R$3,0,0,'Données projet'!$E$9+1,1))-AVERAGE(OFFSET($H$3,0,0,'Données projet'!$E$9+1,1))</f>
        <v>309.07357540707869</v>
      </c>
      <c r="T7" s="59">
        <f t="shared" si="34"/>
        <v>155.9593924683299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2.5115384615384619</v>
      </c>
      <c r="AI7" s="13">
        <f>IF('Données projet'!$A$62&gt;35,AI6+AH7-AQ6,IF(A7&lt;'Données projet'!$A$62,$AF$205^A7,IF(A7='Données projet'!$A$62,'Données projet'!$B$62,AI6+AH7-AQ6)))</f>
        <v>1.7794050211676105</v>
      </c>
      <c r="AJ7" s="13">
        <f>AI7*VLOOKUP('Données projet'!$B$10,Paramètres!$A$1:$I$89,3,0)*VLOOKUP('Données projet'!$B$10,Paramètres!$A$1:$I$89,5,0)</f>
        <v>1.610005663152454</v>
      </c>
      <c r="AK7" s="13">
        <f t="shared" si="35"/>
        <v>0.70194770544890439</v>
      </c>
      <c r="AL7" s="20">
        <f t="shared" si="4"/>
        <v>4.0266521169806992</v>
      </c>
      <c r="AM7" s="59">
        <f t="shared" si="5"/>
        <v>297.35998545031401</v>
      </c>
      <c r="AN7" s="59">
        <f ca="1">AVERAGE(OFFSET($AM$3,0,0,'Données projet'!$E$10+1,1))-AVERAGE(OFFSET($H$3,0,0,'Données projet'!$E$10+1,1))</f>
        <v>234.30804102916278</v>
      </c>
      <c r="AO7" s="59">
        <f t="shared" si="36"/>
        <v>91.137993288782411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7.2264102564102561</v>
      </c>
      <c r="BD7" s="12">
        <f>IF('Données projet'!$A$88&gt;35,BD6+BC7-BL6,IF(A7&lt;'Données projet'!$A$88,$BA$205^A7,IF(A7='Données projet'!$A$88,'Données projet'!$B$88,BD6+BC7-BL6)))</f>
        <v>2.0486723961153532</v>
      </c>
      <c r="BE7" s="13">
        <f>BD7*VLOOKUP('Données projet'!$B$11,Paramètres!$A$1:$I$89,3,0)*VLOOKUP('Données projet'!$B$11,Paramètres!$A$1:$I$89,5,0)</f>
        <v>0.95877868138198519</v>
      </c>
      <c r="BF7" s="13">
        <f t="shared" si="37"/>
        <v>0.44401579092570115</v>
      </c>
      <c r="BG7" s="20">
        <f t="shared" si="7"/>
        <v>2.4432003726025537</v>
      </c>
      <c r="BH7" s="59">
        <f t="shared" si="8"/>
        <v>295.77653370593589</v>
      </c>
      <c r="BI7" s="59">
        <f ca="1">AVERAGE(OFFSET($BH$3,0,0,'Données projet'!$E$11+1,1))-AVERAGE(OFFSET($H$3,0,0,'Données projet'!$E$11+1,1))</f>
        <v>158.58786357608489</v>
      </c>
      <c r="BJ7" s="59">
        <f t="shared" si="38"/>
        <v>163.20074068819849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4.9084615384615384</v>
      </c>
      <c r="BY7" s="12">
        <f>IF('Données projet'!$A$114&gt;35,BY6+BX7-CG6,IF(A7&lt;'Données projet'!$A$114,$BV$205^A7,IF(A7='Données projet'!$A$114,'Données projet'!$B$114,BY6+BX7-CG6)))</f>
        <v>1.9456985396533186</v>
      </c>
      <c r="BZ7" s="13">
        <f>BY7*VLOOKUP('Données projet'!$B$12,Paramètres!$A$1:$I$89,3,0)*VLOOKUP('Données projet'!$B$12,Paramètres!$A$1:$I$89,5,0)</f>
        <v>0.91058691655775315</v>
      </c>
      <c r="CA7" s="13">
        <f t="shared" si="39"/>
        <v>0.42423691816235021</v>
      </c>
      <c r="CB7" s="20">
        <f t="shared" si="10"/>
        <v>2.32481817880418</v>
      </c>
      <c r="CC7" s="59">
        <f t="shared" si="11"/>
        <v>295.65815151213752</v>
      </c>
      <c r="CD7" s="59">
        <f ca="1">AVERAGE(OFFSET($CC$3,0,0,'Données projet'!$E$12+1,1))-AVERAGE(OFFSET($H$3,0,0,'Données projet'!$E$12+1,1))</f>
        <v>123.2823358462245</v>
      </c>
      <c r="CE7" s="59">
        <f t="shared" si="40"/>
        <v>92.75115399786057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2.3805128205128203</v>
      </c>
      <c r="CT7" s="12">
        <f>IF('Données projet'!$A$140&gt;35,CT6+CS7-DB6,IF(A7&lt;'Données projet'!$A$140,$CQ$205^A7,IF(A7='Données projet'!$A$140,'Données projet'!$B$140,CT6+CS7-DB6)))</f>
        <v>2.5945963871419848</v>
      </c>
      <c r="CU7" s="17">
        <f>CT7*VLOOKUP('Données projet'!$B$13,Paramètres!$A$1:$I$89,3,0)*VLOOKUP('Données projet'!$B$13,Paramètres!$A$1:$I$89,5,0)</f>
        <v>1.551568639510907</v>
      </c>
      <c r="CV7" s="13">
        <f t="shared" si="41"/>
        <v>0.67938712805030732</v>
      </c>
      <c r="CW7" s="20">
        <f t="shared" si="13"/>
        <v>3.8855812951691147</v>
      </c>
      <c r="CX7" s="59">
        <f t="shared" si="14"/>
        <v>297.21891462850243</v>
      </c>
      <c r="CY7" s="59">
        <f ca="1">AVERAGE(OFFSET($CX$3,0,0,'Données projet'!$E$13+1,1))-AVERAGE(OFFSET($H$3,0,0,'Données projet'!$E$13+1,1))</f>
        <v>179.32848817523677</v>
      </c>
      <c r="CZ7" s="59">
        <f t="shared" si="42"/>
        <v>131.3292389103035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3.6141025641025637</v>
      </c>
      <c r="DO7" s="12">
        <f>IF('Données projet'!$A$166&gt;35,DO6+DN7-DW6,IF(A7&lt;'Données projet'!$A$166,$DL$205^A7,IF(A7='Données projet'!$A$166,'Données projet'!$B$166,DO6+DN7-DW6)))</f>
        <v>1.8678825449842353</v>
      </c>
      <c r="DP7" s="17">
        <f>DO7*VLOOKUP('Données projet'!$B$14,Paramètres!$A$1:$I$89,3,0)*VLOOKUP('Données projet'!$B$14,Paramètres!$A$1:$I$89,5,0)</f>
        <v>1.8066159975087526</v>
      </c>
      <c r="DQ7" s="13">
        <f t="shared" si="43"/>
        <v>0.77717483797642983</v>
      </c>
      <c r="DR7" s="20">
        <f t="shared" si="16"/>
        <v>4.5001023718033588</v>
      </c>
      <c r="DS7" s="59">
        <f t="shared" si="17"/>
        <v>297.83343570513665</v>
      </c>
      <c r="DT7" s="59">
        <f ca="1">AVERAGE(OFFSET($DS$3,0,0,'Données projet'!$E$14+1,1))-AVERAGE(OFFSET($H$3,0,0,'Données projet'!$E$14+1,1))</f>
        <v>340.4659523898373</v>
      </c>
      <c r="DU7" s="59">
        <f t="shared" si="44"/>
        <v>170.54530785680572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2.5115384615384619</v>
      </c>
      <c r="EJ7" s="12">
        <f>IF('Données projet'!$A$192&gt;35,EJ6+EI7-ER6,IF(A7&lt;'Données projet'!$A$192,$EG$205^A7,IF(A7='Données projet'!$A$192,'Données projet'!$B$192,EJ6+EI7-ER6)))</f>
        <v>1.7794050211676105</v>
      </c>
      <c r="EK7" s="17">
        <f>EJ7*VLOOKUP('Données projet'!$B$15,Paramètres!$A$1:$I$89,3,0)*VLOOKUP('Données projet'!$B$15,Paramètres!$A$1:$I$89,5,0)</f>
        <v>1.721040536473313</v>
      </c>
      <c r="EL7" s="13">
        <f t="shared" si="45"/>
        <v>0.7445555075008744</v>
      </c>
      <c r="EM7" s="20">
        <f t="shared" si="19"/>
        <v>4.2942464432550436</v>
      </c>
      <c r="EN7" s="59">
        <f t="shared" si="20"/>
        <v>297.62757977658833</v>
      </c>
      <c r="EO7" s="59">
        <f ca="1">AVERAGE(OFFSET($EN$3,0,0,'Données projet'!$E$15+1,1))-AVERAGE(OFFSET($H$3,0,0,'Données projet'!$E$15+1,1))</f>
        <v>262.20955982183017</v>
      </c>
      <c r="EP7" s="59">
        <f t="shared" si="46"/>
        <v>101.35842063036193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4.75</v>
      </c>
      <c r="FE7" s="12">
        <f>IF('Données projet'!$A$218&gt;35,FE6+FD7-FM6,IF(A7&lt;'Données projet'!$A$218,$FB$205^A7,IF(A7='Données projet'!$A$218,'Données projet'!$B$218,FE6+FD7-FM6)))</f>
        <v>2.4862495702121006</v>
      </c>
      <c r="FF7" s="17">
        <f>FE7*VLOOKUP('Données projet'!$B$16,Paramètres!$A$1:$I$89,3,0)*VLOOKUP('Données projet'!$B$16,Paramètres!$A$1:$I$89,5,0)</f>
        <v>1.9780601580607473</v>
      </c>
      <c r="FG7" s="13">
        <f t="shared" si="47"/>
        <v>0.84199455516247157</v>
      </c>
      <c r="FH7" s="20">
        <f t="shared" si="22"/>
        <v>4.9115952921971058</v>
      </c>
      <c r="FI7" s="59">
        <f t="shared" si="23"/>
        <v>298.24492862553041</v>
      </c>
      <c r="FJ7" s="59">
        <f ca="1">AVERAGE(OFFSET($FI$3,0,0,'Données projet'!$E$16+1,1))-AVERAGE(OFFSET($H$3,0,0,'Données projet'!$E$16+1,1))</f>
        <v>199.58763537752952</v>
      </c>
      <c r="FK7" s="59">
        <f t="shared" si="48"/>
        <v>242.62852778451929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4.75</v>
      </c>
      <c r="FZ7" s="12">
        <f>IF('Données projet'!$A$244&gt;35,FZ6+FY7-GH6,IF(A7&lt;'Données projet'!$A$244,$FW$205^A7,IF(A7='Données projet'!$A$244,'Données projet'!$B$244,FZ6+FY7-GH6)))</f>
        <v>2.4862495702121006</v>
      </c>
      <c r="GA7" s="17">
        <f>FZ7*VLOOKUP('Données projet'!$B$17,Paramètres!$A$1:$I$89,3,0)*VLOOKUP('Données projet'!$B$17,Paramètres!$A$1:$I$89,5,0)</f>
        <v>1.8229181848795122</v>
      </c>
      <c r="GB7" s="13">
        <f t="shared" si="49"/>
        <v>0.78336820888849046</v>
      </c>
      <c r="GC7" s="20">
        <f t="shared" si="25"/>
        <v>4.5392821358126039</v>
      </c>
      <c r="GD7" s="59">
        <f t="shared" si="26"/>
        <v>297.8726154691459</v>
      </c>
      <c r="GE7" s="59">
        <f ca="1">AVERAGE(OFFSET($GD$3,0,0,'Données projet'!$E$17+1,1))-AVERAGE(OFFSET($H$3,0,0,'Données projet'!$E$17+1,1))</f>
        <v>178.12968684094687</v>
      </c>
      <c r="GF7" s="59">
        <f t="shared" si="50"/>
        <v>219.36004077210373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4.75</v>
      </c>
      <c r="GU7" s="12">
        <f>IF('Données projet'!$A$270&gt;35,GU6+GT7-HC6,IF(A7&lt;'Données projet'!$A$270,$GR$205^A7,IF(A7='Données projet'!$A$270,'Données projet'!$B$270,GU6+GT7-HC6)))</f>
        <v>2.4862495702121006</v>
      </c>
      <c r="GV7" s="17">
        <f>GU7*VLOOKUP('Données projet'!$B$18,Paramètres!$A$1:$I$89,3,0)*VLOOKUP('Données projet'!$B$18,Paramètres!$A$1:$I$89,5,0)</f>
        <v>1.9780601580607473</v>
      </c>
      <c r="GW7" s="13">
        <f t="shared" si="51"/>
        <v>0.84199455516247157</v>
      </c>
      <c r="GX7" s="20">
        <f t="shared" si="28"/>
        <v>4.9115952921971058</v>
      </c>
      <c r="GY7" s="59">
        <f t="shared" si="29"/>
        <v>298.24492862553041</v>
      </c>
      <c r="GZ7" s="59">
        <f ca="1">AVERAGE(OFFSET($GY$3,0,0,'Données projet'!$E$18+1,1))-AVERAGE(OFFSET($H$3,0,0,'Données projet'!$E$18+1,1))</f>
        <v>199.58763537752952</v>
      </c>
      <c r="HA7" s="59">
        <f t="shared" si="52"/>
        <v>242.62852778451929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3.6141025641025637</v>
      </c>
      <c r="N8" s="13">
        <f>IF('Données projet'!$A$36&gt;35,N7+M8-V7,IF(A8&lt;'Données projet'!$A$36,$K$205^A8,IF(A8='Données projet'!$A$36,'Données projet'!$B$36,N7+M8-V7)))</f>
        <v>2.1836697334841126</v>
      </c>
      <c r="O8" s="13">
        <f>N8*VLOOKUP('Données projet'!$B$9,Paramètres!$A$1:$I$89,3,0)*VLOOKUP('Données projet'!$B$9,Paramètres!$A$1:$I$89,5,0)</f>
        <v>1.975784374856425</v>
      </c>
      <c r="P8" s="13">
        <f t="shared" si="33"/>
        <v>0.84113853208196609</v>
      </c>
      <c r="Q8" s="20">
        <f t="shared" si="2"/>
        <v>4.9061407295843642</v>
      </c>
      <c r="R8" s="59">
        <f t="shared" si="0"/>
        <v>298.23947406291768</v>
      </c>
      <c r="S8" s="59">
        <f ca="1">AVERAGE(OFFSET($R$3,0,0,'Données projet'!$E$9+1,1))-AVERAGE(OFFSET($H$3,0,0,'Données projet'!$E$9+1,1))</f>
        <v>309.07357540707869</v>
      </c>
      <c r="T8" s="59">
        <f t="shared" si="34"/>
        <v>155.9593924683299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2.5115384615384619</v>
      </c>
      <c r="AI8" s="13">
        <f>IF('Données projet'!$A$62&gt;35,AI7+AH8-AQ7,IF(A8&lt;'Données projet'!$A$62,$AF$205^A8,IF(A8='Données projet'!$A$62,'Données projet'!$B$62,AI7+AH8-AQ7)))</f>
        <v>2.055149949310588</v>
      </c>
      <c r="AJ8" s="13">
        <f>AI8*VLOOKUP('Données projet'!$B$10,Paramètres!$A$1:$I$89,3,0)*VLOOKUP('Données projet'!$B$10,Paramètres!$A$1:$I$89,5,0)</f>
        <v>1.85949967413622</v>
      </c>
      <c r="AK8" s="13">
        <f t="shared" si="35"/>
        <v>0.79724254095458524</v>
      </c>
      <c r="AL8" s="20">
        <f t="shared" si="4"/>
        <v>4.6271593579498189</v>
      </c>
      <c r="AM8" s="59">
        <f t="shared" si="5"/>
        <v>297.96049269128315</v>
      </c>
      <c r="AN8" s="59">
        <f ca="1">AVERAGE(OFFSET($AM$3,0,0,'Données projet'!$E$10+1,1))-AVERAGE(OFFSET($H$3,0,0,'Données projet'!$E$10+1,1))</f>
        <v>234.30804102916278</v>
      </c>
      <c r="AO8" s="59">
        <f t="shared" si="36"/>
        <v>91.137993288782411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7.2264102564102561</v>
      </c>
      <c r="BD8" s="12">
        <f>IF('Données projet'!$A$88&gt;35,BD7+BC8-BL7,IF(A8&lt;'Données projet'!$A$88,$BA$205^A8,IF(A8='Données projet'!$A$88,'Données projet'!$B$88,BD7+BC8-BL7)))</f>
        <v>2.4509849511252071</v>
      </c>
      <c r="BE8" s="13">
        <f>BD8*VLOOKUP('Données projet'!$B$11,Paramètres!$A$1:$I$89,3,0)*VLOOKUP('Données projet'!$B$11,Paramètres!$A$1:$I$89,5,0)</f>
        <v>1.1470609571265968</v>
      </c>
      <c r="BF8" s="13">
        <f t="shared" si="37"/>
        <v>0.52023874619045773</v>
      </c>
      <c r="BG8" s="20">
        <f t="shared" si="7"/>
        <v>2.9038803166105365</v>
      </c>
      <c r="BH8" s="59">
        <f t="shared" si="8"/>
        <v>296.23721364994384</v>
      </c>
      <c r="BI8" s="59">
        <f ca="1">AVERAGE(OFFSET($BH$3,0,0,'Données projet'!$E$11+1,1))-AVERAGE(OFFSET($H$3,0,0,'Données projet'!$E$11+1,1))</f>
        <v>158.58786357608489</v>
      </c>
      <c r="BJ8" s="59">
        <f t="shared" si="38"/>
        <v>163.20074068819849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4.9084615384615384</v>
      </c>
      <c r="BY8" s="12">
        <f>IF('Données projet'!$A$114&gt;35,BY7+BX8-CG7,IF(A8&lt;'Données projet'!$A$114,$BV$205^A8,IF(A8='Données projet'!$A$114,'Données projet'!$B$114,BY7+BX8-CG7)))</f>
        <v>2.2979704576846265</v>
      </c>
      <c r="BZ8" s="13">
        <f>BY8*VLOOKUP('Données projet'!$B$12,Paramètres!$A$1:$I$89,3,0)*VLOOKUP('Données projet'!$B$12,Paramètres!$A$1:$I$89,5,0)</f>
        <v>1.0754501741964051</v>
      </c>
      <c r="CA8" s="13">
        <f t="shared" si="39"/>
        <v>0.49143405532927165</v>
      </c>
      <c r="CB8" s="20">
        <f t="shared" si="10"/>
        <v>2.7289900330905534</v>
      </c>
      <c r="CC8" s="59">
        <f t="shared" si="11"/>
        <v>296.06232336642387</v>
      </c>
      <c r="CD8" s="59">
        <f ca="1">AVERAGE(OFFSET($CC$3,0,0,'Données projet'!$E$12+1,1))-AVERAGE(OFFSET($H$3,0,0,'Données projet'!$E$12+1,1))</f>
        <v>123.2823358462245</v>
      </c>
      <c r="CE8" s="59">
        <f t="shared" si="40"/>
        <v>92.75115399786057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2.3805128205128203</v>
      </c>
      <c r="CT8" s="12">
        <f>IF('Données projet'!$A$140&gt;35,CT7+CS8-DB7,IF(A8&lt;'Données projet'!$A$140,$CQ$205^A8,IF(A8='Données projet'!$A$140,'Données projet'!$B$140,CT7+CS8-DB7)))</f>
        <v>3.2929661110289854</v>
      </c>
      <c r="CU8" s="17">
        <f>CT8*VLOOKUP('Données projet'!$B$13,Paramètres!$A$1:$I$89,3,0)*VLOOKUP('Données projet'!$B$13,Paramètres!$A$1:$I$89,5,0)</f>
        <v>1.9691937343953334</v>
      </c>
      <c r="CV8" s="13">
        <f t="shared" si="41"/>
        <v>0.83865885162703413</v>
      </c>
      <c r="CW8" s="20">
        <f t="shared" si="13"/>
        <v>4.8903432539889566</v>
      </c>
      <c r="CX8" s="59">
        <f t="shared" si="14"/>
        <v>298.22367658732225</v>
      </c>
      <c r="CY8" s="59">
        <f ca="1">AVERAGE(OFFSET($CX$3,0,0,'Données projet'!$E$13+1,1))-AVERAGE(OFFSET($H$3,0,0,'Données projet'!$E$13+1,1))</f>
        <v>179.32848817523677</v>
      </c>
      <c r="CZ8" s="59">
        <f t="shared" si="42"/>
        <v>131.3292389103035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3.6141025641025637</v>
      </c>
      <c r="DO8" s="12">
        <f>IF('Données projet'!$A$166&gt;35,DO7+DN8-DW7,IF(A8&lt;'Données projet'!$A$166,$DL$205^A8,IF(A8='Données projet'!$A$166,'Données projet'!$B$166,DO7+DN8-DW7)))</f>
        <v>2.1836697334841126</v>
      </c>
      <c r="DP8" s="17">
        <f>DO8*VLOOKUP('Données projet'!$B$14,Paramètres!$A$1:$I$89,3,0)*VLOOKUP('Données projet'!$B$14,Paramètres!$A$1:$I$89,5,0)</f>
        <v>2.1120453662258338</v>
      </c>
      <c r="DQ8" s="13">
        <f t="shared" si="43"/>
        <v>0.89219513330030542</v>
      </c>
      <c r="DR8" s="20">
        <f t="shared" si="16"/>
        <v>5.2323855366746921</v>
      </c>
      <c r="DS8" s="59">
        <f t="shared" si="17"/>
        <v>298.56571887000803</v>
      </c>
      <c r="DT8" s="59">
        <f ca="1">AVERAGE(OFFSET($DS$3,0,0,'Données projet'!$E$14+1,1))-AVERAGE(OFFSET($H$3,0,0,'Données projet'!$E$14+1,1))</f>
        <v>340.4659523898373</v>
      </c>
      <c r="DU8" s="59">
        <f t="shared" si="44"/>
        <v>170.54530785680572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2.5115384615384619</v>
      </c>
      <c r="EJ8" s="12">
        <f>IF('Données projet'!$A$192&gt;35,EJ7+EI8-ER7,IF(A8&lt;'Données projet'!$A$192,$EG$205^A8,IF(A8='Données projet'!$A$192,'Données projet'!$B$192,EJ7+EI8-ER7)))</f>
        <v>2.055149949310588</v>
      </c>
      <c r="EK8" s="17">
        <f>EJ8*VLOOKUP('Données projet'!$B$15,Paramètres!$A$1:$I$89,3,0)*VLOOKUP('Données projet'!$B$15,Paramètres!$A$1:$I$89,5,0)</f>
        <v>1.9877410309732009</v>
      </c>
      <c r="EL8" s="13">
        <f t="shared" si="45"/>
        <v>0.84563468200543324</v>
      </c>
      <c r="EM8" s="20">
        <f t="shared" si="19"/>
        <v>4.9347960334377872</v>
      </c>
      <c r="EN8" s="59">
        <f t="shared" si="20"/>
        <v>298.26812936677112</v>
      </c>
      <c r="EO8" s="59">
        <f ca="1">AVERAGE(OFFSET($EN$3,0,0,'Données projet'!$E$15+1,1))-AVERAGE(OFFSET($H$3,0,0,'Données projet'!$E$15+1,1))</f>
        <v>262.20955982183017</v>
      </c>
      <c r="EP8" s="59">
        <f t="shared" si="46"/>
        <v>101.35842063036193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4.75</v>
      </c>
      <c r="FE8" s="12">
        <f>IF('Données projet'!$A$218&gt;35,FE7+FD8-FM7,IF(A8&lt;'Données projet'!$A$218,$FB$205^A8,IF(A8='Données projet'!$A$218,'Données projet'!$B$218,FE7+FD8-FM7)))</f>
        <v>3.121985641352143</v>
      </c>
      <c r="FF8" s="17">
        <f>FE8*VLOOKUP('Données projet'!$B$16,Paramètres!$A$1:$I$89,3,0)*VLOOKUP('Données projet'!$B$16,Paramètres!$A$1:$I$89,5,0)</f>
        <v>2.4838517762597654</v>
      </c>
      <c r="FG8" s="13">
        <f t="shared" si="47"/>
        <v>1.0296393031124158</v>
      </c>
      <c r="FH8" s="20">
        <f t="shared" si="22"/>
        <v>6.1193302965732146</v>
      </c>
      <c r="FI8" s="59">
        <f t="shared" si="23"/>
        <v>299.45266362990651</v>
      </c>
      <c r="FJ8" s="59">
        <f ca="1">AVERAGE(OFFSET($FI$3,0,0,'Données projet'!$E$16+1,1))-AVERAGE(OFFSET($H$3,0,0,'Données projet'!$E$16+1,1))</f>
        <v>199.58763537752952</v>
      </c>
      <c r="FK8" s="59">
        <f t="shared" si="48"/>
        <v>242.62852778451929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4.75</v>
      </c>
      <c r="FZ8" s="12">
        <f>IF('Données projet'!$A$244&gt;35,FZ7+FY8-GH7,IF(A8&lt;'Données projet'!$A$244,$FW$205^A8,IF(A8='Données projet'!$A$244,'Données projet'!$B$244,FZ7+FY8-GH7)))</f>
        <v>3.121985641352143</v>
      </c>
      <c r="GA8" s="17">
        <f>FZ8*VLOOKUP('Données projet'!$B$17,Paramètres!$A$1:$I$89,3,0)*VLOOKUP('Données projet'!$B$17,Paramètres!$A$1:$I$89,5,0)</f>
        <v>2.2890398722393912</v>
      </c>
      <c r="GB8" s="13">
        <f t="shared" si="49"/>
        <v>0.95794763960763063</v>
      </c>
      <c r="GC8" s="20">
        <f t="shared" si="25"/>
        <v>5.655169916466896</v>
      </c>
      <c r="GD8" s="59">
        <f t="shared" si="26"/>
        <v>298.9885032498002</v>
      </c>
      <c r="GE8" s="59">
        <f ca="1">AVERAGE(OFFSET($GD$3,0,0,'Données projet'!$E$17+1,1))-AVERAGE(OFFSET($H$3,0,0,'Données projet'!$E$17+1,1))</f>
        <v>178.12968684094687</v>
      </c>
      <c r="GF8" s="59">
        <f t="shared" si="50"/>
        <v>219.36004077210373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4.75</v>
      </c>
      <c r="GU8" s="12">
        <f>IF('Données projet'!$A$270&gt;35,GU7+GT8-HC7,IF(A8&lt;'Données projet'!$A$270,$GR$205^A8,IF(A8='Données projet'!$A$270,'Données projet'!$B$270,GU7+GT8-HC7)))</f>
        <v>3.121985641352143</v>
      </c>
      <c r="GV8" s="17">
        <f>GU8*VLOOKUP('Données projet'!$B$18,Paramètres!$A$1:$I$89,3,0)*VLOOKUP('Données projet'!$B$18,Paramètres!$A$1:$I$89,5,0)</f>
        <v>2.4838517762597654</v>
      </c>
      <c r="GW8" s="13">
        <f t="shared" si="51"/>
        <v>1.0296393031124158</v>
      </c>
      <c r="GX8" s="20">
        <f t="shared" si="28"/>
        <v>6.1193302965732146</v>
      </c>
      <c r="GY8" s="59">
        <f t="shared" si="29"/>
        <v>299.45266362990651</v>
      </c>
      <c r="GZ8" s="59">
        <f ca="1">AVERAGE(OFFSET($GY$3,0,0,'Données projet'!$E$18+1,1))-AVERAGE(OFFSET($H$3,0,0,'Données projet'!$E$18+1,1))</f>
        <v>199.58763537752952</v>
      </c>
      <c r="HA8" s="59">
        <f t="shared" si="52"/>
        <v>242.62852778451929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3.6141025641025637</v>
      </c>
      <c r="N9" s="13">
        <f>IF('Données projet'!$A$36&gt;35,N8+M9-V8,IF(A9&lt;'Données projet'!$A$36,$K$205^A9,IF(A9='Données projet'!$A$36,'Données projet'!$B$36,N8+M9-V8)))</f>
        <v>2.5528444054145929</v>
      </c>
      <c r="O9" s="13">
        <f>N9*VLOOKUP('Données projet'!$B$9,Paramètres!$A$1:$I$89,3,0)*VLOOKUP('Données projet'!$B$9,Paramètres!$A$1:$I$89,5,0)</f>
        <v>2.3098136180191235</v>
      </c>
      <c r="P9" s="13">
        <f t="shared" si="33"/>
        <v>0.96562532403764356</v>
      </c>
      <c r="Q9" s="20">
        <f t="shared" si="2"/>
        <v>5.7047228240822028</v>
      </c>
      <c r="R9" s="59">
        <f t="shared" si="0"/>
        <v>299.0380561574155</v>
      </c>
      <c r="S9" s="59">
        <f ca="1">AVERAGE(OFFSET($R$3,0,0,'Données projet'!$E$9+1,1))-AVERAGE(OFFSET($H$3,0,0,'Données projet'!$E$9+1,1))</f>
        <v>309.07357540707869</v>
      </c>
      <c r="T9" s="59">
        <f t="shared" si="34"/>
        <v>155.9593924683299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2.5115384615384619</v>
      </c>
      <c r="AI9" s="13">
        <f>IF('Données projet'!$A$62&gt;35,AI8+AH9-AQ8,IF(A9&lt;'Données projet'!$A$62,$AF$205^A9,IF(A9='Données projet'!$A$62,'Données projet'!$B$62,AI8+AH9-AQ8)))</f>
        <v>2.3736256017642585</v>
      </c>
      <c r="AJ9" s="13">
        <f>AI9*VLOOKUP('Données projet'!$B$10,Paramètres!$A$1:$I$89,3,0)*VLOOKUP('Données projet'!$B$10,Paramètres!$A$1:$I$89,5,0)</f>
        <v>2.1476564444763011</v>
      </c>
      <c r="AK9" s="13">
        <f t="shared" si="35"/>
        <v>0.90547438815438841</v>
      </c>
      <c r="AL9" s="20">
        <f t="shared" si="4"/>
        <v>5.3175362001651179</v>
      </c>
      <c r="AM9" s="59">
        <f t="shared" si="5"/>
        <v>298.65086953349845</v>
      </c>
      <c r="AN9" s="59">
        <f ca="1">AVERAGE(OFFSET($AM$3,0,0,'Données projet'!$E$10+1,1))-AVERAGE(OFFSET($H$3,0,0,'Données projet'!$E$10+1,1))</f>
        <v>234.30804102916278</v>
      </c>
      <c r="AO9" s="59">
        <f t="shared" si="36"/>
        <v>91.137993288782411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7.2264102564102561</v>
      </c>
      <c r="BD9" s="12">
        <f>IF('Données projet'!$A$88&gt;35,BD8+BC9-BL8,IF(A9&lt;'Données projet'!$A$88,$BA$205^A9,IF(A9='Données projet'!$A$88,'Données projet'!$B$88,BD8+BC9-BL8)))</f>
        <v>2.9323025204191722</v>
      </c>
      <c r="BE9" s="13">
        <f>BD9*VLOOKUP('Données projet'!$B$11,Paramètres!$A$1:$I$89,3,0)*VLOOKUP('Données projet'!$B$11,Paramètres!$A$1:$I$89,5,0)</f>
        <v>1.3723175795561726</v>
      </c>
      <c r="BF9" s="13">
        <f t="shared" si="37"/>
        <v>0.60954668407977464</v>
      </c>
      <c r="BG9" s="20">
        <f t="shared" si="7"/>
        <v>3.4517469258326074</v>
      </c>
      <c r="BH9" s="59">
        <f t="shared" si="8"/>
        <v>296.78508025916591</v>
      </c>
      <c r="BI9" s="59">
        <f ca="1">AVERAGE(OFFSET($BH$3,0,0,'Données projet'!$E$11+1,1))-AVERAGE(OFFSET($H$3,0,0,'Données projet'!$E$11+1,1))</f>
        <v>158.58786357608489</v>
      </c>
      <c r="BJ9" s="59">
        <f t="shared" si="38"/>
        <v>163.20074068819849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4.9084615384615384</v>
      </c>
      <c r="BY9" s="12">
        <f>IF('Données projet'!$A$114&gt;35,BY8+BX9-CG8,IF(A9&lt;'Données projet'!$A$114,$BV$205^A9,IF(A9='Données projet'!$A$114,'Données projet'!$B$114,BY8+BX9-CG8)))</f>
        <v>2.7140217853749289</v>
      </c>
      <c r="BZ9" s="13">
        <f>BY9*VLOOKUP('Données projet'!$B$12,Paramètres!$A$1:$I$89,3,0)*VLOOKUP('Données projet'!$B$12,Paramètres!$A$1:$I$89,5,0)</f>
        <v>1.2701621955554667</v>
      </c>
      <c r="CA9" s="13">
        <f t="shared" si="39"/>
        <v>0.56927490371064715</v>
      </c>
      <c r="CB9" s="20">
        <f t="shared" si="10"/>
        <v>3.203686281221815</v>
      </c>
      <c r="CC9" s="59">
        <f t="shared" si="11"/>
        <v>296.53701961455511</v>
      </c>
      <c r="CD9" s="59">
        <f ca="1">AVERAGE(OFFSET($CC$3,0,0,'Données projet'!$E$12+1,1))-AVERAGE(OFFSET($H$3,0,0,'Données projet'!$E$12+1,1))</f>
        <v>123.2823358462245</v>
      </c>
      <c r="CE9" s="59">
        <f t="shared" si="40"/>
        <v>92.75115399786057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2.3805128205128203</v>
      </c>
      <c r="CT9" s="12">
        <f>IF('Données projet'!$A$140&gt;35,CT8+CS9-DB8,IF(A9&lt;'Données projet'!$A$140,$CQ$205^A9,IF(A9='Données projet'!$A$140,'Données projet'!$B$140,CT8+CS9-DB8)))</f>
        <v>4.1793112262558481</v>
      </c>
      <c r="CU9" s="17">
        <f>CT9*VLOOKUP('Données projet'!$B$13,Paramètres!$A$1:$I$89,3,0)*VLOOKUP('Données projet'!$B$13,Paramètres!$A$1:$I$89,5,0)</f>
        <v>2.4992281133009975</v>
      </c>
      <c r="CV9" s="13">
        <f t="shared" si="41"/>
        <v>1.0352693484653335</v>
      </c>
      <c r="CW9" s="20">
        <f t="shared" si="13"/>
        <v>6.1559164125763592</v>
      </c>
      <c r="CX9" s="59">
        <f t="shared" si="14"/>
        <v>299.48924974590966</v>
      </c>
      <c r="CY9" s="59">
        <f ca="1">AVERAGE(OFFSET($CX$3,0,0,'Données projet'!$E$13+1,1))-AVERAGE(OFFSET($H$3,0,0,'Données projet'!$E$13+1,1))</f>
        <v>179.32848817523677</v>
      </c>
      <c r="CZ9" s="59">
        <f t="shared" si="42"/>
        <v>131.3292389103035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3.6141025641025637</v>
      </c>
      <c r="DO9" s="12">
        <f>IF('Données projet'!$A$166&gt;35,DO8+DN9-DW8,IF(A9&lt;'Données projet'!$A$166,$DL$205^A9,IF(A9='Données projet'!$A$166,'Données projet'!$B$166,DO8+DN9-DW8)))</f>
        <v>2.5528444054145929</v>
      </c>
      <c r="DP9" s="17">
        <f>DO9*VLOOKUP('Données projet'!$B$14,Paramètres!$A$1:$I$89,3,0)*VLOOKUP('Données projet'!$B$14,Paramètres!$A$1:$I$89,5,0)</f>
        <v>2.4691111089169944</v>
      </c>
      <c r="DQ9" s="13">
        <f t="shared" si="43"/>
        <v>1.0242381983922275</v>
      </c>
      <c r="DR9" s="20">
        <f t="shared" si="16"/>
        <v>6.0842500435635616</v>
      </c>
      <c r="DS9" s="59">
        <f t="shared" si="17"/>
        <v>299.41758337689686</v>
      </c>
      <c r="DT9" s="59">
        <f ca="1">AVERAGE(OFFSET($DS$3,0,0,'Données projet'!$E$14+1,1))-AVERAGE(OFFSET($H$3,0,0,'Données projet'!$E$14+1,1))</f>
        <v>340.4659523898373</v>
      </c>
      <c r="DU9" s="59">
        <f t="shared" si="44"/>
        <v>170.54530785680572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2.5115384615384619</v>
      </c>
      <c r="EJ9" s="12">
        <f>IF('Données projet'!$A$192&gt;35,EJ8+EI9-ER8,IF(A9&lt;'Données projet'!$A$192,$EG$205^A9,IF(A9='Données projet'!$A$192,'Données projet'!$B$192,EJ8+EI9-ER8)))</f>
        <v>2.3736256017642585</v>
      </c>
      <c r="EK9" s="17">
        <f>EJ9*VLOOKUP('Données projet'!$B$15,Paramètres!$A$1:$I$89,3,0)*VLOOKUP('Données projet'!$B$15,Paramètres!$A$1:$I$89,5,0)</f>
        <v>2.295770682026391</v>
      </c>
      <c r="EL9" s="13">
        <f t="shared" si="45"/>
        <v>0.96043613700566244</v>
      </c>
      <c r="EM9" s="20">
        <f t="shared" si="19"/>
        <v>5.6712268764808265</v>
      </c>
      <c r="EN9" s="59">
        <f t="shared" si="20"/>
        <v>299.00456020981414</v>
      </c>
      <c r="EO9" s="59">
        <f ca="1">AVERAGE(OFFSET($EN$3,0,0,'Données projet'!$E$15+1,1))-AVERAGE(OFFSET($H$3,0,0,'Données projet'!$E$15+1,1))</f>
        <v>262.20955982183017</v>
      </c>
      <c r="EP9" s="59">
        <f t="shared" si="46"/>
        <v>101.35842063036193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4.75</v>
      </c>
      <c r="FE9" s="12">
        <f>IF('Données projet'!$A$218&gt;35,FE8+FD9-FM8,IF(A9&lt;'Données projet'!$A$218,$FB$205^A9,IF(A9='Données projet'!$A$218,'Données projet'!$B$218,FE8+FD9-FM8)))</f>
        <v>3.920279951613006</v>
      </c>
      <c r="FF9" s="17">
        <f>FE9*VLOOKUP('Données projet'!$B$16,Paramètres!$A$1:$I$89,3,0)*VLOOKUP('Données projet'!$B$16,Paramètres!$A$1:$I$89,5,0)</f>
        <v>3.1189747295033077</v>
      </c>
      <c r="FG9" s="13">
        <f t="shared" si="47"/>
        <v>1.2591020785273992</v>
      </c>
      <c r="FH9" s="20">
        <f t="shared" si="22"/>
        <v>7.6251504406534805</v>
      </c>
      <c r="FI9" s="59">
        <f t="shared" si="23"/>
        <v>300.95848377398681</v>
      </c>
      <c r="FJ9" s="59">
        <f ca="1">AVERAGE(OFFSET($FI$3,0,0,'Données projet'!$E$16+1,1))-AVERAGE(OFFSET($H$3,0,0,'Données projet'!$E$16+1,1))</f>
        <v>199.58763537752952</v>
      </c>
      <c r="FK9" s="59">
        <f t="shared" si="48"/>
        <v>242.62852778451929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4.75</v>
      </c>
      <c r="FZ9" s="12">
        <f>IF('Données projet'!$A$244&gt;35,FZ8+FY9-GH8,IF(A9&lt;'Données projet'!$A$244,$FW$205^A9,IF(A9='Données projet'!$A$244,'Données projet'!$B$244,FZ8+FY9-GH8)))</f>
        <v>3.920279951613006</v>
      </c>
      <c r="GA9" s="17">
        <f>FZ9*VLOOKUP('Données projet'!$B$17,Paramètres!$A$1:$I$89,3,0)*VLOOKUP('Données projet'!$B$17,Paramètres!$A$1:$I$89,5,0)</f>
        <v>2.8743492605226559</v>
      </c>
      <c r="GB9" s="13">
        <f t="shared" si="49"/>
        <v>1.1714333946891846</v>
      </c>
      <c r="GC9" s="20">
        <f t="shared" si="25"/>
        <v>7.0464047911606214</v>
      </c>
      <c r="GD9" s="59">
        <f t="shared" si="26"/>
        <v>300.37973812449394</v>
      </c>
      <c r="GE9" s="59">
        <f ca="1">AVERAGE(OFFSET($GD$3,0,0,'Données projet'!$E$17+1,1))-AVERAGE(OFFSET($H$3,0,0,'Données projet'!$E$17+1,1))</f>
        <v>178.12968684094687</v>
      </c>
      <c r="GF9" s="59">
        <f t="shared" si="50"/>
        <v>219.36004077210373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4.75</v>
      </c>
      <c r="GU9" s="12">
        <f>IF('Données projet'!$A$270&gt;35,GU8+GT9-HC8,IF(A9&lt;'Données projet'!$A$270,$GR$205^A9,IF(A9='Données projet'!$A$270,'Données projet'!$B$270,GU8+GT9-HC8)))</f>
        <v>3.920279951613006</v>
      </c>
      <c r="GV9" s="17">
        <f>GU9*VLOOKUP('Données projet'!$B$18,Paramètres!$A$1:$I$89,3,0)*VLOOKUP('Données projet'!$B$18,Paramètres!$A$1:$I$89,5,0)</f>
        <v>3.1189747295033077</v>
      </c>
      <c r="GW9" s="13">
        <f t="shared" si="51"/>
        <v>1.2591020785273992</v>
      </c>
      <c r="GX9" s="20">
        <f t="shared" si="28"/>
        <v>7.6251504406534805</v>
      </c>
      <c r="GY9" s="59">
        <f t="shared" si="29"/>
        <v>300.95848377398681</v>
      </c>
      <c r="GZ9" s="59">
        <f ca="1">AVERAGE(OFFSET($GY$3,0,0,'Données projet'!$E$18+1,1))-AVERAGE(OFFSET($H$3,0,0,'Données projet'!$E$18+1,1))</f>
        <v>199.58763537752952</v>
      </c>
      <c r="HA9" s="59">
        <f t="shared" si="52"/>
        <v>242.62852778451929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3.6141025641025637</v>
      </c>
      <c r="N10" s="13">
        <f>IF('Données projet'!$A$36&gt;35,N9+M10-V9,IF(A10&lt;'Données projet'!$A$36,$K$205^A10,IF(A10='Données projet'!$A$36,'Données projet'!$B$36,N9+M10-V9)))</f>
        <v>2.9844323334822644</v>
      </c>
      <c r="O10" s="13">
        <f>N10*VLOOKUP('Données projet'!$B$9,Paramètres!$A$1:$I$89,3,0)*VLOOKUP('Données projet'!$B$9,Paramètres!$A$1:$I$89,5,0)</f>
        <v>2.7003143753347527</v>
      </c>
      <c r="P10" s="13">
        <f t="shared" si="33"/>
        <v>1.1085359080089574</v>
      </c>
      <c r="Q10" s="20">
        <f t="shared" si="2"/>
        <v>6.6337475768236276</v>
      </c>
      <c r="R10" s="59">
        <f t="shared" si="0"/>
        <v>299.96708091015694</v>
      </c>
      <c r="S10" s="59">
        <f ca="1">AVERAGE(OFFSET($R$3,0,0,'Données projet'!$E$9+1,1))-AVERAGE(OFFSET($H$3,0,0,'Données projet'!$E$9+1,1))</f>
        <v>309.07357540707869</v>
      </c>
      <c r="T10" s="59">
        <f t="shared" si="34"/>
        <v>155.9593924683299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2.5115384615384619</v>
      </c>
      <c r="AI10" s="13">
        <f>IF('Données projet'!$A$62&gt;35,AI9+AH10-AQ9,IF(A10&lt;'Données projet'!$A$62,$AF$205^A10,IF(A10='Données projet'!$A$62,'Données projet'!$B$62,AI9+AH10-AQ9)))</f>
        <v>2.7414537315103114</v>
      </c>
      <c r="AJ10" s="13">
        <f>AI10*VLOOKUP('Données projet'!$B$10,Paramètres!$A$1:$I$89,3,0)*VLOOKUP('Données projet'!$B$10,Paramètres!$A$1:$I$89,5,0)</f>
        <v>2.4804673362705296</v>
      </c>
      <c r="AK10" s="13">
        <f t="shared" si="35"/>
        <v>1.0283995465443541</v>
      </c>
      <c r="AL10" s="20">
        <f t="shared" si="4"/>
        <v>6.1112764875692553</v>
      </c>
      <c r="AM10" s="59">
        <f t="shared" si="5"/>
        <v>299.44460982090254</v>
      </c>
      <c r="AN10" s="59">
        <f ca="1">AVERAGE(OFFSET($AM$3,0,0,'Données projet'!$E$10+1,1))-AVERAGE(OFFSET($H$3,0,0,'Données projet'!$E$10+1,1))</f>
        <v>234.30804102916278</v>
      </c>
      <c r="AO10" s="59">
        <f t="shared" si="36"/>
        <v>91.137993288782411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7.2264102564102561</v>
      </c>
      <c r="BD10" s="12">
        <f>IF('Données projet'!$A$88&gt;35,BD9+BC10-BL9,IF(A10&lt;'Données projet'!$A$88,$BA$205^A10,IF(A10='Données projet'!$A$88,'Données projet'!$B$88,BD9+BC10-BL9)))</f>
        <v>3.5081398877252363</v>
      </c>
      <c r="BE10" s="13">
        <f>BD10*VLOOKUP('Données projet'!$B$11,Paramètres!$A$1:$I$89,3,0)*VLOOKUP('Données projet'!$B$11,Paramètres!$A$1:$I$89,5,0)</f>
        <v>1.6418094674554107</v>
      </c>
      <c r="BF10" s="13">
        <f t="shared" si="37"/>
        <v>0.71418586714920729</v>
      </c>
      <c r="BG10" s="20">
        <f t="shared" si="7"/>
        <v>4.1033585411030424</v>
      </c>
      <c r="BH10" s="59">
        <f t="shared" si="8"/>
        <v>297.43669187443635</v>
      </c>
      <c r="BI10" s="59">
        <f ca="1">AVERAGE(OFFSET($BH$3,0,0,'Données projet'!$E$11+1,1))-AVERAGE(OFFSET($H$3,0,0,'Données projet'!$E$11+1,1))</f>
        <v>158.58786357608489</v>
      </c>
      <c r="BJ10" s="59">
        <f t="shared" si="38"/>
        <v>163.20074068819849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4.9084615384615384</v>
      </c>
      <c r="BY10" s="12">
        <f>IF('Données projet'!$A$114&gt;35,BY9+BX10-CG9,IF(A10&lt;'Données projet'!$A$114,$BV$205^A10,IF(A10='Données projet'!$A$114,'Données projet'!$B$114,BY9+BX10-CG9)))</f>
        <v>3.2053998896536791</v>
      </c>
      <c r="BZ10" s="13">
        <f>BY10*VLOOKUP('Données projet'!$B$12,Paramètres!$A$1:$I$89,3,0)*VLOOKUP('Données projet'!$B$12,Paramètres!$A$1:$I$89,5,0)</f>
        <v>1.5001271483579217</v>
      </c>
      <c r="CA10" s="13">
        <f t="shared" si="39"/>
        <v>0.65944537721878049</v>
      </c>
      <c r="CB10" s="20">
        <f t="shared" si="10"/>
        <v>3.7612554820460891</v>
      </c>
      <c r="CC10" s="59">
        <f t="shared" si="11"/>
        <v>297.09458881537938</v>
      </c>
      <c r="CD10" s="59">
        <f ca="1">AVERAGE(OFFSET($CC$3,0,0,'Données projet'!$E$12+1,1))-AVERAGE(OFFSET($H$3,0,0,'Données projet'!$E$12+1,1))</f>
        <v>123.2823358462245</v>
      </c>
      <c r="CE10" s="59">
        <f t="shared" si="40"/>
        <v>92.75115399786057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2.3805128205128203</v>
      </c>
      <c r="CT10" s="12">
        <f>IF('Données projet'!$A$140&gt;35,CT9+CS10-DB9,IF(A10&lt;'Données projet'!$A$140,$CQ$205^A10,IF(A10='Données projet'!$A$140,'Données projet'!$B$140,CT9+CS10-DB9)))</f>
        <v>5.304227780361269</v>
      </c>
      <c r="CU10" s="17">
        <f>CT10*VLOOKUP('Données projet'!$B$13,Paramètres!$A$1:$I$89,3,0)*VLOOKUP('Données projet'!$B$13,Paramètres!$A$1:$I$89,5,0)</f>
        <v>3.1719282126560389</v>
      </c>
      <c r="CV10" s="13">
        <f t="shared" si="41"/>
        <v>1.2779721120125676</v>
      </c>
      <c r="CW10" s="20">
        <f t="shared" si="13"/>
        <v>7.7502430654644883</v>
      </c>
      <c r="CX10" s="59">
        <f t="shared" si="14"/>
        <v>301.08357639879779</v>
      </c>
      <c r="CY10" s="59">
        <f ca="1">AVERAGE(OFFSET($CX$3,0,0,'Données projet'!$E$13+1,1))-AVERAGE(OFFSET($H$3,0,0,'Données projet'!$E$13+1,1))</f>
        <v>179.32848817523677</v>
      </c>
      <c r="CZ10" s="59">
        <f t="shared" si="42"/>
        <v>131.3292389103035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3.6141025641025637</v>
      </c>
      <c r="DO10" s="12">
        <f>IF('Données projet'!$A$166&gt;35,DO9+DN10-DW9,IF(A10&lt;'Données projet'!$A$166,$DL$205^A10,IF(A10='Données projet'!$A$166,'Données projet'!$B$166,DO9+DN10-DW9)))</f>
        <v>2.9844323334822644</v>
      </c>
      <c r="DP10" s="17">
        <f>DO10*VLOOKUP('Données projet'!$B$14,Paramètres!$A$1:$I$89,3,0)*VLOOKUP('Données projet'!$B$14,Paramètres!$A$1:$I$89,5,0)</f>
        <v>2.8865429529440463</v>
      </c>
      <c r="DQ10" s="13">
        <f t="shared" si="43"/>
        <v>1.1758233685552395</v>
      </c>
      <c r="DR10" s="20">
        <f t="shared" si="16"/>
        <v>7.0752880099445896</v>
      </c>
      <c r="DS10" s="59">
        <f t="shared" si="17"/>
        <v>300.4086213432779</v>
      </c>
      <c r="DT10" s="59">
        <f ca="1">AVERAGE(OFFSET($DS$3,0,0,'Données projet'!$E$14+1,1))-AVERAGE(OFFSET($H$3,0,0,'Données projet'!$E$14+1,1))</f>
        <v>340.4659523898373</v>
      </c>
      <c r="DU10" s="59">
        <f t="shared" si="44"/>
        <v>170.54530785680572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2.5115384615384619</v>
      </c>
      <c r="EJ10" s="12">
        <f>IF('Données projet'!$A$192&gt;35,EJ9+EI10-ER9,IF(A10&lt;'Données projet'!$A$192,$EG$205^A10,IF(A10='Données projet'!$A$192,'Données projet'!$B$192,EJ9+EI10-ER9)))</f>
        <v>2.7414537315103114</v>
      </c>
      <c r="EK10" s="17">
        <f>EJ10*VLOOKUP('Données projet'!$B$15,Paramètres!$A$1:$I$89,3,0)*VLOOKUP('Données projet'!$B$15,Paramètres!$A$1:$I$89,5,0)</f>
        <v>2.6515340491167732</v>
      </c>
      <c r="EL10" s="13">
        <f t="shared" si="45"/>
        <v>1.0908227783169764</v>
      </c>
      <c r="EM10" s="20">
        <f t="shared" si="19"/>
        <v>6.5179381411137802</v>
      </c>
      <c r="EN10" s="59">
        <f t="shared" si="20"/>
        <v>299.85127147444712</v>
      </c>
      <c r="EO10" s="59">
        <f ca="1">AVERAGE(OFFSET($EN$3,0,0,'Données projet'!$E$15+1,1))-AVERAGE(OFFSET($H$3,0,0,'Données projet'!$E$15+1,1))</f>
        <v>262.20955982183017</v>
      </c>
      <c r="EP10" s="59">
        <f t="shared" si="46"/>
        <v>101.35842063036193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4.75</v>
      </c>
      <c r="FE10" s="12">
        <f>IF('Données projet'!$A$218&gt;35,FE9+FD10-FM9,IF(A10&lt;'Données projet'!$A$218,$FB$205^A10,IF(A10='Données projet'!$A$218,'Données projet'!$B$218,FE9+FD10-FM9)))</f>
        <v>4.9226987771675601</v>
      </c>
      <c r="FF10" s="17">
        <f>FE10*VLOOKUP('Données projet'!$B$16,Paramètres!$A$1:$I$89,3,0)*VLOOKUP('Données projet'!$B$16,Paramètres!$A$1:$I$89,5,0)</f>
        <v>3.9164991471145107</v>
      </c>
      <c r="FG10" s="13">
        <f t="shared" si="47"/>
        <v>1.5397023397997951</v>
      </c>
      <c r="FH10" s="20">
        <f t="shared" si="22"/>
        <v>9.5028842563757507</v>
      </c>
      <c r="FI10" s="59">
        <f t="shared" si="23"/>
        <v>302.83621758970907</v>
      </c>
      <c r="FJ10" s="59">
        <f ca="1">AVERAGE(OFFSET($FI$3,0,0,'Données projet'!$E$16+1,1))-AVERAGE(OFFSET($H$3,0,0,'Données projet'!$E$16+1,1))</f>
        <v>199.58763537752952</v>
      </c>
      <c r="FK10" s="59">
        <f t="shared" si="48"/>
        <v>242.62852778451929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4.75</v>
      </c>
      <c r="FZ10" s="12">
        <f>IF('Données projet'!$A$244&gt;35,FZ9+FY10-GH9,IF(A10&lt;'Données projet'!$A$244,$FW$205^A10,IF(A10='Données projet'!$A$244,'Données projet'!$B$244,FZ9+FY10-GH9)))</f>
        <v>4.9226987771675601</v>
      </c>
      <c r="GA10" s="17">
        <f>FZ10*VLOOKUP('Données projet'!$B$17,Paramètres!$A$1:$I$89,3,0)*VLOOKUP('Données projet'!$B$17,Paramètres!$A$1:$I$89,5,0)</f>
        <v>3.6093227434192547</v>
      </c>
      <c r="GB10" s="13">
        <f t="shared" si="49"/>
        <v>1.432496037836781</v>
      </c>
      <c r="GC10" s="20">
        <f t="shared" si="25"/>
        <v>8.7811677106875958</v>
      </c>
      <c r="GD10" s="59">
        <f t="shared" si="26"/>
        <v>302.11450104402093</v>
      </c>
      <c r="GE10" s="59">
        <f ca="1">AVERAGE(OFFSET($GD$3,0,0,'Données projet'!$E$17+1,1))-AVERAGE(OFFSET($H$3,0,0,'Données projet'!$E$17+1,1))</f>
        <v>178.12968684094687</v>
      </c>
      <c r="GF10" s="59">
        <f t="shared" si="50"/>
        <v>219.36004077210373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4.75</v>
      </c>
      <c r="GU10" s="12">
        <f>IF('Données projet'!$A$270&gt;35,GU9+GT10-HC9,IF(A10&lt;'Données projet'!$A$270,$GR$205^A10,IF(A10='Données projet'!$A$270,'Données projet'!$B$270,GU9+GT10-HC9)))</f>
        <v>4.9226987771675601</v>
      </c>
      <c r="GV10" s="17">
        <f>GU10*VLOOKUP('Données projet'!$B$18,Paramètres!$A$1:$I$89,3,0)*VLOOKUP('Données projet'!$B$18,Paramètres!$A$1:$I$89,5,0)</f>
        <v>3.9164991471145107</v>
      </c>
      <c r="GW10" s="13">
        <f t="shared" si="51"/>
        <v>1.5397023397997951</v>
      </c>
      <c r="GX10" s="20">
        <f t="shared" si="28"/>
        <v>9.5028842563757507</v>
      </c>
      <c r="GY10" s="59">
        <f t="shared" si="29"/>
        <v>302.83621758970907</v>
      </c>
      <c r="GZ10" s="59">
        <f ca="1">AVERAGE(OFFSET($GY$3,0,0,'Données projet'!$E$18+1,1))-AVERAGE(OFFSET($H$3,0,0,'Données projet'!$E$18+1,1))</f>
        <v>199.58763537752952</v>
      </c>
      <c r="HA10" s="59">
        <f t="shared" si="52"/>
        <v>242.62852778451929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3.6141025641025637</v>
      </c>
      <c r="N11" s="13">
        <f>IF('Données projet'!$A$36&gt;35,N10+M11-V10,IF(A11&lt;'Données projet'!$A$36,$K$205^A11,IF(A11='Données projet'!$A$36,'Données projet'!$B$36,N10+M11-V10)))</f>
        <v>3.4889852018567837</v>
      </c>
      <c r="O11" s="13">
        <f>N11*VLOOKUP('Données projet'!$B$9,Paramètres!$A$1:$I$89,3,0)*VLOOKUP('Données projet'!$B$9,Paramètres!$A$1:$I$89,5,0)</f>
        <v>3.156833810640018</v>
      </c>
      <c r="P11" s="13">
        <f t="shared" si="33"/>
        <v>1.2725969677420546</v>
      </c>
      <c r="Q11" s="20">
        <f t="shared" si="2"/>
        <v>7.7145919390154418</v>
      </c>
      <c r="R11" s="59">
        <f t="shared" si="0"/>
        <v>301.04792527234878</v>
      </c>
      <c r="S11" s="59">
        <f ca="1">AVERAGE(OFFSET($R$3,0,0,'Données projet'!$E$9+1,1))-AVERAGE(OFFSET($H$3,0,0,'Données projet'!$E$9+1,1))</f>
        <v>309.07357540707869</v>
      </c>
      <c r="T11" s="59">
        <f t="shared" si="34"/>
        <v>155.9593924683299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2.5115384615384619</v>
      </c>
      <c r="AI11" s="13">
        <f>IF('Données projet'!$A$62&gt;35,AI10+AH11-AQ10,IF(A11&lt;'Données projet'!$A$62,$AF$205^A11,IF(A11='Données projet'!$A$62,'Données projet'!$B$62,AI10+AH11-AQ10)))</f>
        <v>3.1662822293565043</v>
      </c>
      <c r="AJ11" s="13">
        <f>AI11*VLOOKUP('Données projet'!$B$10,Paramètres!$A$1:$I$89,3,0)*VLOOKUP('Données projet'!$B$10,Paramètres!$A$1:$I$89,5,0)</f>
        <v>2.8648521611217652</v>
      </c>
      <c r="AK11" s="13">
        <f t="shared" si="35"/>
        <v>1.1680127468744104</v>
      </c>
      <c r="AL11" s="20">
        <f t="shared" si="4"/>
        <v>7.0239063814266727</v>
      </c>
      <c r="AM11" s="59">
        <f t="shared" si="5"/>
        <v>300.35723971476</v>
      </c>
      <c r="AN11" s="59">
        <f ca="1">AVERAGE(OFFSET($AM$3,0,0,'Données projet'!$E$10+1,1))-AVERAGE(OFFSET($H$3,0,0,'Données projet'!$E$10+1,1))</f>
        <v>234.30804102916278</v>
      </c>
      <c r="AO11" s="59">
        <f t="shared" si="36"/>
        <v>91.137993288782411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7.2264102564102561</v>
      </c>
      <c r="BD11" s="12">
        <f>IF('Données projet'!$A$88&gt;35,BD10+BC11-BL10,IF(A11&lt;'Données projet'!$A$88,$BA$205^A11,IF(A11='Données projet'!$A$88,'Données projet'!$B$88,BD10+BC11-BL10)))</f>
        <v>4.1970585866050225</v>
      </c>
      <c r="BE11" s="13">
        <f>BD11*VLOOKUP('Données projet'!$B$11,Paramètres!$A$1:$I$89,3,0)*VLOOKUP('Données projet'!$B$11,Paramètres!$A$1:$I$89,5,0)</f>
        <v>1.9642234185311505</v>
      </c>
      <c r="BF11" s="13">
        <f t="shared" si="37"/>
        <v>0.83678816759654573</v>
      </c>
      <c r="BG11" s="20">
        <f t="shared" si="7"/>
        <v>4.8784285125057369</v>
      </c>
      <c r="BH11" s="59">
        <f t="shared" si="8"/>
        <v>298.21176184583908</v>
      </c>
      <c r="BI11" s="59">
        <f ca="1">AVERAGE(OFFSET($BH$3,0,0,'Données projet'!$E$11+1,1))-AVERAGE(OFFSET($H$3,0,0,'Données projet'!$E$11+1,1))</f>
        <v>158.58786357608489</v>
      </c>
      <c r="BJ11" s="59">
        <f t="shared" si="38"/>
        <v>163.20074068819849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4.9084615384615384</v>
      </c>
      <c r="BY11" s="12">
        <f>IF('Données projet'!$A$114&gt;35,BY10+BX11-CG10,IF(A11&lt;'Données projet'!$A$114,$BV$205^A11,IF(A11='Données projet'!$A$114,'Données projet'!$B$114,BY10+BX11-CG10)))</f>
        <v>3.7857428072090569</v>
      </c>
      <c r="BZ11" s="13">
        <f>BY11*VLOOKUP('Données projet'!$B$12,Paramètres!$A$1:$I$89,3,0)*VLOOKUP('Données projet'!$B$12,Paramètres!$A$1:$I$89,5,0)</f>
        <v>1.7717276337738388</v>
      </c>
      <c r="CA11" s="13">
        <f t="shared" si="39"/>
        <v>0.76389843061877893</v>
      </c>
      <c r="CB11" s="20">
        <f t="shared" si="10"/>
        <v>4.4162153954838086</v>
      </c>
      <c r="CC11" s="59">
        <f t="shared" si="11"/>
        <v>297.7495487288171</v>
      </c>
      <c r="CD11" s="59">
        <f ca="1">AVERAGE(OFFSET($CC$3,0,0,'Données projet'!$E$12+1,1))-AVERAGE(OFFSET($H$3,0,0,'Données projet'!$E$12+1,1))</f>
        <v>123.2823358462245</v>
      </c>
      <c r="CE11" s="59">
        <f t="shared" si="40"/>
        <v>92.75115399786057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2.3805128205128203</v>
      </c>
      <c r="CT11" s="12">
        <f>IF('Données projet'!$A$140&gt;35,CT10+CS11-DB10,IF(A11&lt;'Données projet'!$A$140,$CQ$205^A11,IF(A11='Données projet'!$A$140,'Données projet'!$B$140,CT10+CS11-DB10)))</f>
        <v>6.7319304121702404</v>
      </c>
      <c r="CU11" s="17">
        <f>CT11*VLOOKUP('Données projet'!$B$13,Paramètres!$A$1:$I$89,3,0)*VLOOKUP('Données projet'!$B$13,Paramètres!$A$1:$I$89,5,0)</f>
        <v>4.0256943864778041</v>
      </c>
      <c r="CV11" s="13">
        <f t="shared" si="41"/>
        <v>1.5775727558271786</v>
      </c>
      <c r="CW11" s="20">
        <f t="shared" si="13"/>
        <v>9.759023606181179</v>
      </c>
      <c r="CX11" s="59">
        <f t="shared" si="14"/>
        <v>303.0923569395145</v>
      </c>
      <c r="CY11" s="59">
        <f ca="1">AVERAGE(OFFSET($CX$3,0,0,'Données projet'!$E$13+1,1))-AVERAGE(OFFSET($H$3,0,0,'Données projet'!$E$13+1,1))</f>
        <v>179.32848817523677</v>
      </c>
      <c r="CZ11" s="59">
        <f t="shared" si="42"/>
        <v>131.3292389103035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3.6141025641025637</v>
      </c>
      <c r="DO11" s="12">
        <f>IF('Données projet'!$A$166&gt;35,DO10+DN11-DW10,IF(A11&lt;'Données projet'!$A$166,$DL$205^A11,IF(A11='Données projet'!$A$166,'Données projet'!$B$166,DO10+DN11-DW10)))</f>
        <v>3.4889852018567837</v>
      </c>
      <c r="DP11" s="17">
        <f>DO11*VLOOKUP('Données projet'!$B$14,Paramètres!$A$1:$I$89,3,0)*VLOOKUP('Données projet'!$B$14,Paramètres!$A$1:$I$89,5,0)</f>
        <v>3.3745464872358815</v>
      </c>
      <c r="DQ11" s="13">
        <f t="shared" si="43"/>
        <v>1.3498428355931567</v>
      </c>
      <c r="DR11" s="20">
        <f t="shared" si="16"/>
        <v>8.2283114039272416</v>
      </c>
      <c r="DS11" s="59">
        <f t="shared" si="17"/>
        <v>301.56164473726056</v>
      </c>
      <c r="DT11" s="59">
        <f ca="1">AVERAGE(OFFSET($DS$3,0,0,'Données projet'!$E$14+1,1))-AVERAGE(OFFSET($H$3,0,0,'Données projet'!$E$14+1,1))</f>
        <v>340.4659523898373</v>
      </c>
      <c r="DU11" s="59">
        <f t="shared" si="44"/>
        <v>170.54530785680572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2.5115384615384619</v>
      </c>
      <c r="EJ11" s="12">
        <f>IF('Données projet'!$A$192&gt;35,EJ10+EI11-ER10,IF(A11&lt;'Données projet'!$A$192,$EG$205^A11,IF(A11='Données projet'!$A$192,'Données projet'!$B$192,EJ10+EI11-ER10)))</f>
        <v>3.1662822293565043</v>
      </c>
      <c r="EK11" s="17">
        <f>EJ11*VLOOKUP('Données projet'!$B$15,Paramètres!$A$1:$I$89,3,0)*VLOOKUP('Données projet'!$B$15,Paramètres!$A$1:$I$89,5,0)</f>
        <v>3.0624281722336111</v>
      </c>
      <c r="EL11" s="13">
        <f t="shared" si="45"/>
        <v>1.2389104156418806</v>
      </c>
      <c r="EM11" s="20">
        <f t="shared" si="19"/>
        <v>7.4914980405498142</v>
      </c>
      <c r="EN11" s="59">
        <f t="shared" si="20"/>
        <v>300.82483137388311</v>
      </c>
      <c r="EO11" s="59">
        <f ca="1">AVERAGE(OFFSET($EN$3,0,0,'Données projet'!$E$15+1,1))-AVERAGE(OFFSET($H$3,0,0,'Données projet'!$E$15+1,1))</f>
        <v>262.20955982183017</v>
      </c>
      <c r="EP11" s="59">
        <f t="shared" si="46"/>
        <v>101.35842063036193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4.75</v>
      </c>
      <c r="FE11" s="12">
        <f>IF('Données projet'!$A$218&gt;35,FE10+FD11-FM10,IF(A11&lt;'Données projet'!$A$218,$FB$205^A11,IF(A11='Données projet'!$A$218,'Données projet'!$B$218,FE10+FD11-FM10)))</f>
        <v>6.1814369253798551</v>
      </c>
      <c r="FF11" s="17">
        <f>FE11*VLOOKUP('Données projet'!$B$16,Paramètres!$A$1:$I$89,3,0)*VLOOKUP('Données projet'!$B$16,Paramètres!$A$1:$I$89,5,0)</f>
        <v>4.9179512178322131</v>
      </c>
      <c r="FG11" s="13">
        <f t="shared" si="47"/>
        <v>1.8828364559270923</v>
      </c>
      <c r="FH11" s="20">
        <f t="shared" si="22"/>
        <v>11.844705198464125</v>
      </c>
      <c r="FI11" s="59">
        <f t="shared" si="23"/>
        <v>305.17803853179743</v>
      </c>
      <c r="FJ11" s="59">
        <f ca="1">AVERAGE(OFFSET($FI$3,0,0,'Données projet'!$E$16+1,1))-AVERAGE(OFFSET($H$3,0,0,'Données projet'!$E$16+1,1))</f>
        <v>199.58763537752952</v>
      </c>
      <c r="FK11" s="59">
        <f t="shared" si="48"/>
        <v>242.62852778451929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4.75</v>
      </c>
      <c r="FZ11" s="12">
        <f>IF('Données projet'!$A$244&gt;35,FZ10+FY11-GH10,IF(A11&lt;'Données projet'!$A$244,$FW$205^A11,IF(A11='Données projet'!$A$244,'Données projet'!$B$244,FZ10+FY11-GH10)))</f>
        <v>6.1814369253798551</v>
      </c>
      <c r="GA11" s="17">
        <f>FZ11*VLOOKUP('Données projet'!$B$17,Paramètres!$A$1:$I$89,3,0)*VLOOKUP('Données projet'!$B$17,Paramètres!$A$1:$I$89,5,0)</f>
        <v>4.5322295536885102</v>
      </c>
      <c r="GB11" s="13">
        <f t="shared" si="49"/>
        <v>1.7517384323523946</v>
      </c>
      <c r="GC11" s="20">
        <f t="shared" si="25"/>
        <v>10.944577575687909</v>
      </c>
      <c r="GD11" s="59">
        <f t="shared" si="26"/>
        <v>304.27791090902122</v>
      </c>
      <c r="GE11" s="59">
        <f ca="1">AVERAGE(OFFSET($GD$3,0,0,'Données projet'!$E$17+1,1))-AVERAGE(OFFSET($H$3,0,0,'Données projet'!$E$17+1,1))</f>
        <v>178.12968684094687</v>
      </c>
      <c r="GF11" s="59">
        <f t="shared" si="50"/>
        <v>219.36004077210373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4.75</v>
      </c>
      <c r="GU11" s="12">
        <f>IF('Données projet'!$A$270&gt;35,GU10+GT11-HC10,IF(A11&lt;'Données projet'!$A$270,$GR$205^A11,IF(A11='Données projet'!$A$270,'Données projet'!$B$270,GU10+GT11-HC10)))</f>
        <v>6.1814369253798551</v>
      </c>
      <c r="GV11" s="17">
        <f>GU11*VLOOKUP('Données projet'!$B$18,Paramètres!$A$1:$I$89,3,0)*VLOOKUP('Données projet'!$B$18,Paramètres!$A$1:$I$89,5,0)</f>
        <v>4.9179512178322131</v>
      </c>
      <c r="GW11" s="13">
        <f t="shared" si="51"/>
        <v>1.8828364559270923</v>
      </c>
      <c r="GX11" s="20">
        <f t="shared" si="28"/>
        <v>11.844705198464125</v>
      </c>
      <c r="GY11" s="59">
        <f t="shared" si="29"/>
        <v>305.17803853179743</v>
      </c>
      <c r="GZ11" s="59">
        <f ca="1">AVERAGE(OFFSET($GY$3,0,0,'Données projet'!$E$18+1,1))-AVERAGE(OFFSET($H$3,0,0,'Données projet'!$E$18+1,1))</f>
        <v>199.58763537752952</v>
      </c>
      <c r="HA11" s="59">
        <f t="shared" si="52"/>
        <v>242.62852778451929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3.6141025641025637</v>
      </c>
      <c r="N12" s="13">
        <f>IF('Données projet'!$A$36&gt;35,N11+M12-V11,IF(A12&lt;'Données projet'!$A$36,$K$205^A12,IF(A12='Données projet'!$A$36,'Données projet'!$B$36,N11+M12-V11)))</f>
        <v>4.0788385791853514</v>
      </c>
      <c r="O12" s="13">
        <f>N12*VLOOKUP('Données projet'!$B$9,Paramètres!$A$1:$I$89,3,0)*VLOOKUP('Données projet'!$B$9,Paramètres!$A$1:$I$89,5,0)</f>
        <v>3.690533146446906</v>
      </c>
      <c r="P12" s="13">
        <f t="shared" si="33"/>
        <v>1.4609387306317054</v>
      </c>
      <c r="Q12" s="20">
        <f t="shared" si="2"/>
        <v>8.9721468525785806</v>
      </c>
      <c r="R12" s="59">
        <f t="shared" si="0"/>
        <v>302.3054801859119</v>
      </c>
      <c r="S12" s="59">
        <f ca="1">AVERAGE(OFFSET($R$3,0,0,'Données projet'!$E$9+1,1))-AVERAGE(OFFSET($H$3,0,0,'Données projet'!$E$9+1,1))</f>
        <v>309.07357540707869</v>
      </c>
      <c r="T12" s="59">
        <f t="shared" si="34"/>
        <v>155.9593924683299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2.5115384615384619</v>
      </c>
      <c r="AI12" s="13">
        <f>IF('Données projet'!$A$62&gt;35,AI11+AH12-AQ11,IF(A12&lt;'Données projet'!$A$62,$AF$205^A12,IF(A12='Données projet'!$A$62,'Données projet'!$B$62,AI11+AH12-AQ11)))</f>
        <v>3.6569441390556205</v>
      </c>
      <c r="AJ12" s="13">
        <f>AI12*VLOOKUP('Données projet'!$B$10,Paramètres!$A$1:$I$89,3,0)*VLOOKUP('Données projet'!$B$10,Paramètres!$A$1:$I$89,5,0)</f>
        <v>3.3088030570175251</v>
      </c>
      <c r="AK12" s="13">
        <f t="shared" si="35"/>
        <v>1.3265795200370261</v>
      </c>
      <c r="AL12" s="20">
        <f t="shared" si="4"/>
        <v>8.0732913217033442</v>
      </c>
      <c r="AM12" s="59">
        <f t="shared" si="5"/>
        <v>301.40662465503664</v>
      </c>
      <c r="AN12" s="59">
        <f ca="1">AVERAGE(OFFSET($AM$3,0,0,'Données projet'!$E$10+1,1))-AVERAGE(OFFSET($H$3,0,0,'Données projet'!$E$10+1,1))</f>
        <v>234.30804102916278</v>
      </c>
      <c r="AO12" s="59">
        <f t="shared" si="36"/>
        <v>91.137993288782411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7.2264102564102561</v>
      </c>
      <c r="BD12" s="12">
        <f>IF('Données projet'!$A$88&gt;35,BD11+BC12-BL11,IF(A12&lt;'Données projet'!$A$88,$BA$205^A12,IF(A12='Données projet'!$A$88,'Données projet'!$B$88,BD11+BC12-BL11)))</f>
        <v>5.0212652126643498</v>
      </c>
      <c r="BE12" s="13">
        <f>BD12*VLOOKUP('Données projet'!$B$11,Paramètres!$A$1:$I$89,3,0)*VLOOKUP('Données projet'!$B$11,Paramètres!$A$1:$I$89,5,0)</f>
        <v>2.349952119526916</v>
      </c>
      <c r="BF12" s="13">
        <f t="shared" si="37"/>
        <v>0.98043726379605944</v>
      </c>
      <c r="BG12" s="20">
        <f t="shared" si="7"/>
        <v>5.8004281759541811</v>
      </c>
      <c r="BH12" s="59">
        <f t="shared" si="8"/>
        <v>299.13376150928752</v>
      </c>
      <c r="BI12" s="59">
        <f ca="1">AVERAGE(OFFSET($BH$3,0,0,'Données projet'!$E$11+1,1))-AVERAGE(OFFSET($H$3,0,0,'Données projet'!$E$11+1,1))</f>
        <v>158.58786357608489</v>
      </c>
      <c r="BJ12" s="59">
        <f t="shared" si="38"/>
        <v>163.20074068819849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4.9084615384615384</v>
      </c>
      <c r="BY12" s="12">
        <f>IF('Données projet'!$A$114&gt;35,BY11+BX12-CG11,IF(A12&lt;'Données projet'!$A$114,$BV$205^A12,IF(A12='Données projet'!$A$114,'Données projet'!$B$114,BY11+BX12-CG11)))</f>
        <v>4.4711577636834461</v>
      </c>
      <c r="BZ12" s="13">
        <f>BY12*VLOOKUP('Données projet'!$B$12,Paramètres!$A$1:$I$89,3,0)*VLOOKUP('Données projet'!$B$12,Paramètres!$A$1:$I$89,5,0)</f>
        <v>2.0925018334038525</v>
      </c>
      <c r="CA12" s="13">
        <f t="shared" si="39"/>
        <v>0.8848963575465858</v>
      </c>
      <c r="CB12" s="20">
        <f t="shared" si="10"/>
        <v>5.1856351825720131</v>
      </c>
      <c r="CC12" s="59">
        <f t="shared" si="11"/>
        <v>298.51896851590533</v>
      </c>
      <c r="CD12" s="59">
        <f ca="1">AVERAGE(OFFSET($CC$3,0,0,'Données projet'!$E$12+1,1))-AVERAGE(OFFSET($H$3,0,0,'Données projet'!$E$12+1,1))</f>
        <v>123.2823358462245</v>
      </c>
      <c r="CE12" s="59">
        <f t="shared" si="40"/>
        <v>92.75115399786057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2.3805128205128203</v>
      </c>
      <c r="CT12" s="12">
        <f>IF('Données projet'!$A$140&gt;35,CT11+CS12-DB11,IF(A12&lt;'Données projet'!$A$140,$CQ$205^A12,IF(A12='Données projet'!$A$140,'Données projet'!$B$140,CT11+CS12-DB11)))</f>
        <v>8.5439179746567984</v>
      </c>
      <c r="CU12" s="17">
        <f>CT12*VLOOKUP('Données projet'!$B$13,Paramètres!$A$1:$I$89,3,0)*VLOOKUP('Données projet'!$B$13,Paramètres!$A$1:$I$89,5,0)</f>
        <v>5.1092629488447656</v>
      </c>
      <c r="CV12" s="13">
        <f t="shared" si="41"/>
        <v>1.9474101011553873</v>
      </c>
      <c r="CW12" s="20">
        <f t="shared" si="13"/>
        <v>12.290372228750266</v>
      </c>
      <c r="CX12" s="59">
        <f t="shared" si="14"/>
        <v>305.62370556208356</v>
      </c>
      <c r="CY12" s="59">
        <f ca="1">AVERAGE(OFFSET($CX$3,0,0,'Données projet'!$E$13+1,1))-AVERAGE(OFFSET($H$3,0,0,'Données projet'!$E$13+1,1))</f>
        <v>179.32848817523677</v>
      </c>
      <c r="CZ12" s="59">
        <f t="shared" si="42"/>
        <v>131.3292389103035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3.6141025641025637</v>
      </c>
      <c r="DO12" s="12">
        <f>IF('Données projet'!$A$166&gt;35,DO11+DN12-DW11,IF(A12&lt;'Données projet'!$A$166,$DL$205^A12,IF(A12='Données projet'!$A$166,'Données projet'!$B$166,DO11+DN12-DW11)))</f>
        <v>4.0788385791853514</v>
      </c>
      <c r="DP12" s="17">
        <f>DO12*VLOOKUP('Données projet'!$B$14,Paramètres!$A$1:$I$89,3,0)*VLOOKUP('Données projet'!$B$14,Paramètres!$A$1:$I$89,5,0)</f>
        <v>3.945052673788072</v>
      </c>
      <c r="DQ12" s="13">
        <f t="shared" si="43"/>
        <v>1.5496168298143276</v>
      </c>
      <c r="DR12" s="20">
        <f t="shared" si="16"/>
        <v>9.5698827187741795</v>
      </c>
      <c r="DS12" s="59">
        <f t="shared" si="17"/>
        <v>302.9032160521075</v>
      </c>
      <c r="DT12" s="59">
        <f ca="1">AVERAGE(OFFSET($DS$3,0,0,'Données projet'!$E$14+1,1))-AVERAGE(OFFSET($H$3,0,0,'Données projet'!$E$14+1,1))</f>
        <v>340.4659523898373</v>
      </c>
      <c r="DU12" s="59">
        <f t="shared" si="44"/>
        <v>170.54530785680572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2.5115384615384619</v>
      </c>
      <c r="EJ12" s="12">
        <f>IF('Données projet'!$A$192&gt;35,EJ11+EI12-ER11,IF(A12&lt;'Données projet'!$A$192,$EG$205^A12,IF(A12='Données projet'!$A$192,'Données projet'!$B$192,EJ11+EI12-ER11)))</f>
        <v>3.6569441390556205</v>
      </c>
      <c r="EK12" s="17">
        <f>EJ12*VLOOKUP('Données projet'!$B$15,Paramètres!$A$1:$I$89,3,0)*VLOOKUP('Données projet'!$B$15,Paramètres!$A$1:$I$89,5,0)</f>
        <v>3.5369963712945967</v>
      </c>
      <c r="EL12" s="13">
        <f t="shared" si="45"/>
        <v>1.4071020962306304</v>
      </c>
      <c r="EM12" s="20">
        <f t="shared" si="19"/>
        <v>8.6109714976064371</v>
      </c>
      <c r="EN12" s="59">
        <f t="shared" si="20"/>
        <v>301.94430483093976</v>
      </c>
      <c r="EO12" s="59">
        <f ca="1">AVERAGE(OFFSET($EN$3,0,0,'Données projet'!$E$15+1,1))-AVERAGE(OFFSET($H$3,0,0,'Données projet'!$E$15+1,1))</f>
        <v>262.20955982183017</v>
      </c>
      <c r="EP12" s="59">
        <f t="shared" si="46"/>
        <v>101.35842063036193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4.75</v>
      </c>
      <c r="FE12" s="12">
        <f>IF('Données projet'!$A$218&gt;35,FE11+FD12-FM11,IF(A12&lt;'Données projet'!$A$218,$FB$205^A12,IF(A12='Données projet'!$A$218,'Données projet'!$B$218,FE11+FD12-FM11)))</f>
        <v>7.7620354590201153</v>
      </c>
      <c r="FF12" s="17">
        <f>FE12*VLOOKUP('Données projet'!$B$16,Paramètres!$A$1:$I$89,3,0)*VLOOKUP('Données projet'!$B$16,Paramètres!$A$1:$I$89,5,0)</f>
        <v>6.1754754111964036</v>
      </c>
      <c r="FG12" s="13">
        <f t="shared" si="47"/>
        <v>2.3024405614847958</v>
      </c>
      <c r="FH12" s="20">
        <f t="shared" si="22"/>
        <v>14.765703652419754</v>
      </c>
      <c r="FI12" s="59">
        <f t="shared" si="23"/>
        <v>308.09903698575306</v>
      </c>
      <c r="FJ12" s="59">
        <f ca="1">AVERAGE(OFFSET($FI$3,0,0,'Données projet'!$E$16+1,1))-AVERAGE(OFFSET($H$3,0,0,'Données projet'!$E$16+1,1))</f>
        <v>199.58763537752952</v>
      </c>
      <c r="FK12" s="59">
        <f t="shared" si="48"/>
        <v>242.62852778451929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4.75</v>
      </c>
      <c r="FZ12" s="12">
        <f>IF('Données projet'!$A$244&gt;35,FZ11+FY12-GH11,IF(A12&lt;'Données projet'!$A$244,$FW$205^A12,IF(A12='Données projet'!$A$244,'Données projet'!$B$244,FZ11+FY12-GH11)))</f>
        <v>7.7620354590201153</v>
      </c>
      <c r="GA12" s="17">
        <f>FZ12*VLOOKUP('Données projet'!$B$17,Paramètres!$A$1:$I$89,3,0)*VLOOKUP('Données projet'!$B$17,Paramètres!$A$1:$I$89,5,0)</f>
        <v>5.6911243985535487</v>
      </c>
      <c r="GB12" s="13">
        <f t="shared" si="49"/>
        <v>2.1421263684710175</v>
      </c>
      <c r="GC12" s="20">
        <f t="shared" si="25"/>
        <v>13.642911752567786</v>
      </c>
      <c r="GD12" s="59">
        <f t="shared" si="26"/>
        <v>306.9762450859011</v>
      </c>
      <c r="GE12" s="59">
        <f ca="1">AVERAGE(OFFSET($GD$3,0,0,'Données projet'!$E$17+1,1))-AVERAGE(OFFSET($H$3,0,0,'Données projet'!$E$17+1,1))</f>
        <v>178.12968684094687</v>
      </c>
      <c r="GF12" s="59">
        <f t="shared" si="50"/>
        <v>219.36004077210373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4.75</v>
      </c>
      <c r="GU12" s="12">
        <f>IF('Données projet'!$A$270&gt;35,GU11+GT12-HC11,IF(A12&lt;'Données projet'!$A$270,$GR$205^A12,IF(A12='Données projet'!$A$270,'Données projet'!$B$270,GU11+GT12-HC11)))</f>
        <v>7.7620354590201153</v>
      </c>
      <c r="GV12" s="17">
        <f>GU12*VLOOKUP('Données projet'!$B$18,Paramètres!$A$1:$I$89,3,0)*VLOOKUP('Données projet'!$B$18,Paramètres!$A$1:$I$89,5,0)</f>
        <v>6.1754754111964036</v>
      </c>
      <c r="GW12" s="13">
        <f t="shared" si="51"/>
        <v>2.3024405614847958</v>
      </c>
      <c r="GX12" s="20">
        <f t="shared" si="28"/>
        <v>14.765703652419754</v>
      </c>
      <c r="GY12" s="59">
        <f t="shared" si="29"/>
        <v>308.09903698575306</v>
      </c>
      <c r="GZ12" s="59">
        <f ca="1">AVERAGE(OFFSET($GY$3,0,0,'Données projet'!$E$18+1,1))-AVERAGE(OFFSET($H$3,0,0,'Données projet'!$E$18+1,1))</f>
        <v>199.58763537752952</v>
      </c>
      <c r="HA12" s="59">
        <f t="shared" si="52"/>
        <v>242.62852778451929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3.6141025641025637</v>
      </c>
      <c r="N13" s="13">
        <f>IF('Données projet'!$A$36&gt;35,N12+M13-V12,IF(A13&lt;'Données projet'!$A$36,$K$205^A13,IF(A13='Données projet'!$A$36,'Données projet'!$B$36,N12+M13-V12)))</f>
        <v>4.7684135049345766</v>
      </c>
      <c r="O13" s="13">
        <f>N13*VLOOKUP('Données projet'!$B$9,Paramètres!$A$1:$I$89,3,0)*VLOOKUP('Données projet'!$B$9,Paramètres!$A$1:$I$89,5,0)</f>
        <v>4.3144605392648048</v>
      </c>
      <c r="P13" s="13">
        <f t="shared" si="33"/>
        <v>1.677154691360536</v>
      </c>
      <c r="Q13" s="20">
        <f t="shared" si="2"/>
        <v>10.435396526672468</v>
      </c>
      <c r="R13" s="59">
        <f t="shared" si="0"/>
        <v>303.76872986000581</v>
      </c>
      <c r="S13" s="59">
        <f ca="1">AVERAGE(OFFSET($R$3,0,0,'Données projet'!$E$9+1,1))-AVERAGE(OFFSET($H$3,0,0,'Données projet'!$E$9+1,1))</f>
        <v>309.07357540707869</v>
      </c>
      <c r="T13" s="59">
        <f t="shared" si="34"/>
        <v>155.9593924683299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2.5115384615384619</v>
      </c>
      <c r="AI13" s="13">
        <f>IF('Données projet'!$A$62&gt;35,AI12+AH13-AQ12,IF(A13&lt;'Données projet'!$A$62,$AF$205^A13,IF(A13='Données projet'!$A$62,'Données projet'!$B$62,AI12+AH13-AQ12)))</f>
        <v>4.2236413141513127</v>
      </c>
      <c r="AJ13" s="13">
        <f>AI13*VLOOKUP('Données projet'!$B$10,Paramètres!$A$1:$I$89,3,0)*VLOOKUP('Données projet'!$B$10,Paramètres!$A$1:$I$89,5,0)</f>
        <v>3.8215506610441077</v>
      </c>
      <c r="AK13" s="13">
        <f t="shared" si="35"/>
        <v>1.5066729602831042</v>
      </c>
      <c r="AL13" s="20">
        <f t="shared" si="4"/>
        <v>9.2799894738115594</v>
      </c>
      <c r="AM13" s="59">
        <f t="shared" si="5"/>
        <v>302.61332280714487</v>
      </c>
      <c r="AN13" s="59">
        <f ca="1">AVERAGE(OFFSET($AM$3,0,0,'Données projet'!$E$10+1,1))-AVERAGE(OFFSET($H$3,0,0,'Données projet'!$E$10+1,1))</f>
        <v>234.30804102916278</v>
      </c>
      <c r="AO13" s="59">
        <f t="shared" si="36"/>
        <v>91.137993288782411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7.2264102564102561</v>
      </c>
      <c r="BD13" s="12">
        <f>IF('Données projet'!$A$88&gt;35,BD12+BC13-BL12,IF(A13&lt;'Données projet'!$A$88,$BA$205^A13,IF(A13='Données projet'!$A$88,'Données projet'!$B$88,BD12+BC13-BL12)))</f>
        <v>6.0073272306422343</v>
      </c>
      <c r="BE13" s="13">
        <f>BD13*VLOOKUP('Données projet'!$B$11,Paramètres!$A$1:$I$89,3,0)*VLOOKUP('Données projet'!$B$11,Paramètres!$A$1:$I$89,5,0)</f>
        <v>2.8114291439405656</v>
      </c>
      <c r="BF13" s="13">
        <f t="shared" si="37"/>
        <v>1.1487462006075717</v>
      </c>
      <c r="BG13" s="20">
        <f t="shared" si="7"/>
        <v>6.8973053917546716</v>
      </c>
      <c r="BH13" s="59">
        <f t="shared" si="8"/>
        <v>300.230638725088</v>
      </c>
      <c r="BI13" s="59">
        <f ca="1">AVERAGE(OFFSET($BH$3,0,0,'Données projet'!$E$11+1,1))-AVERAGE(OFFSET($H$3,0,0,'Données projet'!$E$11+1,1))</f>
        <v>158.58786357608489</v>
      </c>
      <c r="BJ13" s="59">
        <f t="shared" si="38"/>
        <v>163.20074068819849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4.9084615384615384</v>
      </c>
      <c r="BY13" s="12">
        <f>IF('Données projet'!$A$114&gt;35,BY12+BX13-CG12,IF(A13&lt;'Données projet'!$A$114,$BV$205^A13,IF(A13='Données projet'!$A$114,'Données projet'!$B$114,BY12+BX13-CG12)))</f>
        <v>5.2806682243912917</v>
      </c>
      <c r="BZ13" s="13">
        <f>BY13*VLOOKUP('Données projet'!$B$12,Paramètres!$A$1:$I$89,3,0)*VLOOKUP('Données projet'!$B$12,Paramètres!$A$1:$I$89,5,0)</f>
        <v>2.4713527290151243</v>
      </c>
      <c r="CA13" s="13">
        <f t="shared" si="39"/>
        <v>1.0250597883345953</v>
      </c>
      <c r="CB13" s="20">
        <f t="shared" si="10"/>
        <v>6.0895851343840945</v>
      </c>
      <c r="CC13" s="59">
        <f t="shared" si="11"/>
        <v>299.42291846771741</v>
      </c>
      <c r="CD13" s="59">
        <f ca="1">AVERAGE(OFFSET($CC$3,0,0,'Données projet'!$E$12+1,1))-AVERAGE(OFFSET($H$3,0,0,'Données projet'!$E$12+1,1))</f>
        <v>123.2823358462245</v>
      </c>
      <c r="CE13" s="59">
        <f t="shared" si="40"/>
        <v>92.75115399786057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2.3805128205128203</v>
      </c>
      <c r="CT13" s="12">
        <f>IF('Données projet'!$A$140&gt;35,CT12+CS13-DB12,IF(A13&lt;'Données projet'!$A$140,$CQ$205^A13,IF(A13='Données projet'!$A$140,'Données projet'!$B$140,CT12+CS13-DB12)))</f>
        <v>10.843625808385362</v>
      </c>
      <c r="CU13" s="17">
        <f>CT13*VLOOKUP('Données projet'!$B$13,Paramètres!$A$1:$I$89,3,0)*VLOOKUP('Données projet'!$B$13,Paramètres!$A$1:$I$89,5,0)</f>
        <v>6.4844882334144467</v>
      </c>
      <c r="CV13" s="13">
        <f t="shared" si="41"/>
        <v>2.4039500479922649</v>
      </c>
      <c r="CW13" s="20">
        <f t="shared" si="13"/>
        <v>15.480696673450021</v>
      </c>
      <c r="CX13" s="59">
        <f t="shared" si="14"/>
        <v>308.81403000678336</v>
      </c>
      <c r="CY13" s="59">
        <f ca="1">AVERAGE(OFFSET($CX$3,0,0,'Données projet'!$E$13+1,1))-AVERAGE(OFFSET($H$3,0,0,'Données projet'!$E$13+1,1))</f>
        <v>179.32848817523677</v>
      </c>
      <c r="CZ13" s="59">
        <f t="shared" si="42"/>
        <v>131.3292389103035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3.6141025641025637</v>
      </c>
      <c r="DO13" s="12">
        <f>IF('Données projet'!$A$166&gt;35,DO12+DN13-DW12,IF(A13&lt;'Données projet'!$A$166,$DL$205^A13,IF(A13='Données projet'!$A$166,'Données projet'!$B$166,DO12+DN13-DW12)))</f>
        <v>4.7684135049345766</v>
      </c>
      <c r="DP13" s="17">
        <f>DO13*VLOOKUP('Données projet'!$B$14,Paramètres!$A$1:$I$89,3,0)*VLOOKUP('Données projet'!$B$14,Paramètres!$A$1:$I$89,5,0)</f>
        <v>4.6120095419727223</v>
      </c>
      <c r="DQ13" s="13">
        <f t="shared" si="43"/>
        <v>1.7789569688597162</v>
      </c>
      <c r="DR13" s="20">
        <f t="shared" si="16"/>
        <v>11.13093333969983</v>
      </c>
      <c r="DS13" s="59">
        <f t="shared" si="17"/>
        <v>304.46426667303314</v>
      </c>
      <c r="DT13" s="59">
        <f ca="1">AVERAGE(OFFSET($DS$3,0,0,'Données projet'!$E$14+1,1))-AVERAGE(OFFSET($H$3,0,0,'Données projet'!$E$14+1,1))</f>
        <v>340.4659523898373</v>
      </c>
      <c r="DU13" s="59">
        <f t="shared" si="44"/>
        <v>170.54530785680572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2.5115384615384619</v>
      </c>
      <c r="EJ13" s="12">
        <f>IF('Données projet'!$A$192&gt;35,EJ12+EI13-ER12,IF(A13&lt;'Données projet'!$A$192,$EG$205^A13,IF(A13='Données projet'!$A$192,'Données projet'!$B$192,EJ12+EI13-ER12)))</f>
        <v>4.2236413141513127</v>
      </c>
      <c r="EK13" s="17">
        <f>EJ13*VLOOKUP('Données projet'!$B$15,Paramètres!$A$1:$I$89,3,0)*VLOOKUP('Données projet'!$B$15,Paramètres!$A$1:$I$89,5,0)</f>
        <v>4.0851058790471502</v>
      </c>
      <c r="EL13" s="13">
        <f t="shared" si="45"/>
        <v>1.5981270996021348</v>
      </c>
      <c r="EM13" s="20">
        <f t="shared" si="19"/>
        <v>9.8982974378141702</v>
      </c>
      <c r="EN13" s="59">
        <f t="shared" si="20"/>
        <v>303.23163077114748</v>
      </c>
      <c r="EO13" s="59">
        <f ca="1">AVERAGE(OFFSET($EN$3,0,0,'Données projet'!$E$15+1,1))-AVERAGE(OFFSET($H$3,0,0,'Données projet'!$E$15+1,1))</f>
        <v>262.20955982183017</v>
      </c>
      <c r="EP13" s="59">
        <f t="shared" si="46"/>
        <v>101.35842063036193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4.75</v>
      </c>
      <c r="FE13" s="12">
        <f>IF('Données projet'!$A$218&gt;35,FE12+FD13-FM12,IF(A13&lt;'Données projet'!$A$218,$FB$205^A13,IF(A13='Données projet'!$A$218,'Données projet'!$B$218,FE12+FD13-FM12)))</f>
        <v>9.7467943448089507</v>
      </c>
      <c r="FF13" s="17">
        <f>FE13*VLOOKUP('Données projet'!$B$16,Paramètres!$A$1:$I$89,3,0)*VLOOKUP('Données projet'!$B$16,Paramètres!$A$1:$I$89,5,0)</f>
        <v>7.7545495807300009</v>
      </c>
      <c r="FG13" s="13">
        <f t="shared" si="47"/>
        <v>2.815556562271968</v>
      </c>
      <c r="FH13" s="20">
        <f t="shared" si="22"/>
        <v>18.409601532395097</v>
      </c>
      <c r="FI13" s="59">
        <f t="shared" si="23"/>
        <v>311.74293486572839</v>
      </c>
      <c r="FJ13" s="59">
        <f ca="1">AVERAGE(OFFSET($FI$3,0,0,'Données projet'!$E$16+1,1))-AVERAGE(OFFSET($H$3,0,0,'Données projet'!$E$16+1,1))</f>
        <v>199.58763537752952</v>
      </c>
      <c r="FK13" s="59">
        <f t="shared" si="48"/>
        <v>242.62852778451929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4.75</v>
      </c>
      <c r="FZ13" s="12">
        <f>IF('Données projet'!$A$244&gt;35,FZ12+FY13-GH12,IF(A13&lt;'Données projet'!$A$244,$FW$205^A13,IF(A13='Données projet'!$A$244,'Données projet'!$B$244,FZ12+FY13-GH12)))</f>
        <v>9.7467943448089507</v>
      </c>
      <c r="GA13" s="17">
        <f>FZ13*VLOOKUP('Données projet'!$B$17,Paramètres!$A$1:$I$89,3,0)*VLOOKUP('Données projet'!$B$17,Paramètres!$A$1:$I$89,5,0)</f>
        <v>7.1463496136139222</v>
      </c>
      <c r="GB13" s="13">
        <f t="shared" si="49"/>
        <v>2.6195151591991359</v>
      </c>
      <c r="GC13" s="20">
        <f t="shared" si="25"/>
        <v>17.008881145982745</v>
      </c>
      <c r="GD13" s="59">
        <f t="shared" si="26"/>
        <v>310.34221447931606</v>
      </c>
      <c r="GE13" s="59">
        <f ca="1">AVERAGE(OFFSET($GD$3,0,0,'Données projet'!$E$17+1,1))-AVERAGE(OFFSET($H$3,0,0,'Données projet'!$E$17+1,1))</f>
        <v>178.12968684094687</v>
      </c>
      <c r="GF13" s="59">
        <f t="shared" si="50"/>
        <v>219.36004077210373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4.75</v>
      </c>
      <c r="GU13" s="12">
        <f>IF('Données projet'!$A$270&gt;35,GU12+GT13-HC12,IF(A13&lt;'Données projet'!$A$270,$GR$205^A13,IF(A13='Données projet'!$A$270,'Données projet'!$B$270,GU12+GT13-HC12)))</f>
        <v>9.7467943448089507</v>
      </c>
      <c r="GV13" s="17">
        <f>GU13*VLOOKUP('Données projet'!$B$18,Paramètres!$A$1:$I$89,3,0)*VLOOKUP('Données projet'!$B$18,Paramètres!$A$1:$I$89,5,0)</f>
        <v>7.7545495807300009</v>
      </c>
      <c r="GW13" s="13">
        <f t="shared" si="51"/>
        <v>2.815556562271968</v>
      </c>
      <c r="GX13" s="20">
        <f t="shared" si="28"/>
        <v>18.409601532395097</v>
      </c>
      <c r="GY13" s="59">
        <f t="shared" si="29"/>
        <v>311.74293486572839</v>
      </c>
      <c r="GZ13" s="59">
        <f ca="1">AVERAGE(OFFSET($GY$3,0,0,'Données projet'!$E$18+1,1))-AVERAGE(OFFSET($H$3,0,0,'Données projet'!$E$18+1,1))</f>
        <v>199.58763537752952</v>
      </c>
      <c r="HA13" s="59">
        <f t="shared" si="52"/>
        <v>242.62852778451929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3.6141025641025637</v>
      </c>
      <c r="N14" s="13">
        <f>IF('Données projet'!$A$36&gt;35,N13+M14-V13,IF(A14&lt;'Données projet'!$A$36,$K$205^A14,IF(A14='Données projet'!$A$36,'Données projet'!$B$36,N13+M14-V13)))</f>
        <v>5.5745690623980924</v>
      </c>
      <c r="O14" s="13">
        <f>N14*VLOOKUP('Données projet'!$B$9,Paramètres!$A$1:$I$89,3,0)*VLOOKUP('Données projet'!$B$9,Paramètres!$A$1:$I$89,5,0)</f>
        <v>5.043870087657794</v>
      </c>
      <c r="P14" s="13">
        <f t="shared" si="33"/>
        <v>1.9253701745153864</v>
      </c>
      <c r="Q14" s="20">
        <f t="shared" si="2"/>
        <v>12.138093456618288</v>
      </c>
      <c r="R14" s="59">
        <f t="shared" si="0"/>
        <v>305.47142678995158</v>
      </c>
      <c r="S14" s="59">
        <f ca="1">AVERAGE(OFFSET($R$3,0,0,'Données projet'!$E$9+1,1))-AVERAGE(OFFSET($H$3,0,0,'Données projet'!$E$9+1,1))</f>
        <v>309.07357540707869</v>
      </c>
      <c r="T14" s="59">
        <f t="shared" si="34"/>
        <v>155.9593924683299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2.5115384615384619</v>
      </c>
      <c r="AI14" s="13">
        <f>IF('Données projet'!$A$62&gt;35,AI13+AH14-AQ13,IF(A14&lt;'Données projet'!$A$62,$AF$205^A14,IF(A14='Données projet'!$A$62,'Données projet'!$B$62,AI13+AH14-AQ13)))</f>
        <v>4.8781565351481309</v>
      </c>
      <c r="AJ14" s="13">
        <f>AI14*VLOOKUP('Données projet'!$B$10,Paramètres!$A$1:$I$89,3,0)*VLOOKUP('Données projet'!$B$10,Paramètres!$A$1:$I$89,5,0)</f>
        <v>4.413756033002028</v>
      </c>
      <c r="AK14" s="13">
        <f t="shared" si="35"/>
        <v>1.7112154793290431</v>
      </c>
      <c r="AL14" s="20">
        <f t="shared" si="4"/>
        <v>10.66765871730995</v>
      </c>
      <c r="AM14" s="59">
        <f t="shared" si="5"/>
        <v>304.00099205064328</v>
      </c>
      <c r="AN14" s="59">
        <f ca="1">AVERAGE(OFFSET($AM$3,0,0,'Données projet'!$E$10+1,1))-AVERAGE(OFFSET($H$3,0,0,'Données projet'!$E$10+1,1))</f>
        <v>234.30804102916278</v>
      </c>
      <c r="AO14" s="59">
        <f t="shared" si="36"/>
        <v>91.137993288782411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7.2264102564102561</v>
      </c>
      <c r="BD14" s="12">
        <f>IF('Données projet'!$A$88&gt;35,BD13+BC14-BL13,IF(A14&lt;'Données projet'!$A$88,$BA$205^A14,IF(A14='Données projet'!$A$88,'Données projet'!$B$88,BD13+BC14-BL13)))</f>
        <v>7.1870293496939057</v>
      </c>
      <c r="BE14" s="13">
        <f>BD14*VLOOKUP('Données projet'!$B$11,Paramètres!$A$1:$I$89,3,0)*VLOOKUP('Données projet'!$B$11,Paramètres!$A$1:$I$89,5,0)</f>
        <v>3.3635297356567477</v>
      </c>
      <c r="BF14" s="13">
        <f t="shared" si="37"/>
        <v>1.3459482642479659</v>
      </c>
      <c r="BG14" s="20">
        <f t="shared" si="7"/>
        <v>8.2023408498340427</v>
      </c>
      <c r="BH14" s="59">
        <f t="shared" si="8"/>
        <v>301.53567418316737</v>
      </c>
      <c r="BI14" s="59">
        <f ca="1">AVERAGE(OFFSET($BH$3,0,0,'Données projet'!$E$11+1,1))-AVERAGE(OFFSET($H$3,0,0,'Données projet'!$E$11+1,1))</f>
        <v>158.58786357608489</v>
      </c>
      <c r="BJ14" s="59">
        <f t="shared" si="38"/>
        <v>163.20074068819849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4.9084615384615384</v>
      </c>
      <c r="BY14" s="12">
        <f>IF('Données projet'!$A$114&gt;35,BY13+BX14-CG13,IF(A14&lt;'Données projet'!$A$114,$BV$205^A14,IF(A14='Données projet'!$A$114,'Données projet'!$B$114,BY13+BX14-CG13)))</f>
        <v>6.2367418843040729</v>
      </c>
      <c r="BZ14" s="13">
        <f>BY14*VLOOKUP('Données projet'!$B$12,Paramètres!$A$1:$I$89,3,0)*VLOOKUP('Données projet'!$B$12,Paramètres!$A$1:$I$89,5,0)</f>
        <v>2.9187952018543064</v>
      </c>
      <c r="CA14" s="13">
        <f t="shared" si="39"/>
        <v>1.1874244488629264</v>
      </c>
      <c r="CB14" s="20">
        <f t="shared" si="10"/>
        <v>7.1516658916658464</v>
      </c>
      <c r="CC14" s="59">
        <f t="shared" si="11"/>
        <v>300.48499922499917</v>
      </c>
      <c r="CD14" s="59">
        <f ca="1">AVERAGE(OFFSET($CC$3,0,0,'Données projet'!$E$12+1,1))-AVERAGE(OFFSET($H$3,0,0,'Données projet'!$E$12+1,1))</f>
        <v>123.2823358462245</v>
      </c>
      <c r="CE14" s="59">
        <f t="shared" si="40"/>
        <v>92.75115399786057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2.3805128205128203</v>
      </c>
      <c r="CT14" s="12">
        <f>IF('Données projet'!$A$140&gt;35,CT13+CS14-DB13,IF(A14&lt;'Données projet'!$A$140,$CQ$205^A14,IF(A14='Données projet'!$A$140,'Données projet'!$B$140,CT13+CS14-DB13)))</f>
        <v>13.762330235503498</v>
      </c>
      <c r="CU14" s="17">
        <f>CT14*VLOOKUP('Données projet'!$B$13,Paramètres!$A$1:$I$89,3,0)*VLOOKUP('Données projet'!$B$13,Paramètres!$A$1:$I$89,5,0)</f>
        <v>8.2298734808310936</v>
      </c>
      <c r="CV14" s="13">
        <f t="shared" si="41"/>
        <v>2.9675186699572826</v>
      </c>
      <c r="CW14" s="20">
        <f t="shared" si="13"/>
        <v>19.502124662623089</v>
      </c>
      <c r="CX14" s="59">
        <f t="shared" si="14"/>
        <v>312.8354579959564</v>
      </c>
      <c r="CY14" s="59">
        <f ca="1">AVERAGE(OFFSET($CX$3,0,0,'Données projet'!$E$13+1,1))-AVERAGE(OFFSET($H$3,0,0,'Données projet'!$E$13+1,1))</f>
        <v>179.32848817523677</v>
      </c>
      <c r="CZ14" s="59">
        <f t="shared" si="42"/>
        <v>131.3292389103035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3.6141025641025637</v>
      </c>
      <c r="DO14" s="12">
        <f>IF('Données projet'!$A$166&gt;35,DO13+DN14-DW13,IF(A14&lt;'Données projet'!$A$166,$DL$205^A14,IF(A14='Données projet'!$A$166,'Données projet'!$B$166,DO13+DN14-DW13)))</f>
        <v>5.5745690623980924</v>
      </c>
      <c r="DP14" s="17">
        <f>DO14*VLOOKUP('Données projet'!$B$14,Paramètres!$A$1:$I$89,3,0)*VLOOKUP('Données projet'!$B$14,Paramètres!$A$1:$I$89,5,0)</f>
        <v>5.3917231971514354</v>
      </c>
      <c r="DQ14" s="13">
        <f t="shared" si="43"/>
        <v>2.0422389820286981</v>
      </c>
      <c r="DR14" s="20">
        <f t="shared" si="16"/>
        <v>12.947484128738731</v>
      </c>
      <c r="DS14" s="59">
        <f t="shared" si="17"/>
        <v>306.28081746207204</v>
      </c>
      <c r="DT14" s="59">
        <f ca="1">AVERAGE(OFFSET($DS$3,0,0,'Données projet'!$E$14+1,1))-AVERAGE(OFFSET($H$3,0,0,'Données projet'!$E$14+1,1))</f>
        <v>340.4659523898373</v>
      </c>
      <c r="DU14" s="59">
        <f t="shared" si="44"/>
        <v>170.54530785680572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2.5115384615384619</v>
      </c>
      <c r="EJ14" s="12">
        <f>IF('Données projet'!$A$192&gt;35,EJ13+EI14-ER13,IF(A14&lt;'Données projet'!$A$192,$EG$205^A14,IF(A14='Données projet'!$A$192,'Données projet'!$B$192,EJ13+EI14-ER13)))</f>
        <v>4.8781565351481309</v>
      </c>
      <c r="EK14" s="17">
        <f>EJ14*VLOOKUP('Données projet'!$B$15,Paramètres!$A$1:$I$89,3,0)*VLOOKUP('Données projet'!$B$15,Paramètres!$A$1:$I$89,5,0)</f>
        <v>4.7181530007952723</v>
      </c>
      <c r="EL14" s="13">
        <f t="shared" si="45"/>
        <v>1.8150852261001234</v>
      </c>
      <c r="EM14" s="20">
        <f t="shared" si="19"/>
        <v>11.378723245176147</v>
      </c>
      <c r="EN14" s="59">
        <f t="shared" si="20"/>
        <v>304.71205657850948</v>
      </c>
      <c r="EO14" s="59">
        <f ca="1">AVERAGE(OFFSET($EN$3,0,0,'Données projet'!$E$15+1,1))-AVERAGE(OFFSET($H$3,0,0,'Données projet'!$E$15+1,1))</f>
        <v>262.20955982183017</v>
      </c>
      <c r="EP14" s="59">
        <f t="shared" si="46"/>
        <v>101.35842063036193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4.75</v>
      </c>
      <c r="FE14" s="12">
        <f>IF('Données projet'!$A$218&gt;35,FE13+FD14-FM13,IF(A14&lt;'Données projet'!$A$218,$FB$205^A14,IF(A14='Données projet'!$A$218,'Données projet'!$B$218,FE13+FD14-FM13)))</f>
        <v>12.239057719016479</v>
      </c>
      <c r="FF14" s="17">
        <f>FE14*VLOOKUP('Données projet'!$B$16,Paramètres!$A$1:$I$89,3,0)*VLOOKUP('Données projet'!$B$16,Paramètres!$A$1:$I$89,5,0)</f>
        <v>9.7373943212495124</v>
      </c>
      <c r="FG14" s="13">
        <f t="shared" si="47"/>
        <v>3.4430242795238799</v>
      </c>
      <c r="FH14" s="20">
        <f t="shared" si="22"/>
        <v>22.955895729680325</v>
      </c>
      <c r="FI14" s="59">
        <f t="shared" si="23"/>
        <v>316.28922906301364</v>
      </c>
      <c r="FJ14" s="59">
        <f ca="1">AVERAGE(OFFSET($FI$3,0,0,'Données projet'!$E$16+1,1))-AVERAGE(OFFSET($H$3,0,0,'Données projet'!$E$16+1,1))</f>
        <v>199.58763537752952</v>
      </c>
      <c r="FK14" s="59">
        <f t="shared" si="48"/>
        <v>242.62852778451929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4.75</v>
      </c>
      <c r="FZ14" s="12">
        <f>IF('Données projet'!$A$244&gt;35,FZ13+FY14-GH13,IF(A14&lt;'Données projet'!$A$244,$FW$205^A14,IF(A14='Données projet'!$A$244,'Données projet'!$B$244,FZ13+FY14-GH13)))</f>
        <v>12.239057719016479</v>
      </c>
      <c r="GA14" s="17">
        <f>FZ14*VLOOKUP('Données projet'!$B$17,Paramètres!$A$1:$I$89,3,0)*VLOOKUP('Données projet'!$B$17,Paramètres!$A$1:$I$89,5,0)</f>
        <v>8.9736771195828826</v>
      </c>
      <c r="GB14" s="13">
        <f t="shared" si="49"/>
        <v>3.2032935919517467</v>
      </c>
      <c r="GC14" s="20">
        <f t="shared" si="25"/>
        <v>21.208223989256144</v>
      </c>
      <c r="GD14" s="59">
        <f t="shared" si="26"/>
        <v>314.54155732258948</v>
      </c>
      <c r="GE14" s="59">
        <f ca="1">AVERAGE(OFFSET($GD$3,0,0,'Données projet'!$E$17+1,1))-AVERAGE(OFFSET($H$3,0,0,'Données projet'!$E$17+1,1))</f>
        <v>178.12968684094687</v>
      </c>
      <c r="GF14" s="59">
        <f t="shared" si="50"/>
        <v>219.36004077210373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4.75</v>
      </c>
      <c r="GU14" s="12">
        <f>IF('Données projet'!$A$270&gt;35,GU13+GT14-HC13,IF(A14&lt;'Données projet'!$A$270,$GR$205^A14,IF(A14='Données projet'!$A$270,'Données projet'!$B$270,GU13+GT14-HC13)))</f>
        <v>12.239057719016479</v>
      </c>
      <c r="GV14" s="17">
        <f>GU14*VLOOKUP('Données projet'!$B$18,Paramètres!$A$1:$I$89,3,0)*VLOOKUP('Données projet'!$B$18,Paramètres!$A$1:$I$89,5,0)</f>
        <v>9.7373943212495124</v>
      </c>
      <c r="GW14" s="13">
        <f t="shared" si="51"/>
        <v>3.4430242795238799</v>
      </c>
      <c r="GX14" s="20">
        <f t="shared" si="28"/>
        <v>22.955895729680325</v>
      </c>
      <c r="GY14" s="59">
        <f t="shared" si="29"/>
        <v>316.28922906301364</v>
      </c>
      <c r="GZ14" s="59">
        <f ca="1">AVERAGE(OFFSET($GY$3,0,0,'Données projet'!$E$18+1,1))-AVERAGE(OFFSET($H$3,0,0,'Données projet'!$E$18+1,1))</f>
        <v>199.58763537752952</v>
      </c>
      <c r="HA14" s="59">
        <f t="shared" si="52"/>
        <v>242.62852778451929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3.6141025641025637</v>
      </c>
      <c r="N15" s="13">
        <f>IF('Données projet'!$A$36&gt;35,N14+M15-V14,IF(A15&lt;'Données projet'!$A$36,$K$205^A15,IF(A15='Données projet'!$A$36,'Données projet'!$B$36,N14+M15-V14)))</f>
        <v>6.5170145582565855</v>
      </c>
      <c r="O15" s="13">
        <f>N15*VLOOKUP('Données projet'!$B$9,Paramètres!$A$1:$I$89,3,0)*VLOOKUP('Données projet'!$B$9,Paramètres!$A$1:$I$89,5,0)</f>
        <v>5.896594772310559</v>
      </c>
      <c r="P15" s="13">
        <f t="shared" si="33"/>
        <v>2.21032104433145</v>
      </c>
      <c r="Q15" s="20">
        <f t="shared" si="2"/>
        <v>14.119545047318164</v>
      </c>
      <c r="R15" s="59">
        <f t="shared" si="0"/>
        <v>307.4528783806515</v>
      </c>
      <c r="S15" s="59">
        <f ca="1">AVERAGE(OFFSET($R$3,0,0,'Données projet'!$E$9+1,1))-AVERAGE(OFFSET($H$3,0,0,'Données projet'!$E$9+1,1))</f>
        <v>309.07357540707869</v>
      </c>
      <c r="T15" s="59">
        <f t="shared" si="34"/>
        <v>155.9593924683299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2.5115384615384619</v>
      </c>
      <c r="AI15" s="13">
        <f>IF('Données projet'!$A$62&gt;35,AI14+AH15-AQ14,IF(A15&lt;'Données projet'!$A$62,$AF$205^A15,IF(A15='Données projet'!$A$62,'Données projet'!$B$62,AI14+AH15-AQ14)))</f>
        <v>5.6340984973507391</v>
      </c>
      <c r="AJ15" s="13">
        <f>AI15*VLOOKUP('Données projet'!$B$10,Paramètres!$A$1:$I$89,3,0)*VLOOKUP('Données projet'!$B$10,Paramètres!$A$1:$I$89,5,0)</f>
        <v>5.0977323204029483</v>
      </c>
      <c r="AK15" s="13">
        <f t="shared" si="35"/>
        <v>1.9435262289071051</v>
      </c>
      <c r="AL15" s="20">
        <f t="shared" si="4"/>
        <v>12.26352530671501</v>
      </c>
      <c r="AM15" s="59">
        <f t="shared" si="5"/>
        <v>305.59685864004831</v>
      </c>
      <c r="AN15" s="59">
        <f ca="1">AVERAGE(OFFSET($AM$3,0,0,'Données projet'!$E$10+1,1))-AVERAGE(OFFSET($H$3,0,0,'Données projet'!$E$10+1,1))</f>
        <v>234.30804102916278</v>
      </c>
      <c r="AO15" s="59">
        <f t="shared" si="36"/>
        <v>91.137993288782411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7.2264102564102561</v>
      </c>
      <c r="BD15" s="12">
        <f>IF('Données projet'!$A$88&gt;35,BD14+BC15-BL14,IF(A15&lt;'Données projet'!$A$88,$BA$205^A15,IF(A15='Données projet'!$A$88,'Données projet'!$B$88,BD14+BC15-BL14)))</f>
        <v>8.5983980712566286</v>
      </c>
      <c r="BE15" s="13">
        <f>BD15*VLOOKUP('Données projet'!$B$11,Paramètres!$A$1:$I$89,3,0)*VLOOKUP('Données projet'!$B$11,Paramètres!$A$1:$I$89,5,0)</f>
        <v>4.0240502973481025</v>
      </c>
      <c r="BF15" s="13">
        <f t="shared" si="37"/>
        <v>1.5770034573990057</v>
      </c>
      <c r="BG15" s="20">
        <f t="shared" si="7"/>
        <v>9.7551686228512136</v>
      </c>
      <c r="BH15" s="59">
        <f t="shared" si="8"/>
        <v>303.08850195618453</v>
      </c>
      <c r="BI15" s="59">
        <f ca="1">AVERAGE(OFFSET($BH$3,0,0,'Données projet'!$E$11+1,1))-AVERAGE(OFFSET($H$3,0,0,'Données projet'!$E$11+1,1))</f>
        <v>158.58786357608489</v>
      </c>
      <c r="BJ15" s="59">
        <f t="shared" si="38"/>
        <v>163.20074068819849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4.9084615384615384</v>
      </c>
      <c r="BY15" s="12">
        <f>IF('Données projet'!$A$114&gt;35,BY14+BX15-CG14,IF(A15&lt;'Données projet'!$A$114,$BV$205^A15,IF(A15='Données projet'!$A$114,'Données projet'!$B$114,BY14+BX15-CG14)))</f>
        <v>7.3659142514897171</v>
      </c>
      <c r="BZ15" s="13">
        <f>BY15*VLOOKUP('Données projet'!$B$12,Paramètres!$A$1:$I$89,3,0)*VLOOKUP('Données projet'!$B$12,Paramètres!$A$1:$I$89,5,0)</f>
        <v>3.447247869697188</v>
      </c>
      <c r="CA15" s="13">
        <f t="shared" si="39"/>
        <v>1.3755069097464061</v>
      </c>
      <c r="CB15" s="20">
        <f t="shared" si="10"/>
        <v>8.3996312408642595</v>
      </c>
      <c r="CC15" s="59">
        <f t="shared" si="11"/>
        <v>301.73296457419758</v>
      </c>
      <c r="CD15" s="59">
        <f ca="1">AVERAGE(OFFSET($CC$3,0,0,'Données projet'!$E$12+1,1))-AVERAGE(OFFSET($H$3,0,0,'Données projet'!$E$12+1,1))</f>
        <v>123.2823358462245</v>
      </c>
      <c r="CE15" s="59">
        <f t="shared" si="40"/>
        <v>92.75115399786057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2.3805128205128203</v>
      </c>
      <c r="CT15" s="12">
        <f>IF('Données projet'!$A$140&gt;35,CT14+CS15-DB14,IF(A15&lt;'Données projet'!$A$140,$CQ$205^A15,IF(A15='Données projet'!$A$140,'Données projet'!$B$140,CT14+CS15-DB14)))</f>
        <v>17.466642325908158</v>
      </c>
      <c r="CU15" s="17">
        <f>CT15*VLOOKUP('Données projet'!$B$13,Paramètres!$A$1:$I$89,3,0)*VLOOKUP('Données projet'!$B$13,Paramètres!$A$1:$I$89,5,0)</f>
        <v>10.44505211089308</v>
      </c>
      <c r="CV15" s="13">
        <f t="shared" si="41"/>
        <v>3.6632071718377808</v>
      </c>
      <c r="CW15" s="20">
        <f t="shared" si="13"/>
        <v>24.571884917422917</v>
      </c>
      <c r="CX15" s="59">
        <f t="shared" si="14"/>
        <v>317.90521825075621</v>
      </c>
      <c r="CY15" s="59">
        <f ca="1">AVERAGE(OFFSET($CX$3,0,0,'Données projet'!$E$13+1,1))-AVERAGE(OFFSET($H$3,0,0,'Données projet'!$E$13+1,1))</f>
        <v>179.32848817523677</v>
      </c>
      <c r="CZ15" s="59">
        <f t="shared" si="42"/>
        <v>131.3292389103035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3.6141025641025637</v>
      </c>
      <c r="DO15" s="12">
        <f>IF('Données projet'!$A$166&gt;35,DO14+DN15-DW14,IF(A15&lt;'Données projet'!$A$166,$DL$205^A15,IF(A15='Données projet'!$A$166,'Données projet'!$B$166,DO14+DN15-DW14)))</f>
        <v>6.5170145582565855</v>
      </c>
      <c r="DP15" s="17">
        <f>DO15*VLOOKUP('Données projet'!$B$14,Paramètres!$A$1:$I$89,3,0)*VLOOKUP('Données projet'!$B$14,Paramètres!$A$1:$I$89,5,0)</f>
        <v>6.3032564807457705</v>
      </c>
      <c r="DQ15" s="13">
        <f t="shared" si="43"/>
        <v>2.3444861976571532</v>
      </c>
      <c r="DR15" s="20">
        <f t="shared" si="16"/>
        <v>15.061485164885092</v>
      </c>
      <c r="DS15" s="59">
        <f t="shared" si="17"/>
        <v>308.3948184982184</v>
      </c>
      <c r="DT15" s="59">
        <f ca="1">AVERAGE(OFFSET($DS$3,0,0,'Données projet'!$E$14+1,1))-AVERAGE(OFFSET($H$3,0,0,'Données projet'!$E$14+1,1))</f>
        <v>340.4659523898373</v>
      </c>
      <c r="DU15" s="59">
        <f t="shared" si="44"/>
        <v>170.54530785680572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2.5115384615384619</v>
      </c>
      <c r="EJ15" s="12">
        <f>IF('Données projet'!$A$192&gt;35,EJ14+EI15-ER14,IF(A15&lt;'Données projet'!$A$192,$EG$205^A15,IF(A15='Données projet'!$A$192,'Données projet'!$B$192,EJ14+EI15-ER14)))</f>
        <v>5.6340984973507391</v>
      </c>
      <c r="EK15" s="17">
        <f>EJ15*VLOOKUP('Données projet'!$B$15,Paramètres!$A$1:$I$89,3,0)*VLOOKUP('Données projet'!$B$15,Paramètres!$A$1:$I$89,5,0)</f>
        <v>5.449300066637635</v>
      </c>
      <c r="EL15" s="13">
        <f t="shared" si="45"/>
        <v>2.0614970979636937</v>
      </c>
      <c r="EM15" s="20">
        <f t="shared" si="19"/>
        <v>13.081305061680647</v>
      </c>
      <c r="EN15" s="59">
        <f t="shared" si="20"/>
        <v>306.41463839501398</v>
      </c>
      <c r="EO15" s="59">
        <f ca="1">AVERAGE(OFFSET($EN$3,0,0,'Données projet'!$E$15+1,1))-AVERAGE(OFFSET($H$3,0,0,'Données projet'!$E$15+1,1))</f>
        <v>262.20955982183017</v>
      </c>
      <c r="EP15" s="59">
        <f t="shared" si="46"/>
        <v>101.35842063036193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4.75</v>
      </c>
      <c r="FE15" s="12">
        <f>IF('Données projet'!$A$218&gt;35,FE14+FD15-FM14,IF(A15&lt;'Données projet'!$A$218,$FB$205^A15,IF(A15='Données projet'!$A$218,'Données projet'!$B$218,FE14+FD15-FM14)))</f>
        <v>15.368594899018873</v>
      </c>
      <c r="FF15" s="17">
        <f>FE15*VLOOKUP('Données projet'!$B$16,Paramètres!$A$1:$I$89,3,0)*VLOOKUP('Données projet'!$B$16,Paramètres!$A$1:$I$89,5,0)</f>
        <v>12.227254101659417</v>
      </c>
      <c r="FG15" s="13">
        <f t="shared" si="47"/>
        <v>4.2103278436094334</v>
      </c>
      <c r="FH15" s="20">
        <f t="shared" si="22"/>
        <v>28.628788554676579</v>
      </c>
      <c r="FI15" s="59">
        <f t="shared" si="23"/>
        <v>321.9621218880099</v>
      </c>
      <c r="FJ15" s="59">
        <f ca="1">AVERAGE(OFFSET($FI$3,0,0,'Données projet'!$E$16+1,1))-AVERAGE(OFFSET($H$3,0,0,'Données projet'!$E$16+1,1))</f>
        <v>199.58763537752952</v>
      </c>
      <c r="FK15" s="59">
        <f t="shared" si="48"/>
        <v>242.62852778451929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4.75</v>
      </c>
      <c r="FZ15" s="12">
        <f>IF('Données projet'!$A$244&gt;35,FZ14+FY15-GH14,IF(A15&lt;'Données projet'!$A$244,$FW$205^A15,IF(A15='Données projet'!$A$244,'Données projet'!$B$244,FZ14+FY15-GH14)))</f>
        <v>15.368594899018873</v>
      </c>
      <c r="GA15" s="17">
        <f>FZ15*VLOOKUP('Données projet'!$B$17,Paramètres!$A$1:$I$89,3,0)*VLOOKUP('Données projet'!$B$17,Paramètres!$A$1:$I$89,5,0)</f>
        <v>11.268253779960638</v>
      </c>
      <c r="GB15" s="13">
        <f t="shared" si="49"/>
        <v>3.9171713896002975</v>
      </c>
      <c r="GC15" s="20">
        <f t="shared" si="25"/>
        <v>26.447948836985294</v>
      </c>
      <c r="GD15" s="59">
        <f t="shared" si="26"/>
        <v>319.7812821703186</v>
      </c>
      <c r="GE15" s="59">
        <f ca="1">AVERAGE(OFFSET($GD$3,0,0,'Données projet'!$E$17+1,1))-AVERAGE(OFFSET($H$3,0,0,'Données projet'!$E$17+1,1))</f>
        <v>178.12968684094687</v>
      </c>
      <c r="GF15" s="59">
        <f t="shared" si="50"/>
        <v>219.36004077210373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4.75</v>
      </c>
      <c r="GU15" s="12">
        <f>IF('Données projet'!$A$270&gt;35,GU14+GT15-HC14,IF(A15&lt;'Données projet'!$A$270,$GR$205^A15,IF(A15='Données projet'!$A$270,'Données projet'!$B$270,GU14+GT15-HC14)))</f>
        <v>15.368594899018873</v>
      </c>
      <c r="GV15" s="17">
        <f>GU15*VLOOKUP('Données projet'!$B$18,Paramètres!$A$1:$I$89,3,0)*VLOOKUP('Données projet'!$B$18,Paramètres!$A$1:$I$89,5,0)</f>
        <v>12.227254101659417</v>
      </c>
      <c r="GW15" s="13">
        <f t="shared" si="51"/>
        <v>4.2103278436094334</v>
      </c>
      <c r="GX15" s="20">
        <f t="shared" si="28"/>
        <v>28.628788554676579</v>
      </c>
      <c r="GY15" s="59">
        <f t="shared" si="29"/>
        <v>321.9621218880099</v>
      </c>
      <c r="GZ15" s="59">
        <f ca="1">AVERAGE(OFFSET($GY$3,0,0,'Données projet'!$E$18+1,1))-AVERAGE(OFFSET($H$3,0,0,'Données projet'!$E$18+1,1))</f>
        <v>199.58763537752952</v>
      </c>
      <c r="HA15" s="59">
        <f t="shared" si="52"/>
        <v>242.62852778451929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3.6141025641025637</v>
      </c>
      <c r="N16" s="13">
        <f>IF('Données projet'!$A$36&gt;35,N15+M16-V15,IF(A16&lt;'Données projet'!$A$36,$K$205^A16,IF(A16='Données projet'!$A$36,'Données projet'!$B$36,N15+M16-V15)))</f>
        <v>7.618791385868616</v>
      </c>
      <c r="O16" s="13">
        <f>N16*VLOOKUP('Données projet'!$B$9,Paramètres!$A$1:$I$89,3,0)*VLOOKUP('Données projet'!$B$9,Paramètres!$A$1:$I$89,5,0)</f>
        <v>6.8934824459339232</v>
      </c>
      <c r="P16" s="13">
        <f t="shared" si="33"/>
        <v>2.5374440633184476</v>
      </c>
      <c r="Q16" s="20">
        <f t="shared" si="2"/>
        <v>16.42553033694788</v>
      </c>
      <c r="R16" s="59">
        <f t="shared" si="0"/>
        <v>309.75886367028119</v>
      </c>
      <c r="S16" s="59">
        <f ca="1">AVERAGE(OFFSET($R$3,0,0,'Données projet'!$E$9+1,1))-AVERAGE(OFFSET($H$3,0,0,'Données projet'!$E$9+1,1))</f>
        <v>309.07357540707869</v>
      </c>
      <c r="T16" s="59">
        <f t="shared" si="34"/>
        <v>155.9593924683299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2.5115384615384619</v>
      </c>
      <c r="AI16" s="13">
        <f>IF('Données projet'!$A$62&gt;35,AI15+AH16-AQ15,IF(A16&lt;'Données projet'!$A$62,$AF$205^A16,IF(A16='Données projet'!$A$62,'Données projet'!$B$62,AI15+AH16-AQ15)))</f>
        <v>6.5071847631650357</v>
      </c>
      <c r="AJ16" s="13">
        <f>AI16*VLOOKUP('Données projet'!$B$10,Paramètres!$A$1:$I$89,3,0)*VLOOKUP('Données projet'!$B$10,Paramètres!$A$1:$I$89,5,0)</f>
        <v>5.8877007737117237</v>
      </c>
      <c r="AK16" s="13">
        <f t="shared" si="35"/>
        <v>2.2073749612941369</v>
      </c>
      <c r="AL16" s="20">
        <f t="shared" si="4"/>
        <v>14.098923571801871</v>
      </c>
      <c r="AM16" s="59">
        <f t="shared" si="5"/>
        <v>307.4322569051352</v>
      </c>
      <c r="AN16" s="59">
        <f ca="1">AVERAGE(OFFSET($AM$3,0,0,'Données projet'!$E$10+1,1))-AVERAGE(OFFSET($H$3,0,0,'Données projet'!$E$10+1,1))</f>
        <v>234.30804102916278</v>
      </c>
      <c r="AO16" s="59">
        <f t="shared" si="36"/>
        <v>91.137993288782411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7.2264102564102561</v>
      </c>
      <c r="BD16" s="12">
        <f>IF('Données projet'!$A$88&gt;35,BD15+BC16-BL15,IF(A16&lt;'Données projet'!$A$88,$BA$205^A16,IF(A16='Données projet'!$A$88,'Données projet'!$B$88,BD15+BC16-BL15)))</f>
        <v>10.286927434759741</v>
      </c>
      <c r="BE16" s="13">
        <f>BD16*VLOOKUP('Données projet'!$B$11,Paramètres!$A$1:$I$89,3,0)*VLOOKUP('Données projet'!$B$11,Paramètres!$A$1:$I$89,5,0)</f>
        <v>4.8142820394675585</v>
      </c>
      <c r="BF16" s="13">
        <f t="shared" si="37"/>
        <v>1.8477232526006253</v>
      </c>
      <c r="BG16" s="20">
        <f t="shared" si="7"/>
        <v>11.602992550352086</v>
      </c>
      <c r="BH16" s="59">
        <f t="shared" si="8"/>
        <v>304.93632588368541</v>
      </c>
      <c r="BI16" s="59">
        <f ca="1">AVERAGE(OFFSET($BH$3,0,0,'Données projet'!$E$11+1,1))-AVERAGE(OFFSET($H$3,0,0,'Données projet'!$E$11+1,1))</f>
        <v>158.58786357608489</v>
      </c>
      <c r="BJ16" s="59">
        <f t="shared" si="38"/>
        <v>163.20074068819849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4.9084615384615384</v>
      </c>
      <c r="BY16" s="12">
        <f>IF('Données projet'!$A$114&gt;35,BY15+BX16-CG15,IF(A16&lt;'Données projet'!$A$114,$BV$205^A16,IF(A16='Données projet'!$A$114,'Données projet'!$B$114,BY15+BX16-CG15)))</f>
        <v>8.6995251313584792</v>
      </c>
      <c r="BZ16" s="13">
        <f>BY16*VLOOKUP('Données projet'!$B$12,Paramètres!$A$1:$I$89,3,0)*VLOOKUP('Données projet'!$B$12,Paramètres!$A$1:$I$89,5,0)</f>
        <v>4.0713777614757687</v>
      </c>
      <c r="CA16" s="13">
        <f t="shared" si="39"/>
        <v>1.5933807498842545</v>
      </c>
      <c r="CB16" s="20">
        <f t="shared" si="10"/>
        <v>9.8661210739520406</v>
      </c>
      <c r="CC16" s="59">
        <f t="shared" si="11"/>
        <v>303.19945440728537</v>
      </c>
      <c r="CD16" s="59">
        <f ca="1">AVERAGE(OFFSET($CC$3,0,0,'Données projet'!$E$12+1,1))-AVERAGE(OFFSET($H$3,0,0,'Données projet'!$E$12+1,1))</f>
        <v>123.2823358462245</v>
      </c>
      <c r="CE16" s="59">
        <f t="shared" si="40"/>
        <v>92.75115399786057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2.3805128205128203</v>
      </c>
      <c r="CT16" s="12">
        <f>IF('Données projet'!$A$140&gt;35,CT15+CS16-DB15,IF(A16&lt;'Données projet'!$A$140,$CQ$205^A16,IF(A16='Données projet'!$A$140,'Données projet'!$B$140,CT15+CS16-DB15)))</f>
        <v>22.168018709081991</v>
      </c>
      <c r="CU16" s="17">
        <f>CT16*VLOOKUP('Données projet'!$B$13,Paramètres!$A$1:$I$89,3,0)*VLOOKUP('Données projet'!$B$13,Paramètres!$A$1:$I$89,5,0)</f>
        <v>13.256475188031033</v>
      </c>
      <c r="CV16" s="13">
        <f t="shared" si="41"/>
        <v>4.5219890003242735</v>
      </c>
      <c r="CW16" s="20">
        <f t="shared" si="13"/>
        <v>30.964158461385495</v>
      </c>
      <c r="CX16" s="59">
        <f t="shared" si="14"/>
        <v>324.29749179471878</v>
      </c>
      <c r="CY16" s="59">
        <f ca="1">AVERAGE(OFFSET($CX$3,0,0,'Données projet'!$E$13+1,1))-AVERAGE(OFFSET($H$3,0,0,'Données projet'!$E$13+1,1))</f>
        <v>179.32848817523677</v>
      </c>
      <c r="CZ16" s="59">
        <f t="shared" si="42"/>
        <v>131.3292389103035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3.6141025641025637</v>
      </c>
      <c r="DO16" s="12">
        <f>IF('Données projet'!$A$166&gt;35,DO15+DN16-DW15,IF(A16&lt;'Données projet'!$A$166,$DL$205^A16,IF(A16='Données projet'!$A$166,'Données projet'!$B$166,DO15+DN16-DW15)))</f>
        <v>7.618791385868616</v>
      </c>
      <c r="DP16" s="17">
        <f>DO16*VLOOKUP('Données projet'!$B$14,Paramètres!$A$1:$I$89,3,0)*VLOOKUP('Données projet'!$B$14,Paramètres!$A$1:$I$89,5,0)</f>
        <v>7.3688950284121262</v>
      </c>
      <c r="DQ16" s="13">
        <f t="shared" si="43"/>
        <v>2.6914653864577227</v>
      </c>
      <c r="DR16" s="20">
        <f t="shared" si="16"/>
        <v>17.521794389231651</v>
      </c>
      <c r="DS16" s="59">
        <f t="shared" si="17"/>
        <v>310.85512772256499</v>
      </c>
      <c r="DT16" s="59">
        <f ca="1">AVERAGE(OFFSET($DS$3,0,0,'Données projet'!$E$14+1,1))-AVERAGE(OFFSET($H$3,0,0,'Données projet'!$E$14+1,1))</f>
        <v>340.4659523898373</v>
      </c>
      <c r="DU16" s="59">
        <f t="shared" si="44"/>
        <v>170.54530785680572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2.5115384615384619</v>
      </c>
      <c r="EJ16" s="12">
        <f>IF('Données projet'!$A$192&gt;35,EJ15+EI16-ER15,IF(A16&lt;'Données projet'!$A$192,$EG$205^A16,IF(A16='Données projet'!$A$192,'Données projet'!$B$192,EJ15+EI16-ER15)))</f>
        <v>6.5071847631650357</v>
      </c>
      <c r="EK16" s="17">
        <f>EJ16*VLOOKUP('Données projet'!$B$15,Paramètres!$A$1:$I$89,3,0)*VLOOKUP('Données projet'!$B$15,Paramètres!$A$1:$I$89,5,0)</f>
        <v>6.2937491029332229</v>
      </c>
      <c r="EL16" s="13">
        <f t="shared" si="45"/>
        <v>2.3413612891576183</v>
      </c>
      <c r="EM16" s="20">
        <f t="shared" si="19"/>
        <v>15.039483932891544</v>
      </c>
      <c r="EN16" s="59">
        <f t="shared" si="20"/>
        <v>308.37281726622484</v>
      </c>
      <c r="EO16" s="59">
        <f ca="1">AVERAGE(OFFSET($EN$3,0,0,'Données projet'!$E$15+1,1))-AVERAGE(OFFSET($H$3,0,0,'Données projet'!$E$15+1,1))</f>
        <v>262.20955982183017</v>
      </c>
      <c r="EP16" s="59">
        <f t="shared" si="46"/>
        <v>101.35842063036193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4.75</v>
      </c>
      <c r="FE16" s="12">
        <f>IF('Données projet'!$A$218&gt;35,FE15+FD16-FM15,IF(A16&lt;'Données projet'!$A$218,$FB$205^A16,IF(A16='Données projet'!$A$218,'Données projet'!$B$218,FE15+FD16-FM15)))</f>
        <v>19.298357323959845</v>
      </c>
      <c r="FF16" s="17">
        <f>FE16*VLOOKUP('Données projet'!$B$16,Paramètres!$A$1:$I$89,3,0)*VLOOKUP('Données projet'!$B$16,Paramètres!$A$1:$I$89,5,0)</f>
        <v>15.353773086942452</v>
      </c>
      <c r="FG16" s="13">
        <f t="shared" si="47"/>
        <v>5.1486307128581252</v>
      </c>
      <c r="FH16" s="20">
        <f t="shared" si="22"/>
        <v>35.708353284652667</v>
      </c>
      <c r="FI16" s="59">
        <f t="shared" si="23"/>
        <v>329.04168661798599</v>
      </c>
      <c r="FJ16" s="59">
        <f ca="1">AVERAGE(OFFSET($FI$3,0,0,'Données projet'!$E$16+1,1))-AVERAGE(OFFSET($H$3,0,0,'Données projet'!$E$16+1,1))</f>
        <v>199.58763537752952</v>
      </c>
      <c r="FK16" s="59">
        <f t="shared" si="48"/>
        <v>242.62852778451929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4.75</v>
      </c>
      <c r="FZ16" s="12">
        <f>IF('Données projet'!$A$244&gt;35,FZ15+FY16-GH15,IF(A16&lt;'Données projet'!$A$244,$FW$205^A16,IF(A16='Données projet'!$A$244,'Données projet'!$B$244,FZ15+FY16-GH15)))</f>
        <v>19.298357323959845</v>
      </c>
      <c r="GA16" s="17">
        <f>FZ16*VLOOKUP('Données projet'!$B$17,Paramètres!$A$1:$I$89,3,0)*VLOOKUP('Données projet'!$B$17,Paramètres!$A$1:$I$89,5,0)</f>
        <v>14.149555589927358</v>
      </c>
      <c r="GB16" s="13">
        <f t="shared" si="49"/>
        <v>4.7901421630709704</v>
      </c>
      <c r="GC16" s="20">
        <f t="shared" si="25"/>
        <v>32.986640253138752</v>
      </c>
      <c r="GD16" s="59">
        <f t="shared" si="26"/>
        <v>326.31997358647209</v>
      </c>
      <c r="GE16" s="59">
        <f ca="1">AVERAGE(OFFSET($GD$3,0,0,'Données projet'!$E$17+1,1))-AVERAGE(OFFSET($H$3,0,0,'Données projet'!$E$17+1,1))</f>
        <v>178.12968684094687</v>
      </c>
      <c r="GF16" s="59">
        <f t="shared" si="50"/>
        <v>219.36004077210373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4.75</v>
      </c>
      <c r="GU16" s="12">
        <f>IF('Données projet'!$A$270&gt;35,GU15+GT16-HC15,IF(A16&lt;'Données projet'!$A$270,$GR$205^A16,IF(A16='Données projet'!$A$270,'Données projet'!$B$270,GU15+GT16-HC15)))</f>
        <v>19.298357323959845</v>
      </c>
      <c r="GV16" s="17">
        <f>GU16*VLOOKUP('Données projet'!$B$18,Paramètres!$A$1:$I$89,3,0)*VLOOKUP('Données projet'!$B$18,Paramètres!$A$1:$I$89,5,0)</f>
        <v>15.353773086942452</v>
      </c>
      <c r="GW16" s="13">
        <f t="shared" si="51"/>
        <v>5.1486307128581252</v>
      </c>
      <c r="GX16" s="20">
        <f t="shared" si="28"/>
        <v>35.708353284652667</v>
      </c>
      <c r="GY16" s="59">
        <f t="shared" si="29"/>
        <v>329.04168661798599</v>
      </c>
      <c r="GZ16" s="59">
        <f ca="1">AVERAGE(OFFSET($GY$3,0,0,'Données projet'!$E$18+1,1))-AVERAGE(OFFSET($H$3,0,0,'Données projet'!$E$18+1,1))</f>
        <v>199.58763537752952</v>
      </c>
      <c r="HA16" s="59">
        <f t="shared" si="52"/>
        <v>242.62852778451929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3.6141025641025637</v>
      </c>
      <c r="N17" s="13">
        <f>IF('Données projet'!$A$36&gt;35,N16+M17-V16,IF(A17&lt;'Données projet'!$A$36,$K$205^A17,IF(A17='Données projet'!$A$36,'Données projet'!$B$36,N16+M17-V16)))</f>
        <v>8.9068363531343948</v>
      </c>
      <c r="O17" s="13">
        <f>N17*VLOOKUP('Données projet'!$B$9,Paramètres!$A$1:$I$89,3,0)*VLOOKUP('Données projet'!$B$9,Paramètres!$A$1:$I$89,5,0)</f>
        <v>8.0589055323160004</v>
      </c>
      <c r="P17" s="13">
        <f t="shared" si="33"/>
        <v>2.9129806237797036</v>
      </c>
      <c r="Q17" s="20">
        <f t="shared" si="2"/>
        <v>19.109368388533348</v>
      </c>
      <c r="R17" s="59">
        <f t="shared" si="0"/>
        <v>312.44270172186668</v>
      </c>
      <c r="S17" s="59">
        <f ca="1">AVERAGE(OFFSET($R$3,0,0,'Données projet'!$E$9+1,1))-AVERAGE(OFFSET($H$3,0,0,'Données projet'!$E$9+1,1))</f>
        <v>309.07357540707869</v>
      </c>
      <c r="T17" s="59">
        <f t="shared" si="34"/>
        <v>155.9593924683299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2.5115384615384619</v>
      </c>
      <c r="AI17" s="13">
        <f>IF('Données projet'!$A$62&gt;35,AI16+AH17-AQ16,IF(A17&lt;'Données projet'!$A$62,$AF$205^A17,IF(A17='Données projet'!$A$62,'Données projet'!$B$62,AI16+AH17-AQ16)))</f>
        <v>7.5155685620118104</v>
      </c>
      <c r="AJ17" s="13">
        <f>AI17*VLOOKUP('Données projet'!$B$10,Paramètres!$A$1:$I$89,3,0)*VLOOKUP('Données projet'!$B$10,Paramètres!$A$1:$I$89,5,0)</f>
        <v>6.8000864349082857</v>
      </c>
      <c r="AK17" s="13">
        <f t="shared" si="35"/>
        <v>2.5070432018240512</v>
      </c>
      <c r="AL17" s="20">
        <f t="shared" si="4"/>
        <v>16.209917450642156</v>
      </c>
      <c r="AM17" s="59">
        <f t="shared" si="5"/>
        <v>309.54325078397545</v>
      </c>
      <c r="AN17" s="59">
        <f ca="1">AVERAGE(OFFSET($AM$3,0,0,'Données projet'!$E$10+1,1))-AVERAGE(OFFSET($H$3,0,0,'Données projet'!$E$10+1,1))</f>
        <v>234.30804102916278</v>
      </c>
      <c r="AO17" s="59">
        <f t="shared" si="36"/>
        <v>91.137993288782411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7.2264102564102561</v>
      </c>
      <c r="BD17" s="12">
        <f>IF('Données projet'!$A$88&gt;35,BD16+BC17-BL16,IF(A17&lt;'Données projet'!$A$88,$BA$205^A17,IF(A17='Données projet'!$A$88,'Données projet'!$B$88,BD16+BC17-BL16)))</f>
        <v>12.307045471848836</v>
      </c>
      <c r="BE17" s="13">
        <f>BD17*VLOOKUP('Données projet'!$B$11,Paramètres!$A$1:$I$89,3,0)*VLOOKUP('Données projet'!$B$11,Paramètres!$A$1:$I$89,5,0)</f>
        <v>5.7596972808252556</v>
      </c>
      <c r="BF17" s="13">
        <f t="shared" si="37"/>
        <v>2.1649167617120959</v>
      </c>
      <c r="BG17" s="20">
        <f t="shared" si="7"/>
        <v>13.802036124085888</v>
      </c>
      <c r="BH17" s="59">
        <f t="shared" si="8"/>
        <v>307.13536945741919</v>
      </c>
      <c r="BI17" s="59">
        <f ca="1">AVERAGE(OFFSET($BH$3,0,0,'Données projet'!$E$11+1,1))-AVERAGE(OFFSET($H$3,0,0,'Données projet'!$E$11+1,1))</f>
        <v>158.58786357608489</v>
      </c>
      <c r="BJ17" s="59">
        <f t="shared" si="38"/>
        <v>163.20074068819849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4.9084615384615384</v>
      </c>
      <c r="BY17" s="12">
        <f>IF('Données projet'!$A$114&gt;35,BY16+BX17-CG16,IF(A17&lt;'Données projet'!$A$114,$BV$205^A17,IF(A17='Données projet'!$A$114,'Données projet'!$B$114,BY16+BX17-CG16)))</f>
        <v>10.27458845259182</v>
      </c>
      <c r="BZ17" s="13">
        <f>BY17*VLOOKUP('Données projet'!$B$12,Paramètres!$A$1:$I$89,3,0)*VLOOKUP('Données projet'!$B$12,Paramètres!$A$1:$I$89,5,0)</f>
        <v>4.8085073958129714</v>
      </c>
      <c r="CA17" s="13">
        <f t="shared" si="39"/>
        <v>1.8457647839586531</v>
      </c>
      <c r="CB17" s="20">
        <f t="shared" si="10"/>
        <v>11.589524046435578</v>
      </c>
      <c r="CC17" s="59">
        <f t="shared" si="11"/>
        <v>304.92285737976891</v>
      </c>
      <c r="CD17" s="59">
        <f ca="1">AVERAGE(OFFSET($CC$3,0,0,'Données projet'!$E$12+1,1))-AVERAGE(OFFSET($H$3,0,0,'Données projet'!$E$12+1,1))</f>
        <v>123.2823358462245</v>
      </c>
      <c r="CE17" s="59">
        <f t="shared" si="40"/>
        <v>92.75115399786057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2.3805128205128203</v>
      </c>
      <c r="CT17" s="12">
        <f>IF('Données projet'!$A$140&gt;35,CT16+CS17-DB16,IF(A17&lt;'Données projet'!$A$140,$CQ$205^A17,IF(A17='Données projet'!$A$140,'Données projet'!$B$140,CT16+CS17-DB16)))</f>
        <v>28.134832345956244</v>
      </c>
      <c r="CU17" s="17">
        <f>CT17*VLOOKUP('Données projet'!$B$13,Paramètres!$A$1:$I$89,3,0)*VLOOKUP('Données projet'!$B$13,Paramètres!$A$1:$I$89,5,0)</f>
        <v>16.824629742881836</v>
      </c>
      <c r="CV17" s="13">
        <f t="shared" si="41"/>
        <v>5.5820988439469144</v>
      </c>
      <c r="CW17" s="20">
        <f t="shared" si="13"/>
        <v>39.025052288726734</v>
      </c>
      <c r="CX17" s="59">
        <f t="shared" si="14"/>
        <v>332.35838562206004</v>
      </c>
      <c r="CY17" s="59">
        <f ca="1">AVERAGE(OFFSET($CX$3,0,0,'Données projet'!$E$13+1,1))-AVERAGE(OFFSET($H$3,0,0,'Données projet'!$E$13+1,1))</f>
        <v>179.32848817523677</v>
      </c>
      <c r="CZ17" s="59">
        <f t="shared" si="42"/>
        <v>131.3292389103035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3.6141025641025637</v>
      </c>
      <c r="DO17" s="12">
        <f>IF('Données projet'!$A$166&gt;35,DO16+DN17-DW16,IF(A17&lt;'Données projet'!$A$166,$DL$205^A17,IF(A17='Données projet'!$A$166,'Données projet'!$B$166,DO16+DN17-DW16)))</f>
        <v>8.9068363531343948</v>
      </c>
      <c r="DP17" s="17">
        <f>DO17*VLOOKUP('Données projet'!$B$14,Paramètres!$A$1:$I$89,3,0)*VLOOKUP('Données projet'!$B$14,Paramètres!$A$1:$I$89,5,0)</f>
        <v>8.6146921207515863</v>
      </c>
      <c r="DQ17" s="13">
        <f t="shared" si="43"/>
        <v>3.089796789479478</v>
      </c>
      <c r="DR17" s="20">
        <f t="shared" si="16"/>
        <v>20.385318185319104</v>
      </c>
      <c r="DS17" s="59">
        <f t="shared" si="17"/>
        <v>313.71865151865239</v>
      </c>
      <c r="DT17" s="59">
        <f ca="1">AVERAGE(OFFSET($DS$3,0,0,'Données projet'!$E$14+1,1))-AVERAGE(OFFSET($H$3,0,0,'Données projet'!$E$14+1,1))</f>
        <v>340.4659523898373</v>
      </c>
      <c r="DU17" s="59">
        <f t="shared" si="44"/>
        <v>170.54530785680572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2.5115384615384619</v>
      </c>
      <c r="EJ17" s="12">
        <f>IF('Données projet'!$A$192&gt;35,EJ16+EI17-ER16,IF(A17&lt;'Données projet'!$A$192,$EG$205^A17,IF(A17='Données projet'!$A$192,'Données projet'!$B$192,EJ16+EI17-ER16)))</f>
        <v>7.5155685620118104</v>
      </c>
      <c r="EK17" s="17">
        <f>EJ17*VLOOKUP('Données projet'!$B$15,Paramètres!$A$1:$I$89,3,0)*VLOOKUP('Données projet'!$B$15,Paramètres!$A$1:$I$89,5,0)</f>
        <v>7.2690579131778241</v>
      </c>
      <c r="EL17" s="13">
        <f t="shared" si="45"/>
        <v>2.6592192110194142</v>
      </c>
      <c r="EM17" s="20">
        <f t="shared" si="19"/>
        <v>17.291749324643522</v>
      </c>
      <c r="EN17" s="59">
        <f t="shared" si="20"/>
        <v>310.62508265797686</v>
      </c>
      <c r="EO17" s="59">
        <f ca="1">AVERAGE(OFFSET($EN$3,0,0,'Données projet'!$E$15+1,1))-AVERAGE(OFFSET($H$3,0,0,'Données projet'!$E$15+1,1))</f>
        <v>262.20955982183017</v>
      </c>
      <c r="EP17" s="59">
        <f t="shared" si="46"/>
        <v>101.35842063036193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4.75</v>
      </c>
      <c r="FE17" s="12">
        <f>IF('Données projet'!$A$218&gt;35,FE16+FD17-FM16,IF(A17&lt;'Données projet'!$A$218,$FB$205^A17,IF(A17='Données projet'!$A$218,'Données projet'!$B$218,FE16+FD17-FM16)))</f>
        <v>24.232963250726986</v>
      </c>
      <c r="FF17" s="17">
        <f>FE17*VLOOKUP('Données projet'!$B$16,Paramètres!$A$1:$I$89,3,0)*VLOOKUP('Données projet'!$B$16,Paramètres!$A$1:$I$89,5,0)</f>
        <v>19.279745562278389</v>
      </c>
      <c r="FG17" s="13">
        <f t="shared" si="47"/>
        <v>6.2960413540292901</v>
      </c>
      <c r="FH17" s="20">
        <f t="shared" si="22"/>
        <v>44.544495545902528</v>
      </c>
      <c r="FI17" s="59">
        <f t="shared" si="23"/>
        <v>337.87782887923584</v>
      </c>
      <c r="FJ17" s="59">
        <f ca="1">AVERAGE(OFFSET($FI$3,0,0,'Données projet'!$E$16+1,1))-AVERAGE(OFFSET($H$3,0,0,'Données projet'!$E$16+1,1))</f>
        <v>199.58763537752952</v>
      </c>
      <c r="FK17" s="59">
        <f t="shared" si="48"/>
        <v>242.62852778451929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4.75</v>
      </c>
      <c r="FZ17" s="12">
        <f>IF('Données projet'!$A$244&gt;35,FZ16+FY17-GH16,IF(A17&lt;'Données projet'!$A$244,$FW$205^A17,IF(A17='Données projet'!$A$244,'Données projet'!$B$244,FZ16+FY17-GH16)))</f>
        <v>24.232963250726986</v>
      </c>
      <c r="GA17" s="17">
        <f>FZ17*VLOOKUP('Données projet'!$B$17,Paramètres!$A$1:$I$89,3,0)*VLOOKUP('Données projet'!$B$17,Paramètres!$A$1:$I$89,5,0)</f>
        <v>17.767608655433026</v>
      </c>
      <c r="GB17" s="13">
        <f t="shared" si="49"/>
        <v>5.8576609650903171</v>
      </c>
      <c r="GC17" s="20">
        <f t="shared" si="25"/>
        <v>41.147344589078159</v>
      </c>
      <c r="GD17" s="59">
        <f t="shared" si="26"/>
        <v>334.48067792241147</v>
      </c>
      <c r="GE17" s="59">
        <f ca="1">AVERAGE(OFFSET($GD$3,0,0,'Données projet'!$E$17+1,1))-AVERAGE(OFFSET($H$3,0,0,'Données projet'!$E$17+1,1))</f>
        <v>178.12968684094687</v>
      </c>
      <c r="GF17" s="59">
        <f t="shared" si="50"/>
        <v>219.36004077210373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4.75</v>
      </c>
      <c r="GU17" s="12">
        <f>IF('Données projet'!$A$270&gt;35,GU16+GT17-HC16,IF(A17&lt;'Données projet'!$A$270,$GR$205^A17,IF(A17='Données projet'!$A$270,'Données projet'!$B$270,GU16+GT17-HC16)))</f>
        <v>24.232963250726986</v>
      </c>
      <c r="GV17" s="17">
        <f>GU17*VLOOKUP('Données projet'!$B$18,Paramètres!$A$1:$I$89,3,0)*VLOOKUP('Données projet'!$B$18,Paramètres!$A$1:$I$89,5,0)</f>
        <v>19.279745562278389</v>
      </c>
      <c r="GW17" s="13">
        <f t="shared" si="51"/>
        <v>6.2960413540292901</v>
      </c>
      <c r="GX17" s="20">
        <f t="shared" si="28"/>
        <v>44.544495545902528</v>
      </c>
      <c r="GY17" s="59">
        <f t="shared" si="29"/>
        <v>337.87782887923584</v>
      </c>
      <c r="GZ17" s="59">
        <f ca="1">AVERAGE(OFFSET($GY$3,0,0,'Données projet'!$E$18+1,1))-AVERAGE(OFFSET($H$3,0,0,'Données projet'!$E$18+1,1))</f>
        <v>199.58763537752952</v>
      </c>
      <c r="HA17" s="59">
        <f t="shared" si="52"/>
        <v>242.62852778451929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3.6141025641025637</v>
      </c>
      <c r="N18" s="13">
        <f>IF('Données projet'!$A$36&gt;35,N17+M18-V17,IF(A18&lt;'Données projet'!$A$36,$K$205^A18,IF(A18='Données projet'!$A$36,'Données projet'!$B$36,N17+M18-V17)))</f>
        <v>10.41264024746253</v>
      </c>
      <c r="O18" s="13">
        <f>N18*VLOOKUP('Données projet'!$B$9,Paramètres!$A$1:$I$89,3,0)*VLOOKUP('Données projet'!$B$9,Paramètres!$A$1:$I$89,5,0)</f>
        <v>9.421356895904097</v>
      </c>
      <c r="P18" s="13">
        <f t="shared" si="33"/>
        <v>3.3440958313850619</v>
      </c>
      <c r="Q18" s="20">
        <f t="shared" si="2"/>
        <v>22.233163500028613</v>
      </c>
      <c r="R18" s="59">
        <f t="shared" si="0"/>
        <v>315.56649683336195</v>
      </c>
      <c r="S18" s="59">
        <f ca="1">AVERAGE(OFFSET($R$3,0,0,'Données projet'!$E$9+1,1))-AVERAGE(OFFSET($H$3,0,0,'Données projet'!$E$9+1,1))</f>
        <v>309.07357540707869</v>
      </c>
      <c r="T18" s="59">
        <f t="shared" si="34"/>
        <v>155.9593924683299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2.5115384615384619</v>
      </c>
      <c r="AI18" s="13">
        <f>IF('Données projet'!$A$62&gt;35,AI17+AH18-AQ17,IF(A18&lt;'Données projet'!$A$62,$AF$205^A18,IF(A18='Données projet'!$A$62,'Données projet'!$B$62,AI17+AH18-AQ17)))</f>
        <v>8.6802162326841756</v>
      </c>
      <c r="AJ18" s="13">
        <f>AI18*VLOOKUP('Données projet'!$B$10,Paramètres!$A$1:$I$89,3,0)*VLOOKUP('Données projet'!$B$10,Paramètres!$A$1:$I$89,5,0)</f>
        <v>7.8538596473326416</v>
      </c>
      <c r="AK18" s="13">
        <f t="shared" si="35"/>
        <v>2.8473937260424811</v>
      </c>
      <c r="AL18" s="20">
        <f t="shared" si="4"/>
        <v>18.638016291961673</v>
      </c>
      <c r="AM18" s="59">
        <f t="shared" si="5"/>
        <v>311.97134962529498</v>
      </c>
      <c r="AN18" s="59">
        <f ca="1">AVERAGE(OFFSET($AM$3,0,0,'Données projet'!$E$10+1,1))-AVERAGE(OFFSET($H$3,0,0,'Données projet'!$E$10+1,1))</f>
        <v>234.30804102916278</v>
      </c>
      <c r="AO18" s="59">
        <f t="shared" si="36"/>
        <v>91.137993288782411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7.2264102564102561</v>
      </c>
      <c r="BD18" s="12">
        <f>IF('Données projet'!$A$88&gt;35,BD17+BC18-BL17,IF(A18&lt;'Données projet'!$A$88,$BA$205^A18,IF(A18='Données projet'!$A$88,'Données projet'!$B$88,BD17+BC18-BL17)))</f>
        <v>14.723868638788783</v>
      </c>
      <c r="BE18" s="13">
        <f>BD18*VLOOKUP('Données projet'!$B$11,Paramètres!$A$1:$I$89,3,0)*VLOOKUP('Données projet'!$B$11,Paramètres!$A$1:$I$89,5,0)</f>
        <v>6.89077052295315</v>
      </c>
      <c r="BF18" s="13">
        <f t="shared" si="37"/>
        <v>2.5365619978778424</v>
      </c>
      <c r="BG18" s="20">
        <f t="shared" si="7"/>
        <v>16.419270807113978</v>
      </c>
      <c r="BH18" s="59">
        <f t="shared" si="8"/>
        <v>309.75260414044732</v>
      </c>
      <c r="BI18" s="59">
        <f ca="1">AVERAGE(OFFSET($BH$3,0,0,'Données projet'!$E$11+1,1))-AVERAGE(OFFSET($H$3,0,0,'Données projet'!$E$11+1,1))</f>
        <v>158.58786357608489</v>
      </c>
      <c r="BJ18" s="59">
        <f t="shared" si="38"/>
        <v>163.20074068819849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4.9084615384615384</v>
      </c>
      <c r="BY18" s="12">
        <f>IF('Données projet'!$A$114&gt;35,BY17+BX18-CG17,IF(A18&lt;'Données projet'!$A$114,$BV$205^A18,IF(A18='Données projet'!$A$114,'Données projet'!$B$114,BY17+BX18-CG17)))</f>
        <v>12.134819576485119</v>
      </c>
      <c r="BZ18" s="13">
        <f>BY18*VLOOKUP('Données projet'!$B$12,Paramètres!$A$1:$I$89,3,0)*VLOOKUP('Données projet'!$B$12,Paramètres!$A$1:$I$89,5,0)</f>
        <v>5.6790955617950356</v>
      </c>
      <c r="CA18" s="13">
        <f t="shared" si="39"/>
        <v>2.1381252647550886</v>
      </c>
      <c r="CB18" s="20">
        <f t="shared" si="10"/>
        <v>13.614992939574798</v>
      </c>
      <c r="CC18" s="59">
        <f t="shared" si="11"/>
        <v>306.9483262729081</v>
      </c>
      <c r="CD18" s="59">
        <f ca="1">AVERAGE(OFFSET($CC$3,0,0,'Données projet'!$E$12+1,1))-AVERAGE(OFFSET($H$3,0,0,'Données projet'!$E$12+1,1))</f>
        <v>123.2823358462245</v>
      </c>
      <c r="CE18" s="59">
        <f t="shared" si="40"/>
        <v>92.75115399786057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35.707692307692305</v>
      </c>
      <c r="CR18" s="12">
        <f>VLOOKUP(A18,'Données projet'!$A$139:$I$159,9,0)</f>
        <v>2.3805128205128203</v>
      </c>
      <c r="CS18" s="12">
        <f t="array" ref="CS18">INDEX(CR:CR,MIN(IF(ISNUMBER(CR18:CR214),ROW(CR18:CR214),"")))</f>
        <v>2.3805128205128203</v>
      </c>
      <c r="CT18" s="12">
        <f>IF('Données projet'!$A$140&gt;35,CT17+CS18-DB17,IF(A18&lt;'Données projet'!$A$140,$CQ$205^A18,IF(A18='Données projet'!$A$140,'Données projet'!$B$140,CT17+CS18-DB17)))</f>
        <v>35.707692307692305</v>
      </c>
      <c r="CU18" s="17">
        <f>CT18*VLOOKUP('Données projet'!$B$13,Paramètres!$A$1:$I$89,3,0)*VLOOKUP('Données projet'!$B$13,Paramètres!$A$1:$I$89,5,0)</f>
        <v>21.353200000000001</v>
      </c>
      <c r="CV18" s="13">
        <f t="shared" si="41"/>
        <v>6.8907349180546449</v>
      </c>
      <c r="CW18" s="20">
        <f t="shared" si="13"/>
        <v>49.1915199822785</v>
      </c>
      <c r="CX18" s="59">
        <f t="shared" si="14"/>
        <v>342.52485331561184</v>
      </c>
      <c r="CY18" s="59">
        <f ca="1">AVERAGE(OFFSET($CX$3,0,0,'Données projet'!$E$13+1,1))-AVERAGE(OFFSET($H$3,0,0,'Données projet'!$E$13+1,1))</f>
        <v>179.32848817523677</v>
      </c>
      <c r="CZ18" s="59">
        <f t="shared" si="42"/>
        <v>131.3292389103035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3.6141025641025637</v>
      </c>
      <c r="DO18" s="12">
        <f>IF('Données projet'!$A$166&gt;35,DO17+DN18-DW17,IF(A18&lt;'Données projet'!$A$166,$DL$205^A18,IF(A18='Données projet'!$A$166,'Données projet'!$B$166,DO17+DN18-DW17)))</f>
        <v>10.41264024746253</v>
      </c>
      <c r="DP18" s="17">
        <f>DO18*VLOOKUP('Données projet'!$B$14,Paramètres!$A$1:$I$89,3,0)*VLOOKUP('Données projet'!$B$14,Paramètres!$A$1:$I$89,5,0)</f>
        <v>10.071105647345759</v>
      </c>
      <c r="DQ18" s="13">
        <f t="shared" si="43"/>
        <v>3.5470804299818361</v>
      </c>
      <c r="DR18" s="20">
        <f t="shared" si="16"/>
        <v>23.718340751345561</v>
      </c>
      <c r="DS18" s="59">
        <f t="shared" si="17"/>
        <v>317.05167408467889</v>
      </c>
      <c r="DT18" s="59">
        <f ca="1">AVERAGE(OFFSET($DS$3,0,0,'Données projet'!$E$14+1,1))-AVERAGE(OFFSET($H$3,0,0,'Données projet'!$E$14+1,1))</f>
        <v>340.4659523898373</v>
      </c>
      <c r="DU18" s="59">
        <f t="shared" si="44"/>
        <v>170.54530785680572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2.5115384615384619</v>
      </c>
      <c r="EJ18" s="12">
        <f>IF('Données projet'!$A$192&gt;35,EJ17+EI18-ER17,IF(A18&lt;'Données projet'!$A$192,$EG$205^A18,IF(A18='Données projet'!$A$192,'Données projet'!$B$192,EJ17+EI18-ER17)))</f>
        <v>8.6802162326841756</v>
      </c>
      <c r="EK18" s="17">
        <f>EJ18*VLOOKUP('Données projet'!$B$15,Paramètres!$A$1:$I$89,3,0)*VLOOKUP('Données projet'!$B$15,Paramètres!$A$1:$I$89,5,0)</f>
        <v>8.3955051402521335</v>
      </c>
      <c r="EL18" s="13">
        <f t="shared" si="45"/>
        <v>3.0202288066353469</v>
      </c>
      <c r="EM18" s="20">
        <f t="shared" si="19"/>
        <v>19.882403290829028</v>
      </c>
      <c r="EN18" s="59">
        <f t="shared" si="20"/>
        <v>313.21573662416233</v>
      </c>
      <c r="EO18" s="59">
        <f ca="1">AVERAGE(OFFSET($EN$3,0,0,'Données projet'!$E$15+1,1))-AVERAGE(OFFSET($H$3,0,0,'Données projet'!$E$15+1,1))</f>
        <v>262.20955982183017</v>
      </c>
      <c r="EP18" s="59">
        <f t="shared" si="46"/>
        <v>101.35842063036193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4.75</v>
      </c>
      <c r="FE18" s="12">
        <f>IF('Données projet'!$A$218&gt;35,FE17+FD18-FM17,IF(A18&lt;'Données projet'!$A$218,$FB$205^A18,IF(A18='Données projet'!$A$218,'Données projet'!$B$218,FE17+FD18-FM17)))</f>
        <v>30.429351993705815</v>
      </c>
      <c r="FF18" s="17">
        <f>FE18*VLOOKUP('Données projet'!$B$16,Paramètres!$A$1:$I$89,3,0)*VLOOKUP('Données projet'!$B$16,Paramètres!$A$1:$I$89,5,0)</f>
        <v>24.209592446192346</v>
      </c>
      <c r="FG18" s="13">
        <f t="shared" si="47"/>
        <v>7.6991609890859385</v>
      </c>
      <c r="FH18" s="20">
        <f t="shared" si="22"/>
        <v>55.574412233109683</v>
      </c>
      <c r="FI18" s="59">
        <f t="shared" si="23"/>
        <v>348.907745566443</v>
      </c>
      <c r="FJ18" s="59">
        <f ca="1">AVERAGE(OFFSET($FI$3,0,0,'Données projet'!$E$16+1,1))-AVERAGE(OFFSET($H$3,0,0,'Données projet'!$E$16+1,1))</f>
        <v>199.58763537752952</v>
      </c>
      <c r="FK18" s="59">
        <f t="shared" si="48"/>
        <v>242.62852778451929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4.75</v>
      </c>
      <c r="FZ18" s="12">
        <f>IF('Données projet'!$A$244&gt;35,FZ17+FY18-GH17,IF(A18&lt;'Données projet'!$A$244,$FW$205^A18,IF(A18='Données projet'!$A$244,'Données projet'!$B$244,FZ17+FY18-GH17)))</f>
        <v>30.429351993705815</v>
      </c>
      <c r="GA18" s="17">
        <f>FZ18*VLOOKUP('Données projet'!$B$17,Paramètres!$A$1:$I$89,3,0)*VLOOKUP('Données projet'!$B$17,Paramètres!$A$1:$I$89,5,0)</f>
        <v>22.310800881785102</v>
      </c>
      <c r="GB18" s="13">
        <f t="shared" si="49"/>
        <v>7.1630842705397226</v>
      </c>
      <c r="GC18" s="20">
        <f t="shared" si="25"/>
        <v>51.333683306965732</v>
      </c>
      <c r="GD18" s="59">
        <f t="shared" si="26"/>
        <v>344.66701664029904</v>
      </c>
      <c r="GE18" s="59">
        <f ca="1">AVERAGE(OFFSET($GD$3,0,0,'Données projet'!$E$17+1,1))-AVERAGE(OFFSET($H$3,0,0,'Données projet'!$E$17+1,1))</f>
        <v>178.12968684094687</v>
      </c>
      <c r="GF18" s="59">
        <f t="shared" si="50"/>
        <v>219.36004077210373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4.75</v>
      </c>
      <c r="GU18" s="12">
        <f>IF('Données projet'!$A$270&gt;35,GU17+GT18-HC17,IF(A18&lt;'Données projet'!$A$270,$GR$205^A18,IF(A18='Données projet'!$A$270,'Données projet'!$B$270,GU17+GT18-HC17)))</f>
        <v>30.429351993705815</v>
      </c>
      <c r="GV18" s="17">
        <f>GU18*VLOOKUP('Données projet'!$B$18,Paramètres!$A$1:$I$89,3,0)*VLOOKUP('Données projet'!$B$18,Paramètres!$A$1:$I$89,5,0)</f>
        <v>24.209592446192346</v>
      </c>
      <c r="GW18" s="13">
        <f t="shared" si="51"/>
        <v>7.6991609890859385</v>
      </c>
      <c r="GX18" s="20">
        <f t="shared" si="28"/>
        <v>55.574412233109683</v>
      </c>
      <c r="GY18" s="59">
        <f t="shared" si="29"/>
        <v>348.907745566443</v>
      </c>
      <c r="GZ18" s="59">
        <f ca="1">AVERAGE(OFFSET($GY$3,0,0,'Données projet'!$E$18+1,1))-AVERAGE(OFFSET($H$3,0,0,'Données projet'!$E$18+1,1))</f>
        <v>199.58763537752952</v>
      </c>
      <c r="HA18" s="59">
        <f t="shared" si="52"/>
        <v>242.62852778451929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3.6141025641025637</v>
      </c>
      <c r="N19" s="13">
        <f>IF('Données projet'!$A$36&gt;35,N18+M19-V18,IF(A19&lt;'Données projet'!$A$36,$K$205^A19,IF(A19='Données projet'!$A$36,'Données projet'!$B$36,N18+M19-V18)))</f>
        <v>12.173017738775622</v>
      </c>
      <c r="O19" s="13">
        <f>N19*VLOOKUP('Données projet'!$B$9,Paramètres!$A$1:$I$89,3,0)*VLOOKUP('Données projet'!$B$9,Paramètres!$A$1:$I$89,5,0)</f>
        <v>11.014146450044182</v>
      </c>
      <c r="P19" s="13">
        <f t="shared" si="33"/>
        <v>3.8390152128703852</v>
      </c>
      <c r="Q19" s="20">
        <f t="shared" si="2"/>
        <v>25.869256562909538</v>
      </c>
      <c r="R19" s="59">
        <f t="shared" si="0"/>
        <v>319.20258989624284</v>
      </c>
      <c r="S19" s="59">
        <f ca="1">AVERAGE(OFFSET($R$3,0,0,'Données projet'!$E$9+1,1))-AVERAGE(OFFSET($H$3,0,0,'Données projet'!$E$9+1,1))</f>
        <v>309.07357540707869</v>
      </c>
      <c r="T19" s="59">
        <f t="shared" si="34"/>
        <v>155.9593924683299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2.5115384615384619</v>
      </c>
      <c r="AI19" s="13">
        <f>IF('Données projet'!$A$62&gt;35,AI18+AH19-AQ18,IF(A19&lt;'Données projet'!$A$62,$AF$205^A19,IF(A19='Données projet'!$A$62,'Données projet'!$B$62,AI18+AH19-AQ18)))</f>
        <v>10.025343155938796</v>
      </c>
      <c r="AJ19" s="13">
        <f>AI19*VLOOKUP('Données projet'!$B$10,Paramètres!$A$1:$I$89,3,0)*VLOOKUP('Données projet'!$B$10,Paramètres!$A$1:$I$89,5,0)</f>
        <v>9.0709304874934222</v>
      </c>
      <c r="AK19" s="13">
        <f t="shared" si="35"/>
        <v>3.2339494689230706</v>
      </c>
      <c r="AL19" s="20">
        <f t="shared" si="4"/>
        <v>21.430999257425388</v>
      </c>
      <c r="AM19" s="59">
        <f t="shared" si="5"/>
        <v>314.76433259075873</v>
      </c>
      <c r="AN19" s="59">
        <f ca="1">AVERAGE(OFFSET($AM$3,0,0,'Données projet'!$E$10+1,1))-AVERAGE(OFFSET($H$3,0,0,'Données projet'!$E$10+1,1))</f>
        <v>234.30804102916278</v>
      </c>
      <c r="AO19" s="59">
        <f t="shared" si="36"/>
        <v>91.137993288782411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7.2264102564102561</v>
      </c>
      <c r="BD19" s="12">
        <f>IF('Données projet'!$A$88&gt;35,BD18+BC19-BL18,IF(A19&lt;'Données projet'!$A$88,$BA$205^A19,IF(A19='Données projet'!$A$88,'Données projet'!$B$88,BD18+BC19-BL18)))</f>
        <v>17.61530077939495</v>
      </c>
      <c r="BE19" s="13">
        <f>BD19*VLOOKUP('Données projet'!$B$11,Paramètres!$A$1:$I$89,3,0)*VLOOKUP('Données projet'!$B$11,Paramètres!$A$1:$I$89,5,0)</f>
        <v>8.2439607647568369</v>
      </c>
      <c r="BF19" s="13">
        <f t="shared" si="37"/>
        <v>2.972006537558364</v>
      </c>
      <c r="BG19" s="20">
        <f t="shared" si="7"/>
        <v>19.534476384865641</v>
      </c>
      <c r="BH19" s="59">
        <f t="shared" si="8"/>
        <v>312.86780971819894</v>
      </c>
      <c r="BI19" s="59">
        <f ca="1">AVERAGE(OFFSET($BH$3,0,0,'Données projet'!$E$11+1,1))-AVERAGE(OFFSET($H$3,0,0,'Données projet'!$E$11+1,1))</f>
        <v>158.58786357608489</v>
      </c>
      <c r="BJ19" s="59">
        <f t="shared" si="38"/>
        <v>163.20074068819849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4.9084615384615384</v>
      </c>
      <c r="BY19" s="12">
        <f>IF('Données projet'!$A$114&gt;35,BY18+BX19-CG18,IF(A19&lt;'Données projet'!$A$114,$BV$205^A19,IF(A19='Données projet'!$A$114,'Données projet'!$B$114,BY18+BX19-CG18)))</f>
        <v>14.331848602335111</v>
      </c>
      <c r="BZ19" s="13">
        <f>BY19*VLOOKUP('Données projet'!$B$12,Paramètres!$A$1:$I$89,3,0)*VLOOKUP('Données projet'!$B$12,Paramètres!$A$1:$I$89,5,0)</f>
        <v>6.7073051458928319</v>
      </c>
      <c r="CA19" s="13">
        <f t="shared" si="39"/>
        <v>2.4767942738506736</v>
      </c>
      <c r="CB19" s="20">
        <f t="shared" si="10"/>
        <v>15.995639822719939</v>
      </c>
      <c r="CC19" s="59">
        <f t="shared" si="11"/>
        <v>309.32897315605328</v>
      </c>
      <c r="CD19" s="59">
        <f ca="1">AVERAGE(OFFSET($CC$3,0,0,'Données projet'!$E$12+1,1))-AVERAGE(OFFSET($H$3,0,0,'Données projet'!$E$12+1,1))</f>
        <v>123.2823358462245</v>
      </c>
      <c r="CE19" s="59">
        <f t="shared" si="40"/>
        <v>92.75115399786057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13.468131868131868</v>
      </c>
      <c r="CT19" s="12">
        <f>IF('Données projet'!$A$140&gt;35,CT18+CS19-DB18,IF(A19&lt;'Données projet'!$A$140,$CQ$205^A19,IF(A19='Données projet'!$A$140,'Données projet'!$B$140,CT18+CS19-DB18)))</f>
        <v>49.175824175824175</v>
      </c>
      <c r="CU19" s="17">
        <f>CT19*VLOOKUP('Données projet'!$B$13,Paramètres!$A$1:$I$89,3,0)*VLOOKUP('Données projet'!$B$13,Paramètres!$A$1:$I$89,5,0)</f>
        <v>29.407142857142858</v>
      </c>
      <c r="CV19" s="13">
        <f t="shared" si="41"/>
        <v>9.1427529908921841</v>
      </c>
      <c r="CW19" s="20">
        <f t="shared" si="13"/>
        <v>67.141068601994363</v>
      </c>
      <c r="CX19" s="59">
        <f t="shared" si="14"/>
        <v>360.47440193532771</v>
      </c>
      <c r="CY19" s="59">
        <f ca="1">AVERAGE(OFFSET($CX$3,0,0,'Données projet'!$E$13+1,1))-AVERAGE(OFFSET($H$3,0,0,'Données projet'!$E$13+1,1))</f>
        <v>179.32848817523677</v>
      </c>
      <c r="CZ19" s="59">
        <f t="shared" si="42"/>
        <v>131.3292389103035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3.6141025641025637</v>
      </c>
      <c r="DO19" s="12">
        <f>IF('Données projet'!$A$166&gt;35,DO18+DN19-DW18,IF(A19&lt;'Données projet'!$A$166,$DL$205^A19,IF(A19='Données projet'!$A$166,'Données projet'!$B$166,DO18+DN19-DW18)))</f>
        <v>12.173017738775622</v>
      </c>
      <c r="DP19" s="17">
        <f>DO19*VLOOKUP('Données projet'!$B$14,Paramètres!$A$1:$I$89,3,0)*VLOOKUP('Données projet'!$B$14,Paramètres!$A$1:$I$89,5,0)</f>
        <v>11.773742756943783</v>
      </c>
      <c r="DQ19" s="13">
        <f t="shared" si="43"/>
        <v>4.0720411192089161</v>
      </c>
      <c r="DR19" s="20">
        <f t="shared" si="16"/>
        <v>27.598073584299282</v>
      </c>
      <c r="DS19" s="59">
        <f t="shared" si="17"/>
        <v>320.93140691763261</v>
      </c>
      <c r="DT19" s="59">
        <f ca="1">AVERAGE(OFFSET($DS$3,0,0,'Données projet'!$E$14+1,1))-AVERAGE(OFFSET($H$3,0,0,'Données projet'!$E$14+1,1))</f>
        <v>340.4659523898373</v>
      </c>
      <c r="DU19" s="59">
        <f t="shared" si="44"/>
        <v>170.54530785680572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2.5115384615384619</v>
      </c>
      <c r="EJ19" s="12">
        <f>IF('Données projet'!$A$192&gt;35,EJ18+EI19-ER18,IF(A19&lt;'Données projet'!$A$192,$EG$205^A19,IF(A19='Données projet'!$A$192,'Données projet'!$B$192,EJ18+EI19-ER18)))</f>
        <v>10.025343155938796</v>
      </c>
      <c r="EK19" s="17">
        <f>EJ19*VLOOKUP('Données projet'!$B$15,Paramètres!$A$1:$I$89,3,0)*VLOOKUP('Données projet'!$B$15,Paramètres!$A$1:$I$89,5,0)</f>
        <v>9.696511900424003</v>
      </c>
      <c r="EL19" s="13">
        <f t="shared" si="45"/>
        <v>3.4302482497985318</v>
      </c>
      <c r="EM19" s="20">
        <f t="shared" si="19"/>
        <v>22.862440594970909</v>
      </c>
      <c r="EN19" s="59">
        <f t="shared" si="20"/>
        <v>316.19577392830422</v>
      </c>
      <c r="EO19" s="59">
        <f ca="1">AVERAGE(OFFSET($EN$3,0,0,'Données projet'!$E$15+1,1))-AVERAGE(OFFSET($H$3,0,0,'Données projet'!$E$15+1,1))</f>
        <v>262.20955982183017</v>
      </c>
      <c r="EP19" s="59">
        <f t="shared" si="46"/>
        <v>101.35842063036193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4.75</v>
      </c>
      <c r="FE19" s="12">
        <f>IF('Données projet'!$A$218&gt;35,FE18+FD19-FM18,IF(A19&lt;'Données projet'!$A$218,$FB$205^A19,IF(A19='Données projet'!$A$218,'Données projet'!$B$218,FE18+FD19-FM18)))</f>
        <v>38.21016246244956</v>
      </c>
      <c r="FF19" s="17">
        <f>FE19*VLOOKUP('Données projet'!$B$16,Paramètres!$A$1:$I$89,3,0)*VLOOKUP('Données projet'!$B$16,Paramètres!$A$1:$I$89,5,0)</f>
        <v>30.400005255124871</v>
      </c>
      <c r="FG19" s="13">
        <f t="shared" si="47"/>
        <v>9.4149762688466279</v>
      </c>
      <c r="FH19" s="20">
        <f t="shared" si="22"/>
        <v>69.344426154250357</v>
      </c>
      <c r="FI19" s="59">
        <f t="shared" si="23"/>
        <v>362.67775948758367</v>
      </c>
      <c r="FJ19" s="59">
        <f ca="1">AVERAGE(OFFSET($FI$3,0,0,'Données projet'!$E$16+1,1))-AVERAGE(OFFSET($H$3,0,0,'Données projet'!$E$16+1,1))</f>
        <v>199.58763537752952</v>
      </c>
      <c r="FK19" s="59">
        <f t="shared" si="48"/>
        <v>242.62852778451929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4.75</v>
      </c>
      <c r="FZ19" s="12">
        <f>IF('Données projet'!$A$244&gt;35,FZ18+FY19-GH18,IF(A19&lt;'Données projet'!$A$244,$FW$205^A19,IF(A19='Données projet'!$A$244,'Données projet'!$B$244,FZ18+FY19-GH18)))</f>
        <v>38.21016246244956</v>
      </c>
      <c r="GA19" s="17">
        <f>FZ19*VLOOKUP('Données projet'!$B$17,Paramètres!$A$1:$I$89,3,0)*VLOOKUP('Données projet'!$B$17,Paramètres!$A$1:$I$89,5,0)</f>
        <v>28.01569111746802</v>
      </c>
      <c r="GB19" s="13">
        <f t="shared" si="49"/>
        <v>8.7594308671400682</v>
      </c>
      <c r="GC19" s="20">
        <f t="shared" si="25"/>
        <v>64.050004123192423</v>
      </c>
      <c r="GD19" s="59">
        <f t="shared" si="26"/>
        <v>357.38333745652574</v>
      </c>
      <c r="GE19" s="59">
        <f ca="1">AVERAGE(OFFSET($GD$3,0,0,'Données projet'!$E$17+1,1))-AVERAGE(OFFSET($H$3,0,0,'Données projet'!$E$17+1,1))</f>
        <v>178.12968684094687</v>
      </c>
      <c r="GF19" s="59">
        <f t="shared" si="50"/>
        <v>219.36004077210373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4.75</v>
      </c>
      <c r="GU19" s="12">
        <f>IF('Données projet'!$A$270&gt;35,GU18+GT19-HC18,IF(A19&lt;'Données projet'!$A$270,$GR$205^A19,IF(A19='Données projet'!$A$270,'Données projet'!$B$270,GU18+GT19-HC18)))</f>
        <v>38.21016246244956</v>
      </c>
      <c r="GV19" s="17">
        <f>GU19*VLOOKUP('Données projet'!$B$18,Paramètres!$A$1:$I$89,3,0)*VLOOKUP('Données projet'!$B$18,Paramètres!$A$1:$I$89,5,0)</f>
        <v>30.400005255124871</v>
      </c>
      <c r="GW19" s="13">
        <f t="shared" si="51"/>
        <v>9.4149762688466279</v>
      </c>
      <c r="GX19" s="20">
        <f t="shared" si="28"/>
        <v>69.344426154250357</v>
      </c>
      <c r="GY19" s="59">
        <f t="shared" si="29"/>
        <v>362.67775948758367</v>
      </c>
      <c r="GZ19" s="59">
        <f ca="1">AVERAGE(OFFSET($GY$3,0,0,'Données projet'!$E$18+1,1))-AVERAGE(OFFSET($H$3,0,0,'Données projet'!$E$18+1,1))</f>
        <v>199.58763537752952</v>
      </c>
      <c r="HA19" s="59">
        <f t="shared" si="52"/>
        <v>242.62852778451929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3.6141025641025637</v>
      </c>
      <c r="N20" s="13">
        <f>IF('Données projet'!$A$36&gt;35,N19+M20-V19,IF(A20&lt;'Données projet'!$A$36,$K$205^A20,IF(A20='Données projet'!$A$36,'Données projet'!$B$36,N19+M20-V19)))</f>
        <v>14.231007443540239</v>
      </c>
      <c r="O20" s="13">
        <f>N20*VLOOKUP('Données projet'!$B$9,Paramètres!$A$1:$I$89,3,0)*VLOOKUP('Données projet'!$B$9,Paramètres!$A$1:$I$89,5,0)</f>
        <v>12.876215534915207</v>
      </c>
      <c r="P20" s="13">
        <f t="shared" si="33"/>
        <v>4.4071816561985404</v>
      </c>
      <c r="Q20" s="20">
        <f t="shared" si="2"/>
        <v>30.101916774523115</v>
      </c>
      <c r="R20" s="59">
        <f t="shared" si="0"/>
        <v>323.4352501078564</v>
      </c>
      <c r="S20" s="59">
        <f ca="1">AVERAGE(OFFSET($R$3,0,0,'Données projet'!$E$9+1,1))-AVERAGE(OFFSET($H$3,0,0,'Données projet'!$E$9+1,1))</f>
        <v>309.07357540707869</v>
      </c>
      <c r="T20" s="59">
        <f t="shared" si="34"/>
        <v>155.9593924683299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2.5115384615384619</v>
      </c>
      <c r="AI20" s="13">
        <f>IF('Données projet'!$A$62&gt;35,AI19+AH20-AQ19,IF(A20&lt;'Données projet'!$A$62,$AF$205^A20,IF(A20='Données projet'!$A$62,'Données projet'!$B$62,AI19+AH20-AQ19)))</f>
        <v>11.578917241241234</v>
      </c>
      <c r="AJ20" s="13">
        <f>AI20*VLOOKUP('Données projet'!$B$10,Paramètres!$A$1:$I$89,3,0)*VLOOKUP('Données projet'!$B$10,Paramètres!$A$1:$I$89,5,0)</f>
        <v>10.476604319875069</v>
      </c>
      <c r="AK20" s="13">
        <f t="shared" si="35"/>
        <v>3.6729831466207905</v>
      </c>
      <c r="AL20" s="20">
        <f t="shared" si="4"/>
        <v>24.643864837480283</v>
      </c>
      <c r="AM20" s="59">
        <f t="shared" si="5"/>
        <v>317.97719817081361</v>
      </c>
      <c r="AN20" s="59">
        <f ca="1">AVERAGE(OFFSET($AM$3,0,0,'Données projet'!$E$10+1,1))-AVERAGE(OFFSET($H$3,0,0,'Données projet'!$E$10+1,1))</f>
        <v>234.30804102916278</v>
      </c>
      <c r="AO20" s="59">
        <f t="shared" si="36"/>
        <v>91.137993288782411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7.2264102564102561</v>
      </c>
      <c r="BD20" s="12">
        <f>IF('Données projet'!$A$88&gt;35,BD19+BC20-BL19,IF(A20&lt;'Données projet'!$A$88,$BA$205^A20,IF(A20='Données projet'!$A$88,'Données projet'!$B$88,BD19+BC20-BL19)))</f>
        <v>21.074544276434004</v>
      </c>
      <c r="BE20" s="13">
        <f>BD20*VLOOKUP('Données projet'!$B$11,Paramètres!$A$1:$I$89,3,0)*VLOOKUP('Données projet'!$B$11,Paramètres!$A$1:$I$89,5,0)</f>
        <v>9.8628867213711136</v>
      </c>
      <c r="BF20" s="13">
        <f t="shared" si="37"/>
        <v>3.4822026296536168</v>
      </c>
      <c r="BG20" s="20">
        <f t="shared" si="7"/>
        <v>23.24269728636807</v>
      </c>
      <c r="BH20" s="59">
        <f t="shared" si="8"/>
        <v>316.57603061970138</v>
      </c>
      <c r="BI20" s="59">
        <f ca="1">AVERAGE(OFFSET($BH$3,0,0,'Données projet'!$E$11+1,1))-AVERAGE(OFFSET($H$3,0,0,'Données projet'!$E$11+1,1))</f>
        <v>158.58786357608489</v>
      </c>
      <c r="BJ20" s="59">
        <f t="shared" si="38"/>
        <v>163.20074068819849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4.9084615384615384</v>
      </c>
      <c r="BY20" s="12">
        <f>IF('Données projet'!$A$114&gt;35,BY19+BX20-CG19,IF(A20&lt;'Données projet'!$A$114,$BV$205^A20,IF(A20='Données projet'!$A$114,'Données projet'!$B$114,BY19+BX20-CG19)))</f>
        <v>16.926653343761537</v>
      </c>
      <c r="BZ20" s="13">
        <f>BY20*VLOOKUP('Données projet'!$B$12,Paramètres!$A$1:$I$89,3,0)*VLOOKUP('Données projet'!$B$12,Paramètres!$A$1:$I$89,5,0)</f>
        <v>7.9216737648803992</v>
      </c>
      <c r="CA20" s="13">
        <f t="shared" si="39"/>
        <v>2.8691068648319642</v>
      </c>
      <c r="CB20" s="20">
        <f t="shared" si="10"/>
        <v>18.793942930082366</v>
      </c>
      <c r="CC20" s="59">
        <f t="shared" si="11"/>
        <v>312.12727626341569</v>
      </c>
      <c r="CD20" s="59">
        <f ca="1">AVERAGE(OFFSET($CC$3,0,0,'Données projet'!$E$12+1,1))-AVERAGE(OFFSET($H$3,0,0,'Données projet'!$E$12+1,1))</f>
        <v>123.2823358462245</v>
      </c>
      <c r="CE20" s="59">
        <f t="shared" si="40"/>
        <v>92.75115399786057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13.468131868131868</v>
      </c>
      <c r="CT20" s="12">
        <f>IF('Données projet'!$A$140&gt;35,CT19+CS20-DB19,IF(A20&lt;'Données projet'!$A$140,$CQ$205^A20,IF(A20='Données projet'!$A$140,'Données projet'!$B$140,CT19+CS20-DB19)))</f>
        <v>62.643956043956045</v>
      </c>
      <c r="CU20" s="17">
        <f>CT20*VLOOKUP('Données projet'!$B$13,Paramètres!$A$1:$I$89,3,0)*VLOOKUP('Données projet'!$B$13,Paramètres!$A$1:$I$89,5,0)</f>
        <v>37.461085714285716</v>
      </c>
      <c r="CV20" s="13">
        <f t="shared" si="41"/>
        <v>11.323160704188275</v>
      </c>
      <c r="CW20" s="20">
        <f t="shared" si="13"/>
        <v>84.965895845508868</v>
      </c>
      <c r="CX20" s="59">
        <f t="shared" si="14"/>
        <v>378.29922917884221</v>
      </c>
      <c r="CY20" s="59">
        <f ca="1">AVERAGE(OFFSET($CX$3,0,0,'Données projet'!$E$13+1,1))-AVERAGE(OFFSET($H$3,0,0,'Données projet'!$E$13+1,1))</f>
        <v>179.32848817523677</v>
      </c>
      <c r="CZ20" s="59">
        <f t="shared" si="42"/>
        <v>131.3292389103035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3.6141025641025637</v>
      </c>
      <c r="DO20" s="12">
        <f>IF('Données projet'!$A$166&gt;35,DO19+DN20-DW19,IF(A20&lt;'Données projet'!$A$166,$DL$205^A20,IF(A20='Données projet'!$A$166,'Données projet'!$B$166,DO19+DN20-DW19)))</f>
        <v>14.231007443540239</v>
      </c>
      <c r="DP20" s="17">
        <f>DO20*VLOOKUP('Données projet'!$B$14,Paramètres!$A$1:$I$89,3,0)*VLOOKUP('Données projet'!$B$14,Paramètres!$A$1:$I$89,5,0)</f>
        <v>13.764230399392121</v>
      </c>
      <c r="DQ20" s="13">
        <f t="shared" si="43"/>
        <v>4.6746949227235612</v>
      </c>
      <c r="DR20" s="20">
        <f t="shared" si="16"/>
        <v>32.114461602684813</v>
      </c>
      <c r="DS20" s="59">
        <f t="shared" si="17"/>
        <v>325.44779493601811</v>
      </c>
      <c r="DT20" s="59">
        <f ca="1">AVERAGE(OFFSET($DS$3,0,0,'Données projet'!$E$14+1,1))-AVERAGE(OFFSET($H$3,0,0,'Données projet'!$E$14+1,1))</f>
        <v>340.4659523898373</v>
      </c>
      <c r="DU20" s="59">
        <f t="shared" si="44"/>
        <v>170.54530785680572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2.5115384615384619</v>
      </c>
      <c r="EJ20" s="12">
        <f>IF('Données projet'!$A$192&gt;35,EJ19+EI20-ER19,IF(A20&lt;'Données projet'!$A$192,$EG$205^A20,IF(A20='Données projet'!$A$192,'Données projet'!$B$192,EJ19+EI20-ER19)))</f>
        <v>11.578917241241234</v>
      </c>
      <c r="EK20" s="17">
        <f>EJ20*VLOOKUP('Données projet'!$B$15,Paramètres!$A$1:$I$89,3,0)*VLOOKUP('Données projet'!$B$15,Paramètres!$A$1:$I$89,5,0)</f>
        <v>11.199128755728522</v>
      </c>
      <c r="EL20" s="13">
        <f t="shared" si="45"/>
        <v>3.895931006748572</v>
      </c>
      <c r="EM20" s="20">
        <f t="shared" si="19"/>
        <v>26.290562419647603</v>
      </c>
      <c r="EN20" s="59">
        <f t="shared" si="20"/>
        <v>319.6238957529809</v>
      </c>
      <c r="EO20" s="59">
        <f ca="1">AVERAGE(OFFSET($EN$3,0,0,'Données projet'!$E$15+1,1))-AVERAGE(OFFSET($H$3,0,0,'Données projet'!$E$15+1,1))</f>
        <v>262.20955982183017</v>
      </c>
      <c r="EP20" s="59">
        <f t="shared" si="46"/>
        <v>101.35842063036193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4.75</v>
      </c>
      <c r="FE20" s="12">
        <f>IF('Données projet'!$A$218&gt;35,FE19+FD20-FM19,IF(A20&lt;'Données projet'!$A$218,$FB$205^A20,IF(A20='Données projet'!$A$218,'Données projet'!$B$218,FE19+FD20-FM19)))</f>
        <v>47.980532602494719</v>
      </c>
      <c r="FF20" s="17">
        <f>FE20*VLOOKUP('Données projet'!$B$16,Paramètres!$A$1:$I$89,3,0)*VLOOKUP('Données projet'!$B$16,Paramètres!$A$1:$I$89,5,0)</f>
        <v>38.173311738544804</v>
      </c>
      <c r="FG20" s="13">
        <f t="shared" si="47"/>
        <v>11.513173743035207</v>
      </c>
      <c r="FH20" s="20">
        <f t="shared" si="22"/>
        <v>86.537295547085179</v>
      </c>
      <c r="FI20" s="59">
        <f t="shared" si="23"/>
        <v>379.87062888041851</v>
      </c>
      <c r="FJ20" s="59">
        <f ca="1">AVERAGE(OFFSET($FI$3,0,0,'Données projet'!$E$16+1,1))-AVERAGE(OFFSET($H$3,0,0,'Données projet'!$E$16+1,1))</f>
        <v>199.58763537752952</v>
      </c>
      <c r="FK20" s="59">
        <f t="shared" si="48"/>
        <v>242.62852778451929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4.75</v>
      </c>
      <c r="FZ20" s="12">
        <f>IF('Données projet'!$A$244&gt;35,FZ19+FY20-GH19,IF(A20&lt;'Données projet'!$A$244,$FW$205^A20,IF(A20='Données projet'!$A$244,'Données projet'!$B$244,FZ19+FY20-GH19)))</f>
        <v>47.980532602494719</v>
      </c>
      <c r="GA20" s="17">
        <f>FZ20*VLOOKUP('Données projet'!$B$17,Paramètres!$A$1:$I$89,3,0)*VLOOKUP('Données projet'!$B$17,Paramètres!$A$1:$I$89,5,0)</f>
        <v>35.179326504149124</v>
      </c>
      <c r="GB20" s="13">
        <f t="shared" si="49"/>
        <v>10.711535173719932</v>
      </c>
      <c r="GC20" s="20">
        <f t="shared" si="25"/>
        <v>79.926584088955266</v>
      </c>
      <c r="GD20" s="59">
        <f t="shared" si="26"/>
        <v>373.25991742228859</v>
      </c>
      <c r="GE20" s="59">
        <f ca="1">AVERAGE(OFFSET($GD$3,0,0,'Données projet'!$E$17+1,1))-AVERAGE(OFFSET($H$3,0,0,'Données projet'!$E$17+1,1))</f>
        <v>178.12968684094687</v>
      </c>
      <c r="GF20" s="59">
        <f t="shared" si="50"/>
        <v>219.36004077210373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4.75</v>
      </c>
      <c r="GU20" s="12">
        <f>IF('Données projet'!$A$270&gt;35,GU19+GT20-HC19,IF(A20&lt;'Données projet'!$A$270,$GR$205^A20,IF(A20='Données projet'!$A$270,'Données projet'!$B$270,GU19+GT20-HC19)))</f>
        <v>47.980532602494719</v>
      </c>
      <c r="GV20" s="17">
        <f>GU20*VLOOKUP('Données projet'!$B$18,Paramètres!$A$1:$I$89,3,0)*VLOOKUP('Données projet'!$B$18,Paramètres!$A$1:$I$89,5,0)</f>
        <v>38.173311738544804</v>
      </c>
      <c r="GW20" s="13">
        <f t="shared" si="51"/>
        <v>11.513173743035207</v>
      </c>
      <c r="GX20" s="20">
        <f t="shared" si="28"/>
        <v>86.537295547085179</v>
      </c>
      <c r="GY20" s="59">
        <f t="shared" si="29"/>
        <v>379.87062888041851</v>
      </c>
      <c r="GZ20" s="59">
        <f ca="1">AVERAGE(OFFSET($GY$3,0,0,'Données projet'!$E$18+1,1))-AVERAGE(OFFSET($H$3,0,0,'Données projet'!$E$18+1,1))</f>
        <v>199.58763537752952</v>
      </c>
      <c r="HA20" s="59">
        <f t="shared" si="52"/>
        <v>242.62852778451929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3.6141025641025637</v>
      </c>
      <c r="N21" s="13">
        <f>IF('Données projet'!$A$36&gt;35,N20+M21-V20,IF(A21&lt;'Données projet'!$A$36,$K$205^A21,IF(A21='Données projet'!$A$36,'Données projet'!$B$36,N20+M21-V20)))</f>
        <v>16.636924155050774</v>
      </c>
      <c r="O21" s="13">
        <f>N21*VLOOKUP('Données projet'!$B$9,Paramètres!$A$1:$I$89,3,0)*VLOOKUP('Données projet'!$B$9,Paramètres!$A$1:$I$89,5,0)</f>
        <v>15.053088975489938</v>
      </c>
      <c r="P21" s="13">
        <f t="shared" si="33"/>
        <v>5.0594355775449955</v>
      </c>
      <c r="Q21" s="20">
        <f t="shared" si="2"/>
        <v>35.029313596535836</v>
      </c>
      <c r="R21" s="59">
        <f t="shared" si="0"/>
        <v>328.36264692986913</v>
      </c>
      <c r="S21" s="59">
        <f ca="1">AVERAGE(OFFSET($R$3,0,0,'Données projet'!$E$9+1,1))-AVERAGE(OFFSET($H$3,0,0,'Données projet'!$E$9+1,1))</f>
        <v>309.07357540707869</v>
      </c>
      <c r="T21" s="59">
        <f t="shared" si="34"/>
        <v>155.9593924683299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2.5115384615384619</v>
      </c>
      <c r="AI21" s="13">
        <f>IF('Données projet'!$A$62&gt;35,AI20+AH21-AQ20,IF(A21&lt;'Données projet'!$A$62,$AF$205^A21,IF(A21='Données projet'!$A$62,'Données projet'!$B$62,AI20+AH21-AQ20)))</f>
        <v>13.373240436173255</v>
      </c>
      <c r="AJ21" s="13">
        <f>AI21*VLOOKUP('Données projet'!$B$10,Paramètres!$A$1:$I$89,3,0)*VLOOKUP('Données projet'!$B$10,Paramètres!$A$1:$I$89,5,0)</f>
        <v>12.10010794664956</v>
      </c>
      <c r="AK21" s="13">
        <f t="shared" si="35"/>
        <v>4.1716190450721236</v>
      </c>
      <c r="AL21" s="20">
        <f t="shared" si="4"/>
        <v>28.339924510581934</v>
      </c>
      <c r="AM21" s="59">
        <f t="shared" si="5"/>
        <v>321.67325784391522</v>
      </c>
      <c r="AN21" s="59">
        <f ca="1">AVERAGE(OFFSET($AM$3,0,0,'Données projet'!$E$10+1,1))-AVERAGE(OFFSET($H$3,0,0,'Données projet'!$E$10+1,1))</f>
        <v>234.30804102916278</v>
      </c>
      <c r="AO21" s="59">
        <f t="shared" si="36"/>
        <v>91.137993288782411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7.2264102564102561</v>
      </c>
      <c r="BD21" s="12">
        <f>IF('Données projet'!$A$88&gt;35,BD20+BC21-BL20,IF(A21&lt;'Données projet'!$A$88,$BA$205^A21,IF(A21='Données projet'!$A$88,'Données projet'!$B$88,BD20+BC21-BL20)))</f>
        <v>25.213104335913162</v>
      </c>
      <c r="BE21" s="13">
        <f>BD21*VLOOKUP('Données projet'!$B$11,Paramètres!$A$1:$I$89,3,0)*VLOOKUP('Données projet'!$B$11,Paramètres!$A$1:$I$89,5,0)</f>
        <v>11.799732829207361</v>
      </c>
      <c r="BF21" s="13">
        <f t="shared" si="37"/>
        <v>4.079982665155371</v>
      </c>
      <c r="BG21" s="20">
        <f t="shared" si="7"/>
        <v>27.657171152681755</v>
      </c>
      <c r="BH21" s="59">
        <f t="shared" si="8"/>
        <v>320.99050448601508</v>
      </c>
      <c r="BI21" s="59">
        <f ca="1">AVERAGE(OFFSET($BH$3,0,0,'Données projet'!$E$11+1,1))-AVERAGE(OFFSET($H$3,0,0,'Données projet'!$E$11+1,1))</f>
        <v>158.58786357608489</v>
      </c>
      <c r="BJ21" s="59">
        <f t="shared" si="38"/>
        <v>163.20074068819849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4.9084615384615384</v>
      </c>
      <c r="BY21" s="12">
        <f>IF('Données projet'!$A$114&gt;35,BY20+BX21-CG20,IF(A21&lt;'Données projet'!$A$114,$BV$205^A21,IF(A21='Données projet'!$A$114,'Données projet'!$B$114,BY20+BX21-CG20)))</f>
        <v>19.991251747746755</v>
      </c>
      <c r="BZ21" s="13">
        <f>BY21*VLOOKUP('Données projet'!$B$12,Paramètres!$A$1:$I$89,3,0)*VLOOKUP('Données projet'!$B$12,Paramètres!$A$1:$I$89,5,0)</f>
        <v>9.3559058179454802</v>
      </c>
      <c r="CA21" s="13">
        <f t="shared" si="39"/>
        <v>3.3235599293549551</v>
      </c>
      <c r="CB21" s="20">
        <f t="shared" si="10"/>
        <v>22.083402843214927</v>
      </c>
      <c r="CC21" s="59">
        <f t="shared" si="11"/>
        <v>315.41673617654823</v>
      </c>
      <c r="CD21" s="59">
        <f ca="1">AVERAGE(OFFSET($CC$3,0,0,'Données projet'!$E$12+1,1))-AVERAGE(OFFSET($H$3,0,0,'Données projet'!$E$12+1,1))</f>
        <v>123.2823358462245</v>
      </c>
      <c r="CE21" s="59">
        <f t="shared" si="40"/>
        <v>92.75115399786057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13.468131868131868</v>
      </c>
      <c r="CT21" s="12">
        <f>IF('Données projet'!$A$140&gt;35,CT20+CS21-DB20,IF(A21&lt;'Données projet'!$A$140,$CQ$205^A21,IF(A21='Données projet'!$A$140,'Données projet'!$B$140,CT20+CS21-DB20)))</f>
        <v>76.112087912087915</v>
      </c>
      <c r="CU21" s="17">
        <f>CT21*VLOOKUP('Données projet'!$B$13,Paramètres!$A$1:$I$89,3,0)*VLOOKUP('Données projet'!$B$13,Paramètres!$A$1:$I$89,5,0)</f>
        <v>45.515028571428573</v>
      </c>
      <c r="CV21" s="13">
        <f t="shared" si="41"/>
        <v>13.449237521387609</v>
      </c>
      <c r="CW21" s="20">
        <f t="shared" si="13"/>
        <v>102.69609677832152</v>
      </c>
      <c r="CX21" s="59">
        <f t="shared" si="14"/>
        <v>396.02943011165485</v>
      </c>
      <c r="CY21" s="59">
        <f ca="1">AVERAGE(OFFSET($CX$3,0,0,'Données projet'!$E$13+1,1))-AVERAGE(OFFSET($H$3,0,0,'Données projet'!$E$13+1,1))</f>
        <v>179.32848817523677</v>
      </c>
      <c r="CZ21" s="59">
        <f t="shared" si="42"/>
        <v>131.3292389103035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3.6141025641025637</v>
      </c>
      <c r="DO21" s="12">
        <f>IF('Données projet'!$A$166&gt;35,DO20+DN21-DW20,IF(A21&lt;'Données projet'!$A$166,$DL$205^A21,IF(A21='Données projet'!$A$166,'Données projet'!$B$166,DO20+DN21-DW20)))</f>
        <v>16.636924155050774</v>
      </c>
      <c r="DP21" s="17">
        <f>DO21*VLOOKUP('Données projet'!$B$14,Paramètres!$A$1:$I$89,3,0)*VLOOKUP('Données projet'!$B$14,Paramètres!$A$1:$I$89,5,0)</f>
        <v>16.091233042765108</v>
      </c>
      <c r="DQ21" s="13">
        <f t="shared" si="43"/>
        <v>5.3665402634202364</v>
      </c>
      <c r="DR21" s="20">
        <f t="shared" si="16"/>
        <v>37.37228850827281</v>
      </c>
      <c r="DS21" s="59">
        <f t="shared" si="17"/>
        <v>330.7056218416061</v>
      </c>
      <c r="DT21" s="59">
        <f ca="1">AVERAGE(OFFSET($DS$3,0,0,'Données projet'!$E$14+1,1))-AVERAGE(OFFSET($H$3,0,0,'Données projet'!$E$14+1,1))</f>
        <v>340.4659523898373</v>
      </c>
      <c r="DU21" s="59">
        <f t="shared" si="44"/>
        <v>170.54530785680572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2.5115384615384619</v>
      </c>
      <c r="EJ21" s="12">
        <f>IF('Données projet'!$A$192&gt;35,EJ20+EI21-ER20,IF(A21&lt;'Données projet'!$A$192,$EG$205^A21,IF(A21='Données projet'!$A$192,'Données projet'!$B$192,EJ20+EI21-ER20)))</f>
        <v>13.373240436173255</v>
      </c>
      <c r="EK21" s="17">
        <f>EJ21*VLOOKUP('Données projet'!$B$15,Paramètres!$A$1:$I$89,3,0)*VLOOKUP('Données projet'!$B$15,Paramètres!$A$1:$I$89,5,0)</f>
        <v>12.934598149866773</v>
      </c>
      <c r="EL21" s="13">
        <f t="shared" si="45"/>
        <v>4.4248338032783519</v>
      </c>
      <c r="EM21" s="20">
        <f t="shared" si="19"/>
        <v>30.234343985061098</v>
      </c>
      <c r="EN21" s="59">
        <f t="shared" si="20"/>
        <v>323.56767731839443</v>
      </c>
      <c r="EO21" s="59">
        <f ca="1">AVERAGE(OFFSET($EN$3,0,0,'Données projet'!$E$15+1,1))-AVERAGE(OFFSET($H$3,0,0,'Données projet'!$E$15+1,1))</f>
        <v>262.20955982183017</v>
      </c>
      <c r="EP21" s="59">
        <f t="shared" si="46"/>
        <v>101.35842063036193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4.75</v>
      </c>
      <c r="FE21" s="12">
        <f>IF('Données projet'!$A$218&gt;35,FE20+FD21-FM20,IF(A21&lt;'Données projet'!$A$218,$FB$205^A21,IF(A21='Données projet'!$A$218,'Données projet'!$B$218,FE20+FD21-FM20)))</f>
        <v>60.249194467085609</v>
      </c>
      <c r="FF21" s="17">
        <f>FE21*VLOOKUP('Données projet'!$B$16,Paramètres!$A$1:$I$89,3,0)*VLOOKUP('Données projet'!$B$16,Paramètres!$A$1:$I$89,5,0)</f>
        <v>47.934259118013308</v>
      </c>
      <c r="FG21" s="13">
        <f t="shared" si="47"/>
        <v>14.078970127192205</v>
      </c>
      <c r="FH21" s="20">
        <f t="shared" si="22"/>
        <v>108.00637426873294</v>
      </c>
      <c r="FI21" s="59">
        <f t="shared" si="23"/>
        <v>401.33970760206626</v>
      </c>
      <c r="FJ21" s="59">
        <f ca="1">AVERAGE(OFFSET($FI$3,0,0,'Données projet'!$E$16+1,1))-AVERAGE(OFFSET($H$3,0,0,'Données projet'!$E$16+1,1))</f>
        <v>199.58763537752952</v>
      </c>
      <c r="FK21" s="59">
        <f t="shared" si="48"/>
        <v>242.62852778451929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4.75</v>
      </c>
      <c r="FZ21" s="12">
        <f>IF('Données projet'!$A$244&gt;35,FZ20+FY21-GH20,IF(A21&lt;'Données projet'!$A$244,$FW$205^A21,IF(A21='Données projet'!$A$244,'Données projet'!$B$244,FZ20+FY21-GH20)))</f>
        <v>60.249194467085609</v>
      </c>
      <c r="GA21" s="17">
        <f>FZ21*VLOOKUP('Données projet'!$B$17,Paramètres!$A$1:$I$89,3,0)*VLOOKUP('Données projet'!$B$17,Paramètres!$A$1:$I$89,5,0)</f>
        <v>44.174709383267164</v>
      </c>
      <c r="GB21" s="13">
        <f t="shared" si="49"/>
        <v>13.098680441472636</v>
      </c>
      <c r="GC21" s="20">
        <f t="shared" si="25"/>
        <v>99.75115394475516</v>
      </c>
      <c r="GD21" s="59">
        <f t="shared" si="26"/>
        <v>393.08448727808849</v>
      </c>
      <c r="GE21" s="59">
        <f ca="1">AVERAGE(OFFSET($GD$3,0,0,'Données projet'!$E$17+1,1))-AVERAGE(OFFSET($H$3,0,0,'Données projet'!$E$17+1,1))</f>
        <v>178.12968684094687</v>
      </c>
      <c r="GF21" s="59">
        <f t="shared" si="50"/>
        <v>219.36004077210373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4.75</v>
      </c>
      <c r="GU21" s="12">
        <f>IF('Données projet'!$A$270&gt;35,GU20+GT21-HC20,IF(A21&lt;'Données projet'!$A$270,$GR$205^A21,IF(A21='Données projet'!$A$270,'Données projet'!$B$270,GU20+GT21-HC20)))</f>
        <v>60.249194467085609</v>
      </c>
      <c r="GV21" s="17">
        <f>GU21*VLOOKUP('Données projet'!$B$18,Paramètres!$A$1:$I$89,3,0)*VLOOKUP('Données projet'!$B$18,Paramètres!$A$1:$I$89,5,0)</f>
        <v>47.934259118013308</v>
      </c>
      <c r="GW21" s="13">
        <f t="shared" si="51"/>
        <v>14.078970127192205</v>
      </c>
      <c r="GX21" s="20">
        <f t="shared" si="28"/>
        <v>108.00637426873294</v>
      </c>
      <c r="GY21" s="59">
        <f t="shared" si="29"/>
        <v>401.33970760206626</v>
      </c>
      <c r="GZ21" s="59">
        <f ca="1">AVERAGE(OFFSET($GY$3,0,0,'Données projet'!$E$18+1,1))-AVERAGE(OFFSET($H$3,0,0,'Données projet'!$E$18+1,1))</f>
        <v>199.58763537752952</v>
      </c>
      <c r="HA21" s="59">
        <f t="shared" si="52"/>
        <v>242.62852778451929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3.6141025641025637</v>
      </c>
      <c r="N22" s="13">
        <f>IF('Données projet'!$A$36&gt;35,N21+M22-V21,IF(A22&lt;'Données projet'!$A$36,$K$205^A22,IF(A22='Données projet'!$A$36,'Données projet'!$B$36,N21+M22-V21)))</f>
        <v>19.449588965435588</v>
      </c>
      <c r="O22" s="13">
        <f>N22*VLOOKUP('Données projet'!$B$9,Paramètres!$A$1:$I$89,3,0)*VLOOKUP('Données projet'!$B$9,Paramètres!$A$1:$I$89,5,0)</f>
        <v>17.597988095926119</v>
      </c>
      <c r="P22" s="13">
        <f t="shared" si="33"/>
        <v>5.8082217526308648</v>
      </c>
      <c r="Q22" s="20">
        <f t="shared" si="2"/>
        <v>40.765815486236747</v>
      </c>
      <c r="R22" s="59">
        <f t="shared" si="0"/>
        <v>334.09914881957008</v>
      </c>
      <c r="S22" s="59">
        <f ca="1">AVERAGE(OFFSET($R$3,0,0,'Données projet'!$E$9+1,1))-AVERAGE(OFFSET($H$3,0,0,'Données projet'!$E$9+1,1))</f>
        <v>309.07357540707869</v>
      </c>
      <c r="T22" s="59">
        <f t="shared" si="34"/>
        <v>155.9593924683299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2.5115384615384619</v>
      </c>
      <c r="AI22" s="13">
        <f>IF('Données projet'!$A$62&gt;35,AI21+AH22-AQ21,IF(A22&lt;'Données projet'!$A$62,$AF$205^A22,IF(A22='Données projet'!$A$62,'Données projet'!$B$62,AI21+AH22-AQ21)))</f>
        <v>15.445620349258824</v>
      </c>
      <c r="AJ22" s="13">
        <f>AI22*VLOOKUP('Données projet'!$B$10,Paramètres!$A$1:$I$89,3,0)*VLOOKUP('Données projet'!$B$10,Paramètres!$A$1:$I$89,5,0)</f>
        <v>13.975197292009385</v>
      </c>
      <c r="AK22" s="13">
        <f t="shared" si="35"/>
        <v>4.7379486271857729</v>
      </c>
      <c r="AL22" s="20">
        <f t="shared" si="4"/>
        <v>32.592062475931563</v>
      </c>
      <c r="AM22" s="59">
        <f t="shared" si="5"/>
        <v>325.9253958092649</v>
      </c>
      <c r="AN22" s="59">
        <f ca="1">AVERAGE(OFFSET($AM$3,0,0,'Données projet'!$E$10+1,1))-AVERAGE(OFFSET($H$3,0,0,'Données projet'!$E$10+1,1))</f>
        <v>234.30804102916278</v>
      </c>
      <c r="AO22" s="59">
        <f t="shared" si="36"/>
        <v>91.137993288782411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7.2264102564102561</v>
      </c>
      <c r="BD22" s="12">
        <f>IF('Données projet'!$A$88&gt;35,BD21+BC22-BL21,IF(A22&lt;'Données projet'!$A$88,$BA$205^A22,IF(A22='Données projet'!$A$88,'Données projet'!$B$88,BD21+BC22-BL21)))</f>
        <v>30.164383244315122</v>
      </c>
      <c r="BE22" s="13">
        <f>BD22*VLOOKUP('Données projet'!$B$11,Paramètres!$A$1:$I$89,3,0)*VLOOKUP('Données projet'!$B$11,Paramètres!$A$1:$I$89,5,0)</f>
        <v>14.116931358339476</v>
      </c>
      <c r="BF22" s="13">
        <f t="shared" si="37"/>
        <v>4.7803819359082427</v>
      </c>
      <c r="BG22" s="20">
        <f t="shared" si="7"/>
        <v>32.912820654148106</v>
      </c>
      <c r="BH22" s="59">
        <f t="shared" si="8"/>
        <v>326.24615398748142</v>
      </c>
      <c r="BI22" s="59">
        <f ca="1">AVERAGE(OFFSET($BH$3,0,0,'Données projet'!$E$11+1,1))-AVERAGE(OFFSET($H$3,0,0,'Données projet'!$E$11+1,1))</f>
        <v>158.58786357608489</v>
      </c>
      <c r="BJ22" s="59">
        <f t="shared" si="38"/>
        <v>163.20074068819849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4.9084615384615384</v>
      </c>
      <c r="BY22" s="12">
        <f>IF('Données projet'!$A$114&gt;35,BY21+BX22-CG21,IF(A22&lt;'Données projet'!$A$114,$BV$205^A22,IF(A22='Données projet'!$A$114,'Données projet'!$B$114,BY21+BX22-CG21)))</f>
        <v>23.610700728923604</v>
      </c>
      <c r="BZ22" s="13">
        <f>BY22*VLOOKUP('Données projet'!$B$12,Paramètres!$A$1:$I$89,3,0)*VLOOKUP('Données projet'!$B$12,Paramètres!$A$1:$I$89,5,0)</f>
        <v>11.049807941136248</v>
      </c>
      <c r="CA22" s="13">
        <f t="shared" si="39"/>
        <v>3.8499962268435248</v>
      </c>
      <c r="CB22" s="20">
        <f t="shared" si="10"/>
        <v>25.950492259231435</v>
      </c>
      <c r="CC22" s="59">
        <f t="shared" si="11"/>
        <v>319.28382559256477</v>
      </c>
      <c r="CD22" s="59">
        <f ca="1">AVERAGE(OFFSET($CC$3,0,0,'Données projet'!$E$12+1,1))-AVERAGE(OFFSET($H$3,0,0,'Données projet'!$E$12+1,1))</f>
        <v>123.2823358462245</v>
      </c>
      <c r="CE22" s="59">
        <f t="shared" si="40"/>
        <v>92.75115399786057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13.468131868131868</v>
      </c>
      <c r="CT22" s="12">
        <f>IF('Données projet'!$A$140&gt;35,CT21+CS22-DB21,IF(A22&lt;'Données projet'!$A$140,$CQ$205^A22,IF(A22='Données projet'!$A$140,'Données projet'!$B$140,CT21+CS22-DB21)))</f>
        <v>89.580219780219778</v>
      </c>
      <c r="CU22" s="17">
        <f>CT22*VLOOKUP('Données projet'!$B$13,Paramètres!$A$1:$I$89,3,0)*VLOOKUP('Données projet'!$B$13,Paramètres!$A$1:$I$89,5,0)</f>
        <v>53.56897142857143</v>
      </c>
      <c r="CV22" s="13">
        <f t="shared" si="41"/>
        <v>15.531731116329365</v>
      </c>
      <c r="CW22" s="20">
        <f t="shared" si="13"/>
        <v>120.35039026570223</v>
      </c>
      <c r="CX22" s="59">
        <f t="shared" si="14"/>
        <v>413.68372359903555</v>
      </c>
      <c r="CY22" s="59">
        <f ca="1">AVERAGE(OFFSET($CX$3,0,0,'Données projet'!$E$13+1,1))-AVERAGE(OFFSET($H$3,0,0,'Données projet'!$E$13+1,1))</f>
        <v>179.32848817523677</v>
      </c>
      <c r="CZ22" s="59">
        <f t="shared" si="42"/>
        <v>131.3292389103035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3.6141025641025637</v>
      </c>
      <c r="DO22" s="12">
        <f>IF('Données projet'!$A$166&gt;35,DO21+DN22-DW21,IF(A22&lt;'Données projet'!$A$166,$DL$205^A22,IF(A22='Données projet'!$A$166,'Données projet'!$B$166,DO21+DN22-DW21)))</f>
        <v>19.449588965435588</v>
      </c>
      <c r="DP22" s="17">
        <f>DO22*VLOOKUP('Données projet'!$B$14,Paramètres!$A$1:$I$89,3,0)*VLOOKUP('Données projet'!$B$14,Paramètres!$A$1:$I$89,5,0)</f>
        <v>18.811642447369302</v>
      </c>
      <c r="DQ22" s="13">
        <f t="shared" si="43"/>
        <v>6.1607773073951293</v>
      </c>
      <c r="DR22" s="20">
        <f t="shared" si="16"/>
        <v>43.493631072881378</v>
      </c>
      <c r="DS22" s="59">
        <f t="shared" si="17"/>
        <v>336.8269644062147</v>
      </c>
      <c r="DT22" s="59">
        <f ca="1">AVERAGE(OFFSET($DS$3,0,0,'Données projet'!$E$14+1,1))-AVERAGE(OFFSET($H$3,0,0,'Données projet'!$E$14+1,1))</f>
        <v>340.4659523898373</v>
      </c>
      <c r="DU22" s="59">
        <f t="shared" si="44"/>
        <v>170.54530785680572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2.5115384615384619</v>
      </c>
      <c r="EJ22" s="12">
        <f>IF('Données projet'!$A$192&gt;35,EJ21+EI22-ER21,IF(A22&lt;'Données projet'!$A$192,$EG$205^A22,IF(A22='Données projet'!$A$192,'Données projet'!$B$192,EJ21+EI22-ER21)))</f>
        <v>15.445620349258824</v>
      </c>
      <c r="EK22" s="17">
        <f>EJ22*VLOOKUP('Données projet'!$B$15,Paramètres!$A$1:$I$89,3,0)*VLOOKUP('Données projet'!$B$15,Paramètres!$A$1:$I$89,5,0)</f>
        <v>14.939004001803136</v>
      </c>
      <c r="EL22" s="13">
        <f t="shared" si="45"/>
        <v>5.0255392492114321</v>
      </c>
      <c r="EM22" s="20">
        <f t="shared" si="19"/>
        <v>34.771579495517038</v>
      </c>
      <c r="EN22" s="59">
        <f t="shared" si="20"/>
        <v>328.10491282885033</v>
      </c>
      <c r="EO22" s="59">
        <f ca="1">AVERAGE(OFFSET($EN$3,0,0,'Données projet'!$E$15+1,1))-AVERAGE(OFFSET($H$3,0,0,'Données projet'!$E$15+1,1))</f>
        <v>262.20955982183017</v>
      </c>
      <c r="EP22" s="59">
        <f t="shared" si="46"/>
        <v>101.35842063036193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4.75</v>
      </c>
      <c r="FE22" s="12">
        <f>IF('Données projet'!$A$218&gt;35,FE21+FD22-FM21,IF(A22&lt;'Données projet'!$A$218,$FB$205^A22,IF(A22='Données projet'!$A$218,'Données projet'!$B$218,FE21+FD22-FM21)))</f>
        <v>75.65496331618381</v>
      </c>
      <c r="FF22" s="17">
        <f>FE22*VLOOKUP('Données projet'!$B$16,Paramètres!$A$1:$I$89,3,0)*VLOOKUP('Données projet'!$B$16,Paramètres!$A$1:$I$89,5,0)</f>
        <v>60.191088814355844</v>
      </c>
      <c r="FG22" s="13">
        <f t="shared" si="47"/>
        <v>17.216573315614252</v>
      </c>
      <c r="FH22" s="20">
        <f t="shared" si="22"/>
        <v>134.81834487636456</v>
      </c>
      <c r="FI22" s="59">
        <f t="shared" si="23"/>
        <v>428.15167820969788</v>
      </c>
      <c r="FJ22" s="59">
        <f ca="1">AVERAGE(OFFSET($FI$3,0,0,'Données projet'!$E$16+1,1))-AVERAGE(OFFSET($H$3,0,0,'Données projet'!$E$16+1,1))</f>
        <v>199.58763537752952</v>
      </c>
      <c r="FK22" s="59">
        <f t="shared" si="48"/>
        <v>242.62852778451929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4.75</v>
      </c>
      <c r="FZ22" s="12">
        <f>IF('Données projet'!$A$244&gt;35,FZ21+FY22-GH21,IF(A22&lt;'Données projet'!$A$244,$FW$205^A22,IF(A22='Données projet'!$A$244,'Données projet'!$B$244,FZ21+FY22-GH21)))</f>
        <v>75.65496331618381</v>
      </c>
      <c r="GA22" s="17">
        <f>FZ22*VLOOKUP('Données projet'!$B$17,Paramètres!$A$1:$I$89,3,0)*VLOOKUP('Données projet'!$B$17,Paramètres!$A$1:$I$89,5,0)</f>
        <v>55.470219103425968</v>
      </c>
      <c r="GB22" s="13">
        <f t="shared" si="49"/>
        <v>16.017818783694715</v>
      </c>
      <c r="GC22" s="20">
        <f t="shared" si="25"/>
        <v>124.50833265340184</v>
      </c>
      <c r="GD22" s="59">
        <f t="shared" si="26"/>
        <v>417.84166598673517</v>
      </c>
      <c r="GE22" s="59">
        <f ca="1">AVERAGE(OFFSET($GD$3,0,0,'Données projet'!$E$17+1,1))-AVERAGE(OFFSET($H$3,0,0,'Données projet'!$E$17+1,1))</f>
        <v>178.12968684094687</v>
      </c>
      <c r="GF22" s="59">
        <f t="shared" si="50"/>
        <v>219.36004077210373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4.75</v>
      </c>
      <c r="GU22" s="12">
        <f>IF('Données projet'!$A$270&gt;35,GU21+GT22-HC21,IF(A22&lt;'Données projet'!$A$270,$GR$205^A22,IF(A22='Données projet'!$A$270,'Données projet'!$B$270,GU21+GT22-HC21)))</f>
        <v>75.65496331618381</v>
      </c>
      <c r="GV22" s="17">
        <f>GU22*VLOOKUP('Données projet'!$B$18,Paramètres!$A$1:$I$89,3,0)*VLOOKUP('Données projet'!$B$18,Paramètres!$A$1:$I$89,5,0)</f>
        <v>60.191088814355844</v>
      </c>
      <c r="GW22" s="13">
        <f t="shared" si="51"/>
        <v>17.216573315614252</v>
      </c>
      <c r="GX22" s="20">
        <f t="shared" si="28"/>
        <v>134.81834487636456</v>
      </c>
      <c r="GY22" s="59">
        <f t="shared" si="29"/>
        <v>428.15167820969788</v>
      </c>
      <c r="GZ22" s="59">
        <f ca="1">AVERAGE(OFFSET($GY$3,0,0,'Données projet'!$E$18+1,1))-AVERAGE(OFFSET($H$3,0,0,'Données projet'!$E$18+1,1))</f>
        <v>199.58763537752952</v>
      </c>
      <c r="HA22" s="59">
        <f t="shared" si="52"/>
        <v>242.62852778451929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3.6141025641025637</v>
      </c>
      <c r="N23" s="13">
        <f>IF('Données projet'!$A$36&gt;35,N22+M23-V22,IF(A23&lt;'Données projet'!$A$36,$K$205^A23,IF(A23='Données projet'!$A$36,'Données projet'!$B$36,N22+M23-V22)))</f>
        <v>22.73776735404245</v>
      </c>
      <c r="O23" s="13">
        <f>N23*VLOOKUP('Données projet'!$B$9,Paramètres!$A$1:$I$89,3,0)*VLOOKUP('Données projet'!$B$9,Paramètres!$A$1:$I$89,5,0)</f>
        <v>20.573131901937611</v>
      </c>
      <c r="P23" s="13">
        <f t="shared" si="33"/>
        <v>6.6678267586725299</v>
      </c>
      <c r="Q23" s="20">
        <f t="shared" si="2"/>
        <v>47.444669667229327</v>
      </c>
      <c r="R23" s="59">
        <f t="shared" si="0"/>
        <v>340.77800300056265</v>
      </c>
      <c r="S23" s="59">
        <f ca="1">AVERAGE(OFFSET($R$3,0,0,'Données projet'!$E$9+1,1))-AVERAGE(OFFSET($H$3,0,0,'Données projet'!$E$9+1,1))</f>
        <v>309.07357540707869</v>
      </c>
      <c r="T23" s="59">
        <f t="shared" si="34"/>
        <v>155.9593924683299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2.5115384615384619</v>
      </c>
      <c r="AI23" s="13">
        <f>IF('Données projet'!$A$62&gt;35,AI22+AH23-AQ22,IF(A23&lt;'Données projet'!$A$62,$AF$205^A23,IF(A23='Données projet'!$A$62,'Données projet'!$B$62,AI22+AH23-AQ22)))</f>
        <v>17.839145950605833</v>
      </c>
      <c r="AJ23" s="13">
        <f>AI23*VLOOKUP('Données projet'!$B$10,Paramètres!$A$1:$I$89,3,0)*VLOOKUP('Données projet'!$B$10,Paramètres!$A$1:$I$89,5,0)</f>
        <v>16.140859256108158</v>
      </c>
      <c r="AK23" s="13">
        <f t="shared" si="35"/>
        <v>5.3811618346045424</v>
      </c>
      <c r="AL23" s="20">
        <f t="shared" si="4"/>
        <v>37.484186732991283</v>
      </c>
      <c r="AM23" s="59">
        <f t="shared" si="5"/>
        <v>330.81752006632462</v>
      </c>
      <c r="AN23" s="59">
        <f ca="1">AVERAGE(OFFSET($AM$3,0,0,'Données projet'!$E$10+1,1))-AVERAGE(OFFSET($H$3,0,0,'Données projet'!$E$10+1,1))</f>
        <v>234.30804102916278</v>
      </c>
      <c r="AO23" s="59">
        <f t="shared" si="36"/>
        <v>91.137993288782411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7.2264102564102561</v>
      </c>
      <c r="BD23" s="12">
        <f>IF('Données projet'!$A$88&gt;35,BD22+BC23-BL22,IF(A23&lt;'Données projet'!$A$88,$BA$205^A23,IF(A23='Données projet'!$A$88,'Données projet'!$B$88,BD22+BC23-BL22)))</f>
        <v>36.0879804560157</v>
      </c>
      <c r="BE23" s="13">
        <f>BD23*VLOOKUP('Données projet'!$B$11,Paramètres!$A$1:$I$89,3,0)*VLOOKUP('Données projet'!$B$11,Paramètres!$A$1:$I$89,5,0)</f>
        <v>16.889174853415348</v>
      </c>
      <c r="BF23" s="13">
        <f t="shared" si="37"/>
        <v>5.6010168004690764</v>
      </c>
      <c r="BG23" s="20">
        <f t="shared" si="7"/>
        <v>39.170417130515368</v>
      </c>
      <c r="BH23" s="59">
        <f t="shared" si="8"/>
        <v>332.50375046384869</v>
      </c>
      <c r="BI23" s="59">
        <f ca="1">AVERAGE(OFFSET($BH$3,0,0,'Données projet'!$E$11+1,1))-AVERAGE(OFFSET($H$3,0,0,'Données projet'!$E$11+1,1))</f>
        <v>158.58786357608489</v>
      </c>
      <c r="BJ23" s="59">
        <f t="shared" si="38"/>
        <v>163.20074068819849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4.9084615384615384</v>
      </c>
      <c r="BY23" s="12">
        <f>IF('Données projet'!$A$114&gt;35,BY22+BX23-CG22,IF(A23&lt;'Données projet'!$A$114,$BV$205^A23,IF(A23='Données projet'!$A$114,'Données projet'!$B$114,BY22+BX23-CG22)))</f>
        <v>27.885456896095882</v>
      </c>
      <c r="BZ23" s="13">
        <f>BY23*VLOOKUP('Données projet'!$B$12,Paramètres!$A$1:$I$89,3,0)*VLOOKUP('Données projet'!$B$12,Paramètres!$A$1:$I$89,5,0)</f>
        <v>13.050393827372874</v>
      </c>
      <c r="CA23" s="13">
        <f t="shared" si="39"/>
        <v>4.459817563628576</v>
      </c>
      <c r="CB23" s="20">
        <f t="shared" si="10"/>
        <v>30.49695150599419</v>
      </c>
      <c r="CC23" s="59">
        <f t="shared" si="11"/>
        <v>323.83028483932753</v>
      </c>
      <c r="CD23" s="59">
        <f ca="1">AVERAGE(OFFSET($CC$3,0,0,'Données projet'!$E$12+1,1))-AVERAGE(OFFSET($H$3,0,0,'Données projet'!$E$12+1,1))</f>
        <v>123.2823358462245</v>
      </c>
      <c r="CE23" s="59">
        <f t="shared" si="40"/>
        <v>92.75115399786057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13.468131868131868</v>
      </c>
      <c r="CT23" s="12">
        <f>IF('Données projet'!$A$140&gt;35,CT22+CS23-DB22,IF(A23&lt;'Données projet'!$A$140,$CQ$205^A23,IF(A23='Données projet'!$A$140,'Données projet'!$B$140,CT22+CS23-DB22)))</f>
        <v>103.04835164835164</v>
      </c>
      <c r="CU23" s="17">
        <f>CT23*VLOOKUP('Données projet'!$B$13,Paramètres!$A$1:$I$89,3,0)*VLOOKUP('Données projet'!$B$13,Paramètres!$A$1:$I$89,5,0)</f>
        <v>61.622914285714288</v>
      </c>
      <c r="CV23" s="13">
        <f t="shared" si="41"/>
        <v>17.577953130673084</v>
      </c>
      <c r="CW23" s="20">
        <f t="shared" si="13"/>
        <v>137.94151075020798</v>
      </c>
      <c r="CX23" s="59">
        <f t="shared" si="14"/>
        <v>431.27484408354132</v>
      </c>
      <c r="CY23" s="59">
        <f ca="1">AVERAGE(OFFSET($CX$3,0,0,'Données projet'!$E$13+1,1))-AVERAGE(OFFSET($H$3,0,0,'Données projet'!$E$13+1,1))</f>
        <v>179.32848817523677</v>
      </c>
      <c r="CZ23" s="59">
        <f t="shared" si="42"/>
        <v>131.3292389103035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3.6141025641025637</v>
      </c>
      <c r="DO23" s="12">
        <f>IF('Données projet'!$A$166&gt;35,DO22+DN23-DW22,IF(A23&lt;'Données projet'!$A$166,$DL$205^A23,IF(A23='Données projet'!$A$166,'Données projet'!$B$166,DO22+DN23-DW22)))</f>
        <v>22.73776735404245</v>
      </c>
      <c r="DP23" s="17">
        <f>DO23*VLOOKUP('Données projet'!$B$14,Paramètres!$A$1:$I$89,3,0)*VLOOKUP('Données projet'!$B$14,Paramètres!$A$1:$I$89,5,0)</f>
        <v>21.991968584829859</v>
      </c>
      <c r="DQ23" s="13">
        <f t="shared" si="43"/>
        <v>7.0725598184788296</v>
      </c>
      <c r="DR23" s="20">
        <f t="shared" si="16"/>
        <v>50.620720302429298</v>
      </c>
      <c r="DS23" s="59">
        <f t="shared" si="17"/>
        <v>343.95405363576259</v>
      </c>
      <c r="DT23" s="59">
        <f ca="1">AVERAGE(OFFSET($DS$3,0,0,'Données projet'!$E$14+1,1))-AVERAGE(OFFSET($H$3,0,0,'Données projet'!$E$14+1,1))</f>
        <v>340.4659523898373</v>
      </c>
      <c r="DU23" s="59">
        <f t="shared" si="44"/>
        <v>170.54530785680572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2.5115384615384619</v>
      </c>
      <c r="EJ23" s="12">
        <f>IF('Données projet'!$A$192&gt;35,EJ22+EI23-ER22,IF(A23&lt;'Données projet'!$A$192,$EG$205^A23,IF(A23='Données projet'!$A$192,'Données projet'!$B$192,EJ22+EI23-ER22)))</f>
        <v>17.839145950605833</v>
      </c>
      <c r="EK23" s="17">
        <f>EJ23*VLOOKUP('Données projet'!$B$15,Paramètres!$A$1:$I$89,3,0)*VLOOKUP('Données projet'!$B$15,Paramètres!$A$1:$I$89,5,0)</f>
        <v>17.254021963425963</v>
      </c>
      <c r="EL23" s="13">
        <f t="shared" si="45"/>
        <v>5.7077951101016389</v>
      </c>
      <c r="EM23" s="20">
        <f t="shared" si="19"/>
        <v>39.991831403060566</v>
      </c>
      <c r="EN23" s="59">
        <f t="shared" si="20"/>
        <v>333.3251647363939</v>
      </c>
      <c r="EO23" s="59">
        <f ca="1">AVERAGE(OFFSET($EN$3,0,0,'Données projet'!$E$15+1,1))-AVERAGE(OFFSET($H$3,0,0,'Données projet'!$E$15+1,1))</f>
        <v>262.20955982183017</v>
      </c>
      <c r="EP23" s="59">
        <f t="shared" si="46"/>
        <v>101.35842063036193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95</v>
      </c>
      <c r="FC23" s="12">
        <f>VLOOKUP(A23,'Données projet'!$A$217:$I$237,9,0)</f>
        <v>4.75</v>
      </c>
      <c r="FD23" s="12">
        <f t="array" ref="FD23">INDEX(FC:FC,MIN(IF(ISNUMBER(FC23:FC219),ROW(FC23:FC219),"")))</f>
        <v>4.75</v>
      </c>
      <c r="FE23" s="12">
        <f>IF('Données projet'!$A$218&gt;35,FE22+FD23-FM22,IF(A23&lt;'Données projet'!$A$218,$FB$205^A23,IF(A23='Données projet'!$A$218,'Données projet'!$B$218,FE22+FD23-FM22)))</f>
        <v>95</v>
      </c>
      <c r="FF23" s="17">
        <f>FE23*VLOOKUP('Données projet'!$B$16,Paramètres!$A$1:$I$89,3,0)*VLOOKUP('Données projet'!$B$16,Paramètres!$A$1:$I$89,5,0)</f>
        <v>75.582000000000008</v>
      </c>
      <c r="FG23" s="13">
        <f t="shared" si="47"/>
        <v>21.053414706764137</v>
      </c>
      <c r="FH23" s="20">
        <f t="shared" si="22"/>
        <v>168.30668061428091</v>
      </c>
      <c r="FI23" s="59">
        <f t="shared" si="23"/>
        <v>461.64001394761419</v>
      </c>
      <c r="FJ23" s="59">
        <f ca="1">AVERAGE(OFFSET($FI$3,0,0,'Données projet'!$E$16+1,1))-AVERAGE(OFFSET($H$3,0,0,'Données projet'!$E$16+1,1))</f>
        <v>199.58763537752952</v>
      </c>
      <c r="FK23" s="59">
        <f t="shared" si="48"/>
        <v>242.62852778451929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43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0.13250000000000001</v>
      </c>
      <c r="FP23" s="16">
        <f>IF(ISNA(VLOOKUP(A23,'Données projet'!$A$217:$I$237,7,0)),0%,VLOOKUP(A23,'Données projet'!$A$217:$I$237,7,0))</f>
        <v>0.25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4.9912906541261721</v>
      </c>
      <c r="FS23" s="21">
        <f>EXP(-LN(2)/2)*FS22+(1-EXP(-LN(2)/2))/(LN(2)/2)*FM23*FP23*VLOOKUP('Données projet'!$B$16,Paramètres!$A$1:$I$89,3,0)*0.475*44/12</f>
        <v>8.0697026425455061</v>
      </c>
      <c r="FT23" s="22">
        <f t="shared" si="24"/>
        <v>13.060993296671679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95</v>
      </c>
      <c r="FX23" s="12">
        <f>VLOOKUP(A23,'Données projet'!$A$243:$I$263,9,0)</f>
        <v>4.75</v>
      </c>
      <c r="FY23" s="12">
        <f t="array" ref="FY23">INDEX(FX:FX,MIN(IF(ISNUMBER(FX23:FX219),ROW(FX23:FX219),"")))</f>
        <v>4.75</v>
      </c>
      <c r="FZ23" s="12">
        <f>IF('Données projet'!$A$244&gt;35,FZ22+FY23-GH22,IF(A23&lt;'Données projet'!$A$244,$FW$205^A23,IF(A23='Données projet'!$A$244,'Données projet'!$B$244,FZ22+FY23-GH22)))</f>
        <v>95</v>
      </c>
      <c r="GA23" s="17">
        <f>FZ23*VLOOKUP('Données projet'!$B$17,Paramètres!$A$1:$I$89,3,0)*VLOOKUP('Données projet'!$B$17,Paramètres!$A$1:$I$89,5,0)</f>
        <v>69.653999999999996</v>
      </c>
      <c r="GB23" s="13">
        <f t="shared" si="49"/>
        <v>19.587508813096782</v>
      </c>
      <c r="GC23" s="20">
        <f t="shared" si="25"/>
        <v>155.42896118281021</v>
      </c>
      <c r="GD23" s="59">
        <f t="shared" si="26"/>
        <v>448.76229451614353</v>
      </c>
      <c r="GE23" s="59">
        <f ca="1">AVERAGE(OFFSET($GD$3,0,0,'Données projet'!$E$17+1,1))-AVERAGE(OFFSET($H$3,0,0,'Données projet'!$E$17+1,1))</f>
        <v>178.12968684094687</v>
      </c>
      <c r="GF23" s="59">
        <f t="shared" si="50"/>
        <v>219.36004077210373</v>
      </c>
      <c r="GG23" s="15">
        <f>IF(ISNA(VLOOKUP(A23,'Données projet'!$A$243:$I$263,3,0)),0,VLOOKUP(A23,'Données projet'!$A$243:$I$263,3,0))</f>
        <v>1</v>
      </c>
      <c r="GH23" s="15">
        <f>IF(ISNA(VLOOKUP(A23,'Données projet'!$A$243:$I$263,4,0)),0,VLOOKUP(A23,'Données projet'!$A$243:$I$263,4,0))</f>
        <v>43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0.1075</v>
      </c>
      <c r="GK23" s="16">
        <f>IF(ISNA(VLOOKUP(A23,'Données projet'!$A$243:$I$263,7,0)),0%,VLOOKUP(A23,'Données projet'!$A$243:$I$263,7,0))</f>
        <v>0.25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3.7319269004768749</v>
      </c>
      <c r="GN23" s="21">
        <f>EXP(-LN(2)/2)*GN22+(1-EXP(-LN(2)/2))/(LN(2)/2)*GH23*GK23*VLOOKUP('Données projet'!$B$17,Paramètres!$A$1:$I$89,3,0)*0.475*44/12</f>
        <v>7.4367847882282083</v>
      </c>
      <c r="GO23" s="21">
        <f t="shared" si="27"/>
        <v>11.168711688705084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95</v>
      </c>
      <c r="GS23" s="12">
        <f>VLOOKUP(A23,'Données projet'!$A$269:$I$289,9,0)</f>
        <v>4.75</v>
      </c>
      <c r="GT23" s="12">
        <f t="array" ref="GT23">INDEX(GS:GS,MIN(IF(ISNUMBER(GS23:GS219),ROW(GS23:GS219),"")))</f>
        <v>4.75</v>
      </c>
      <c r="GU23" s="12">
        <f>IF('Données projet'!$A$270&gt;35,GU22+GT23-HC22,IF(A23&lt;'Données projet'!$A$270,$GR$205^A23,IF(A23='Données projet'!$A$270,'Données projet'!$B$270,GU22+GT23-HC22)))</f>
        <v>95</v>
      </c>
      <c r="GV23" s="17">
        <f>GU23*VLOOKUP('Données projet'!$B$18,Paramètres!$A$1:$I$89,3,0)*VLOOKUP('Données projet'!$B$18,Paramètres!$A$1:$I$89,5,0)</f>
        <v>75.582000000000008</v>
      </c>
      <c r="GW23" s="13">
        <f t="shared" si="51"/>
        <v>21.053414706764137</v>
      </c>
      <c r="GX23" s="20">
        <f t="shared" si="28"/>
        <v>168.30668061428091</v>
      </c>
      <c r="GY23" s="59">
        <f t="shared" si="29"/>
        <v>461.64001394761419</v>
      </c>
      <c r="GZ23" s="59">
        <f ca="1">AVERAGE(OFFSET($GY$3,0,0,'Données projet'!$E$18+1,1))-AVERAGE(OFFSET($H$3,0,0,'Données projet'!$E$18+1,1))</f>
        <v>199.58763537752952</v>
      </c>
      <c r="HA23" s="59">
        <f t="shared" si="52"/>
        <v>242.62852778451929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43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0.13250000000000001</v>
      </c>
      <c r="HF23" s="16">
        <f>IF(ISNA(VLOOKUP(A23,'Données projet'!$A$269:$I$289,7,0)),0%,VLOOKUP(A23,'Données projet'!$A$269:$I$289,7,0))</f>
        <v>0.25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4.9912906541261721</v>
      </c>
      <c r="HI23" s="21">
        <f>EXP(-LN(2)/2)*HI22+(1-EXP(-LN(2)/2))/(LN(2)/2)*HC23*HF23*VLOOKUP('Données projet'!$B$18,Paramètres!$A$1:$I$89,3,0)*0.475*44/12</f>
        <v>8.0697026425455061</v>
      </c>
      <c r="HJ23" s="22">
        <f t="shared" si="30"/>
        <v>13.060993296671679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3.6141025641025637</v>
      </c>
      <c r="N24" s="13">
        <f>IF('Données projet'!$A$36&gt;35,N23+M24-V23,IF(A24&lt;'Données projet'!$A$36,$K$205^A24,IF(A24='Données projet'!$A$36,'Données projet'!$B$36,N23+M24-V23)))</f>
        <v>26.581850401329536</v>
      </c>
      <c r="O24" s="13">
        <f>N24*VLOOKUP('Données projet'!$B$9,Paramètres!$A$1:$I$89,3,0)*VLOOKUP('Données projet'!$B$9,Paramètres!$A$1:$I$89,5,0)</f>
        <v>24.051258243122962</v>
      </c>
      <c r="P24" s="13">
        <f t="shared" si="33"/>
        <v>7.6546515572569298</v>
      </c>
      <c r="Q24" s="20">
        <f t="shared" si="2"/>
        <v>55.221126235661643</v>
      </c>
      <c r="R24" s="59">
        <f t="shared" si="0"/>
        <v>348.55445956899496</v>
      </c>
      <c r="S24" s="59">
        <f ca="1">AVERAGE(OFFSET($R$3,0,0,'Données projet'!$E$9+1,1))-AVERAGE(OFFSET($H$3,0,0,'Données projet'!$E$9+1,1))</f>
        <v>309.07357540707869</v>
      </c>
      <c r="T24" s="59">
        <f t="shared" si="34"/>
        <v>155.9593924683299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2.5115384615384619</v>
      </c>
      <c r="AI24" s="13">
        <f>IF('Données projet'!$A$62&gt;35,AI23+AH24-AQ23,IF(A24&lt;'Données projet'!$A$62,$AF$205^A24,IF(A24='Données projet'!$A$62,'Données projet'!$B$62,AI23+AH24-AQ23)))</f>
        <v>20.603583478748867</v>
      </c>
      <c r="AJ24" s="13">
        <f>AI24*VLOOKUP('Données projet'!$B$10,Paramètres!$A$1:$I$89,3,0)*VLOOKUP('Données projet'!$B$10,Paramètres!$A$1:$I$89,5,0)</f>
        <v>18.642122331571976</v>
      </c>
      <c r="AK24" s="13">
        <f t="shared" si="35"/>
        <v>6.1116962146979272</v>
      </c>
      <c r="AL24" s="20">
        <f t="shared" si="4"/>
        <v>43.112900634753409</v>
      </c>
      <c r="AM24" s="59">
        <f t="shared" si="5"/>
        <v>336.44623396808674</v>
      </c>
      <c r="AN24" s="59">
        <f ca="1">AVERAGE(OFFSET($AM$3,0,0,'Données projet'!$E$10+1,1))-AVERAGE(OFFSET($H$3,0,0,'Données projet'!$E$10+1,1))</f>
        <v>234.30804102916278</v>
      </c>
      <c r="AO24" s="59">
        <f t="shared" si="36"/>
        <v>91.137993288782411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7.2264102564102561</v>
      </c>
      <c r="BD24" s="12">
        <f>IF('Données projet'!$A$88&gt;35,BD23+BC24-BL23,IF(A24&lt;'Données projet'!$A$88,$BA$205^A24,IF(A24='Données projet'!$A$88,'Données projet'!$B$88,BD23+BC24-BL23)))</f>
        <v>43.17483711984115</v>
      </c>
      <c r="BE24" s="13">
        <f>BD24*VLOOKUP('Données projet'!$B$11,Paramètres!$A$1:$I$89,3,0)*VLOOKUP('Données projet'!$B$11,Paramètres!$A$1:$I$89,5,0)</f>
        <v>20.205823772085658</v>
      </c>
      <c r="BF24" s="13">
        <f t="shared" si="37"/>
        <v>6.5625277686471071</v>
      </c>
      <c r="BG24" s="20">
        <f t="shared" si="7"/>
        <v>46.621545600109563</v>
      </c>
      <c r="BH24" s="59">
        <f t="shared" si="8"/>
        <v>339.9548789334429</v>
      </c>
      <c r="BI24" s="59">
        <f ca="1">AVERAGE(OFFSET($BH$3,0,0,'Données projet'!$E$11+1,1))-AVERAGE(OFFSET($H$3,0,0,'Données projet'!$E$11+1,1))</f>
        <v>158.58786357608489</v>
      </c>
      <c r="BJ24" s="59">
        <f t="shared" si="38"/>
        <v>163.20074068819849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4.9084615384615384</v>
      </c>
      <c r="BY24" s="12">
        <f>IF('Données projet'!$A$114&gt;35,BY23+BX24-CG23,IF(A24&lt;'Données projet'!$A$114,$BV$205^A24,IF(A24='Données projet'!$A$114,'Données projet'!$B$114,BY23+BX24-CG23)))</f>
        <v>32.934164692174789</v>
      </c>
      <c r="BZ24" s="13">
        <f>BY24*VLOOKUP('Données projet'!$B$12,Paramètres!$A$1:$I$89,3,0)*VLOOKUP('Données projet'!$B$12,Paramètres!$A$1:$I$89,5,0)</f>
        <v>15.413189075937803</v>
      </c>
      <c r="CA24" s="13">
        <f t="shared" si="39"/>
        <v>5.166231738662507</v>
      </c>
      <c r="CB24" s="20">
        <f t="shared" si="10"/>
        <v>35.842491252095542</v>
      </c>
      <c r="CC24" s="59">
        <f t="shared" si="11"/>
        <v>329.17582458542887</v>
      </c>
      <c r="CD24" s="59">
        <f ca="1">AVERAGE(OFFSET($CC$3,0,0,'Données projet'!$E$12+1,1))-AVERAGE(OFFSET($H$3,0,0,'Données projet'!$E$12+1,1))</f>
        <v>123.2823358462245</v>
      </c>
      <c r="CE24" s="59">
        <f t="shared" si="40"/>
        <v>92.75115399786057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13.468131868131868</v>
      </c>
      <c r="CT24" s="12">
        <f>IF('Données projet'!$A$140&gt;35,CT23+CS24-DB23,IF(A24&lt;'Données projet'!$A$140,$CQ$205^A24,IF(A24='Données projet'!$A$140,'Données projet'!$B$140,CT23+CS24-DB23)))</f>
        <v>116.5164835164835</v>
      </c>
      <c r="CU24" s="17">
        <f>CT24*VLOOKUP('Données projet'!$B$13,Paramètres!$A$1:$I$89,3,0)*VLOOKUP('Données projet'!$B$13,Paramètres!$A$1:$I$89,5,0)</f>
        <v>69.676857142857145</v>
      </c>
      <c r="CV24" s="13">
        <f t="shared" si="41"/>
        <v>19.593188213653896</v>
      </c>
      <c r="CW24" s="20">
        <f t="shared" si="13"/>
        <v>155.47866232925674</v>
      </c>
      <c r="CX24" s="59">
        <f t="shared" si="14"/>
        <v>448.81199566259005</v>
      </c>
      <c r="CY24" s="59">
        <f ca="1">AVERAGE(OFFSET($CX$3,0,0,'Données projet'!$E$13+1,1))-AVERAGE(OFFSET($H$3,0,0,'Données projet'!$E$13+1,1))</f>
        <v>179.32848817523677</v>
      </c>
      <c r="CZ24" s="59">
        <f t="shared" si="42"/>
        <v>131.3292389103035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3.6141025641025637</v>
      </c>
      <c r="DO24" s="12">
        <f>IF('Données projet'!$A$166&gt;35,DO23+DN24-DW23,IF(A24&lt;'Données projet'!$A$166,$DL$205^A24,IF(A24='Données projet'!$A$166,'Données projet'!$B$166,DO23+DN24-DW23)))</f>
        <v>26.581850401329536</v>
      </c>
      <c r="DP24" s="17">
        <f>DO24*VLOOKUP('Données projet'!$B$14,Paramètres!$A$1:$I$89,3,0)*VLOOKUP('Données projet'!$B$14,Paramètres!$A$1:$I$89,5,0)</f>
        <v>25.709965708165928</v>
      </c>
      <c r="DQ24" s="13">
        <f t="shared" si="43"/>
        <v>8.1192842867276092</v>
      </c>
      <c r="DR24" s="20">
        <f t="shared" si="16"/>
        <v>58.91927707443957</v>
      </c>
      <c r="DS24" s="59">
        <f t="shared" si="17"/>
        <v>352.25261040777286</v>
      </c>
      <c r="DT24" s="59">
        <f ca="1">AVERAGE(OFFSET($DS$3,0,0,'Données projet'!$E$14+1,1))-AVERAGE(OFFSET($H$3,0,0,'Données projet'!$E$14+1,1))</f>
        <v>340.4659523898373</v>
      </c>
      <c r="DU24" s="59">
        <f t="shared" si="44"/>
        <v>170.54530785680572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2.5115384615384619</v>
      </c>
      <c r="EJ24" s="12">
        <f>IF('Données projet'!$A$192&gt;35,EJ23+EI24-ER23,IF(A24&lt;'Données projet'!$A$192,$EG$205^A24,IF(A24='Données projet'!$A$192,'Données projet'!$B$192,EJ23+EI24-ER23)))</f>
        <v>20.603583478748867</v>
      </c>
      <c r="EK24" s="17">
        <f>EJ24*VLOOKUP('Données projet'!$B$15,Paramètres!$A$1:$I$89,3,0)*VLOOKUP('Données projet'!$B$15,Paramètres!$A$1:$I$89,5,0)</f>
        <v>19.927785940645904</v>
      </c>
      <c r="EL24" s="13">
        <f t="shared" si="45"/>
        <v>6.4826724861440876</v>
      </c>
      <c r="EM24" s="20">
        <f t="shared" si="19"/>
        <v>45.998215093325911</v>
      </c>
      <c r="EN24" s="59">
        <f t="shared" si="20"/>
        <v>339.3315484266592</v>
      </c>
      <c r="EO24" s="59">
        <f ca="1">AVERAGE(OFFSET($EN$3,0,0,'Données projet'!$E$15+1,1))-AVERAGE(OFFSET($H$3,0,0,'Données projet'!$E$15+1,1))</f>
        <v>262.20955982183017</v>
      </c>
      <c r="EP24" s="59">
        <f t="shared" si="46"/>
        <v>101.35842063036193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12.2</v>
      </c>
      <c r="FE24" s="12">
        <f>IF('Données projet'!$A$218&gt;35,FE23+FD24-FM23,IF(A24&lt;'Données projet'!$A$218,$FB$205^A24,IF(A24='Données projet'!$A$218,'Données projet'!$B$218,FE23+FD24-FM23)))</f>
        <v>64.2</v>
      </c>
      <c r="FF24" s="17">
        <f>FE24*VLOOKUP('Données projet'!$B$16,Paramètres!$A$1:$I$89,3,0)*VLOOKUP('Données projet'!$B$16,Paramètres!$A$1:$I$89,5,0)</f>
        <v>51.077520000000007</v>
      </c>
      <c r="FG24" s="13">
        <f t="shared" si="47"/>
        <v>14.891687648984377</v>
      </c>
      <c r="FH24" s="20">
        <f t="shared" si="22"/>
        <v>114.89636998864779</v>
      </c>
      <c r="FI24" s="59">
        <f t="shared" si="23"/>
        <v>408.22970332198111</v>
      </c>
      <c r="FJ24" s="59">
        <f ca="1">AVERAGE(OFFSET($FI$3,0,0,'Données projet'!$E$16+1,1))-AVERAGE(OFFSET($H$3,0,0,'Données projet'!$E$16+1,1))</f>
        <v>199.58763537752952</v>
      </c>
      <c r="FK24" s="59">
        <f t="shared" si="48"/>
        <v>242.62852778451929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4.8548035487085244</v>
      </c>
      <c r="FS24" s="21">
        <f>EXP(-LN(2)/2)*FS23+(1-EXP(-LN(2)/2))/(LN(2)/2)*FM24*FP24*VLOOKUP('Données projet'!$B$16,Paramètres!$A$1:$I$89,3,0)*0.475*44/12</f>
        <v>5.7061414607029297</v>
      </c>
      <c r="FT24" s="22">
        <f t="shared" si="24"/>
        <v>10.560945009411455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12.2</v>
      </c>
      <c r="FZ24" s="12">
        <f>IF('Données projet'!$A$244&gt;35,FZ23+FY24-GH23,IF(A24&lt;'Données projet'!$A$244,$FW$205^A24,IF(A24='Données projet'!$A$244,'Données projet'!$B$244,FZ23+FY24-GH23)))</f>
        <v>64.2</v>
      </c>
      <c r="GA24" s="17">
        <f>FZ24*VLOOKUP('Données projet'!$B$17,Paramètres!$A$1:$I$89,3,0)*VLOOKUP('Données projet'!$B$17,Paramètres!$A$1:$I$89,5,0)</f>
        <v>47.071440000000003</v>
      </c>
      <c r="GB24" s="13">
        <f t="shared" si="49"/>
        <v>13.854810116510471</v>
      </c>
      <c r="GC24" s="20">
        <f t="shared" si="25"/>
        <v>106.11321895292241</v>
      </c>
      <c r="GD24" s="59">
        <f t="shared" si="26"/>
        <v>399.44655228625572</v>
      </c>
      <c r="GE24" s="59">
        <f ca="1">AVERAGE(OFFSET($GD$3,0,0,'Données projet'!$E$17+1,1))-AVERAGE(OFFSET($H$3,0,0,'Données projet'!$E$17+1,1))</f>
        <v>178.12968684094687</v>
      </c>
      <c r="GF24" s="59">
        <f t="shared" si="50"/>
        <v>219.36004077210373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3.6298771631298283</v>
      </c>
      <c r="GN24" s="21">
        <f>EXP(-LN(2)/2)*GN23+(1-EXP(-LN(2)/2))/(LN(2)/2)*GH24*GK24*VLOOKUP('Données projet'!$B$17,Paramètres!$A$1:$I$89,3,0)*0.475*44/12</f>
        <v>5.2586009539811291</v>
      </c>
      <c r="GO24" s="21">
        <f t="shared" si="27"/>
        <v>8.8884781171109566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12.2</v>
      </c>
      <c r="GU24" s="12">
        <f>IF('Données projet'!$A$270&gt;35,GU23+GT24-HC23,IF(A24&lt;'Données projet'!$A$270,$GR$205^A24,IF(A24='Données projet'!$A$270,'Données projet'!$B$270,GU23+GT24-HC23)))</f>
        <v>64.2</v>
      </c>
      <c r="GV24" s="17">
        <f>GU24*VLOOKUP('Données projet'!$B$18,Paramètres!$A$1:$I$89,3,0)*VLOOKUP('Données projet'!$B$18,Paramètres!$A$1:$I$89,5,0)</f>
        <v>51.077520000000007</v>
      </c>
      <c r="GW24" s="13">
        <f t="shared" si="51"/>
        <v>14.891687648984377</v>
      </c>
      <c r="GX24" s="20">
        <f t="shared" si="28"/>
        <v>114.89636998864779</v>
      </c>
      <c r="GY24" s="59">
        <f t="shared" si="29"/>
        <v>408.22970332198111</v>
      </c>
      <c r="GZ24" s="59">
        <f ca="1">AVERAGE(OFFSET($GY$3,0,0,'Données projet'!$E$18+1,1))-AVERAGE(OFFSET($H$3,0,0,'Données projet'!$E$18+1,1))</f>
        <v>199.58763537752952</v>
      </c>
      <c r="HA24" s="59">
        <f t="shared" si="52"/>
        <v>242.62852778451929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4.8548035487085244</v>
      </c>
      <c r="HI24" s="21">
        <f>EXP(-LN(2)/2)*HI23+(1-EXP(-LN(2)/2))/(LN(2)/2)*HC24*HF24*VLOOKUP('Données projet'!$B$18,Paramètres!$A$1:$I$89,3,0)*0.475*44/12</f>
        <v>5.7061414607029297</v>
      </c>
      <c r="HJ24" s="22">
        <f t="shared" si="30"/>
        <v>10.560945009411455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3.6141025641025637</v>
      </c>
      <c r="N25" s="13">
        <f>IF('Données projet'!$A$36&gt;35,N24+M25-V24,IF(A25&lt;'Données projet'!$A$36,$K$205^A25,IF(A25='Données projet'!$A$36,'Données projet'!$B$36,N24+M25-V24)))</f>
        <v>31.075820231445945</v>
      </c>
      <c r="O25" s="13">
        <f>N25*VLOOKUP('Données projet'!$B$9,Paramètres!$A$1:$I$89,3,0)*VLOOKUP('Données projet'!$B$9,Paramètres!$A$1:$I$89,5,0)</f>
        <v>28.117402145412289</v>
      </c>
      <c r="P25" s="13">
        <f t="shared" si="33"/>
        <v>8.7875244189279336</v>
      </c>
      <c r="Q25" s="20">
        <f t="shared" si="2"/>
        <v>64.276080432892542</v>
      </c>
      <c r="R25" s="59">
        <f t="shared" si="0"/>
        <v>357.60941376622588</v>
      </c>
      <c r="S25" s="59">
        <f ca="1">AVERAGE(OFFSET($R$3,0,0,'Données projet'!$E$9+1,1))-AVERAGE(OFFSET($H$3,0,0,'Données projet'!$E$9+1,1))</f>
        <v>309.07357540707869</v>
      </c>
      <c r="T25" s="59">
        <f t="shared" si="34"/>
        <v>155.9593924683299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2.5115384615384619</v>
      </c>
      <c r="AI25" s="13">
        <f>IF('Données projet'!$A$62&gt;35,AI24+AH25-AQ24,IF(A25&lt;'Données projet'!$A$62,$AF$205^A25,IF(A25='Données projet'!$A$62,'Données projet'!$B$62,AI24+AH25-AQ24)))</f>
        <v>23.796411181408413</v>
      </c>
      <c r="AJ25" s="13">
        <f>AI25*VLOOKUP('Données projet'!$B$10,Paramètres!$A$1:$I$89,3,0)*VLOOKUP('Données projet'!$B$10,Paramètres!$A$1:$I$89,5,0)</f>
        <v>21.530992836938331</v>
      </c>
      <c r="AK25" s="13">
        <f t="shared" si="35"/>
        <v>6.9414062926984936</v>
      </c>
      <c r="AL25" s="20">
        <f t="shared" si="4"/>
        <v>49.58942848411747</v>
      </c>
      <c r="AM25" s="59">
        <f t="shared" si="5"/>
        <v>342.92276181745081</v>
      </c>
      <c r="AN25" s="59">
        <f ca="1">AVERAGE(OFFSET($AM$3,0,0,'Données projet'!$E$10+1,1))-AVERAGE(OFFSET($H$3,0,0,'Données projet'!$E$10+1,1))</f>
        <v>234.30804102916278</v>
      </c>
      <c r="AO25" s="59">
        <f t="shared" si="36"/>
        <v>91.137993288782411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7.2264102564102561</v>
      </c>
      <c r="BD25" s="12">
        <f>IF('Données projet'!$A$88&gt;35,BD24+BC25-BL24,IF(A25&lt;'Données projet'!$A$88,$BA$205^A25,IF(A25='Données projet'!$A$88,'Données projet'!$B$88,BD24+BC25-BL24)))</f>
        <v>51.653390873361616</v>
      </c>
      <c r="BE25" s="13">
        <f>BD25*VLOOKUP('Données projet'!$B$11,Paramètres!$A$1:$I$89,3,0)*VLOOKUP('Données projet'!$B$11,Paramètres!$A$1:$I$89,5,0)</f>
        <v>24.173786928733236</v>
      </c>
      <c r="BF25" s="13">
        <f t="shared" si="37"/>
        <v>7.6890986491341353</v>
      </c>
      <c r="BG25" s="20">
        <f t="shared" si="7"/>
        <v>55.494525714785674</v>
      </c>
      <c r="BH25" s="59">
        <f t="shared" si="8"/>
        <v>348.82785904811897</v>
      </c>
      <c r="BI25" s="59">
        <f ca="1">AVERAGE(OFFSET($BH$3,0,0,'Données projet'!$E$11+1,1))-AVERAGE(OFFSET($H$3,0,0,'Données projet'!$E$11+1,1))</f>
        <v>158.58786357608489</v>
      </c>
      <c r="BJ25" s="59">
        <f t="shared" si="38"/>
        <v>163.20074068819849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4.9084615384615384</v>
      </c>
      <c r="BY25" s="12">
        <f>IF('Données projet'!$A$114&gt;35,BY24+BX25-CG24,IF(A25&lt;'Données projet'!$A$114,$BV$205^A25,IF(A25='Données projet'!$A$114,'Données projet'!$B$114,BY24+BX25-CG24)))</f>
        <v>38.896949331432715</v>
      </c>
      <c r="BZ25" s="13">
        <f>BY25*VLOOKUP('Données projet'!$B$12,Paramètres!$A$1:$I$89,3,0)*VLOOKUP('Données projet'!$B$12,Paramètres!$A$1:$I$89,5,0)</f>
        <v>18.20377228711051</v>
      </c>
      <c r="CA25" s="13">
        <f t="shared" si="39"/>
        <v>5.9845386042761088</v>
      </c>
      <c r="CB25" s="20">
        <f t="shared" si="10"/>
        <v>42.127974802498365</v>
      </c>
      <c r="CC25" s="59">
        <f t="shared" si="11"/>
        <v>335.4613081358317</v>
      </c>
      <c r="CD25" s="59">
        <f ca="1">AVERAGE(OFFSET($CC$3,0,0,'Données projet'!$E$12+1,1))-AVERAGE(OFFSET($H$3,0,0,'Données projet'!$E$12+1,1))</f>
        <v>123.2823358462245</v>
      </c>
      <c r="CE25" s="59">
        <f t="shared" si="40"/>
        <v>92.75115399786057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>
        <f>VLOOKUP(A25,'Données projet'!$A$139:$I$159,2,0)</f>
        <v>129.98461538461538</v>
      </c>
      <c r="CR25" s="12">
        <f>VLOOKUP(A25,'Données projet'!$A$139:$I$159,9,0)</f>
        <v>13.468131868131868</v>
      </c>
      <c r="CS25" s="12">
        <f t="array" ref="CS25">INDEX(CR:CR,MIN(IF(ISNUMBER(CR25:CR221),ROW(CR25:CR221),"")))</f>
        <v>13.468131868131868</v>
      </c>
      <c r="CT25" s="12">
        <f>IF('Données projet'!$A$140&gt;35,CT24+CS25-DB24,IF(A25&lt;'Données projet'!$A$140,$CQ$205^A25,IF(A25='Données projet'!$A$140,'Données projet'!$B$140,CT24+CS25-DB24)))</f>
        <v>129.98461538461538</v>
      </c>
      <c r="CU25" s="17">
        <f>CT25*VLOOKUP('Données projet'!$B$13,Paramètres!$A$1:$I$89,3,0)*VLOOKUP('Données projet'!$B$13,Paramètres!$A$1:$I$89,5,0)</f>
        <v>77.730800000000002</v>
      </c>
      <c r="CV25" s="13">
        <f t="shared" si="41"/>
        <v>21.581427176601697</v>
      </c>
      <c r="CW25" s="20">
        <f t="shared" si="13"/>
        <v>172.96879566591463</v>
      </c>
      <c r="CX25" s="59">
        <f t="shared" si="14"/>
        <v>466.30212899924794</v>
      </c>
      <c r="CY25" s="59">
        <f ca="1">AVERAGE(OFFSET($CX$3,0,0,'Données projet'!$E$13+1,1))-AVERAGE(OFFSET($H$3,0,0,'Données projet'!$E$13+1,1))</f>
        <v>179.32848817523677</v>
      </c>
      <c r="CZ25" s="59">
        <f t="shared" si="42"/>
        <v>131.3292389103035</v>
      </c>
      <c r="DA25" s="15">
        <f>IF(ISNA(VLOOKUP(A25,'Données projet'!$A$139:$I$159,3,0)),0,VLOOKUP(A25,'Données projet'!$A$139:$I$159,3,0))</f>
        <v>1</v>
      </c>
      <c r="DB25" s="15">
        <f>IF(ISNA(VLOOKUP(A25,'Données projet'!$A$139:$I$159,4,0)),0,VLOOKUP(A25,'Données projet'!$A$139:$I$159,4,0))</f>
        <v>52.746153846153838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0.22500000000000001</v>
      </c>
      <c r="DE25" s="16">
        <f>IF(ISNA(VLOOKUP(A25,'Données projet'!$A$139:$I$159,7,0)),0%,VLOOKUP(A25,'Données projet'!$A$139:$I$159,7,0))</f>
        <v>0.5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9.377552356092826</v>
      </c>
      <c r="DH25" s="21">
        <f>EXP(-LN(2)/2)*DH24+(1-EXP(-LN(2)/2))/(LN(2)/2)*DB25*DE25*VLOOKUP('Données projet'!$B$13,Paramètres!$A$1:$I$89,3,0)*0.475*44/12</f>
        <v>17.856548787519642</v>
      </c>
      <c r="DI25" s="22">
        <f t="shared" si="15"/>
        <v>27.23410114361247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3.6141025641025637</v>
      </c>
      <c r="DO25" s="12">
        <f>IF('Données projet'!$A$166&gt;35,DO24+DN25-DW24,IF(A25&lt;'Données projet'!$A$166,$DL$205^A25,IF(A25='Données projet'!$A$166,'Données projet'!$B$166,DO24+DN25-DW24)))</f>
        <v>31.075820231445945</v>
      </c>
      <c r="DP25" s="17">
        <f>DO25*VLOOKUP('Données projet'!$B$14,Paramètres!$A$1:$I$89,3,0)*VLOOKUP('Données projet'!$B$14,Paramètres!$A$1:$I$89,5,0)</f>
        <v>30.05653332785452</v>
      </c>
      <c r="DQ25" s="13">
        <f t="shared" si="43"/>
        <v>9.3209218473433317</v>
      </c>
      <c r="DR25" s="20">
        <f t="shared" si="16"/>
        <v>68.582401096802926</v>
      </c>
      <c r="DS25" s="59">
        <f t="shared" si="17"/>
        <v>361.91573443013624</v>
      </c>
      <c r="DT25" s="59">
        <f ca="1">AVERAGE(OFFSET($DS$3,0,0,'Données projet'!$E$14+1,1))-AVERAGE(OFFSET($H$3,0,0,'Données projet'!$E$14+1,1))</f>
        <v>340.4659523898373</v>
      </c>
      <c r="DU25" s="59">
        <f t="shared" si="44"/>
        <v>170.54530785680572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2.5115384615384619</v>
      </c>
      <c r="EJ25" s="12">
        <f>IF('Données projet'!$A$192&gt;35,EJ24+EI25-ER24,IF(A25&lt;'Données projet'!$A$192,$EG$205^A25,IF(A25='Données projet'!$A$192,'Données projet'!$B$192,EJ24+EI25-ER24)))</f>
        <v>23.796411181408413</v>
      </c>
      <c r="EK25" s="17">
        <f>EJ25*VLOOKUP('Données projet'!$B$15,Paramètres!$A$1:$I$89,3,0)*VLOOKUP('Données projet'!$B$15,Paramètres!$A$1:$I$89,5,0)</f>
        <v>23.015888894658215</v>
      </c>
      <c r="EL25" s="13">
        <f t="shared" si="45"/>
        <v>7.3627454650980297</v>
      </c>
      <c r="EM25" s="20">
        <f t="shared" si="19"/>
        <v>52.909454843242116</v>
      </c>
      <c r="EN25" s="59">
        <f t="shared" si="20"/>
        <v>346.24278817657546</v>
      </c>
      <c r="EO25" s="59">
        <f ca="1">AVERAGE(OFFSET($EN$3,0,0,'Données projet'!$E$15+1,1))-AVERAGE(OFFSET($H$3,0,0,'Données projet'!$E$15+1,1))</f>
        <v>262.20955982183017</v>
      </c>
      <c r="EP25" s="59">
        <f t="shared" si="46"/>
        <v>101.35842063036193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12.2</v>
      </c>
      <c r="FE25" s="12">
        <f>IF('Données projet'!$A$218&gt;35,FE24+FD25-FM24,IF(A25&lt;'Données projet'!$A$218,$FB$205^A25,IF(A25='Données projet'!$A$218,'Données projet'!$B$218,FE24+FD25-FM24)))</f>
        <v>76.400000000000006</v>
      </c>
      <c r="FF25" s="17">
        <f>FE25*VLOOKUP('Données projet'!$B$16,Paramètres!$A$1:$I$89,3,0)*VLOOKUP('Données projet'!$B$16,Paramètres!$A$1:$I$89,5,0)</f>
        <v>60.783840000000012</v>
      </c>
      <c r="FG25" s="13">
        <f t="shared" si="47"/>
        <v>17.366298404318218</v>
      </c>
      <c r="FH25" s="20">
        <f t="shared" si="22"/>
        <v>136.11149105418758</v>
      </c>
      <c r="FI25" s="59">
        <f t="shared" si="23"/>
        <v>429.4448243875209</v>
      </c>
      <c r="FJ25" s="59">
        <f ca="1">AVERAGE(OFFSET($FI$3,0,0,'Données projet'!$E$16+1,1))-AVERAGE(OFFSET($H$3,0,0,'Données projet'!$E$16+1,1))</f>
        <v>199.58763537752952</v>
      </c>
      <c r="FK25" s="59">
        <f t="shared" si="48"/>
        <v>242.62852778451929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4.7220486903660666</v>
      </c>
      <c r="FS25" s="21">
        <f>EXP(-LN(2)/2)*FS24+(1-EXP(-LN(2)/2))/(LN(2)/2)*FM25*FP25*VLOOKUP('Données projet'!$B$16,Paramètres!$A$1:$I$89,3,0)*0.475*44/12</f>
        <v>4.034851321272753</v>
      </c>
      <c r="FT25" s="22">
        <f t="shared" si="24"/>
        <v>8.7569000116388196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12.2</v>
      </c>
      <c r="FZ25" s="12">
        <f>IF('Données projet'!$A$244&gt;35,FZ24+FY25-GH24,IF(A25&lt;'Données projet'!$A$244,$FW$205^A25,IF(A25='Données projet'!$A$244,'Données projet'!$B$244,FZ24+FY25-GH24)))</f>
        <v>76.400000000000006</v>
      </c>
      <c r="GA25" s="17">
        <f>FZ25*VLOOKUP('Données projet'!$B$17,Paramètres!$A$1:$I$89,3,0)*VLOOKUP('Données projet'!$B$17,Paramètres!$A$1:$I$89,5,0)</f>
        <v>56.016480000000001</v>
      </c>
      <c r="GB25" s="13">
        <f t="shared" si="49"/>
        <v>16.157118822922481</v>
      </c>
      <c r="GC25" s="20">
        <f t="shared" si="25"/>
        <v>125.70235128325668</v>
      </c>
      <c r="GD25" s="59">
        <f t="shared" si="26"/>
        <v>419.03568461659</v>
      </c>
      <c r="GE25" s="59">
        <f ca="1">AVERAGE(OFFSET($GD$3,0,0,'Données projet'!$E$17+1,1))-AVERAGE(OFFSET($H$3,0,0,'Données projet'!$E$17+1,1))</f>
        <v>178.12968684094687</v>
      </c>
      <c r="GF25" s="59">
        <f t="shared" si="50"/>
        <v>219.36004077210373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3.5306179812170995</v>
      </c>
      <c r="GN25" s="21">
        <f>EXP(-LN(2)/2)*GN24+(1-EXP(-LN(2)/2))/(LN(2)/2)*GH25*GK25*VLOOKUP('Données projet'!$B$17,Paramètres!$A$1:$I$89,3,0)*0.475*44/12</f>
        <v>3.7183923941141046</v>
      </c>
      <c r="GO25" s="21">
        <f t="shared" si="27"/>
        <v>7.2490103753312045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12.2</v>
      </c>
      <c r="GU25" s="12">
        <f>IF('Données projet'!$A$270&gt;35,GU24+GT25-HC24,IF(A25&lt;'Données projet'!$A$270,$GR$205^A25,IF(A25='Données projet'!$A$270,'Données projet'!$B$270,GU24+GT25-HC24)))</f>
        <v>76.400000000000006</v>
      </c>
      <c r="GV25" s="17">
        <f>GU25*VLOOKUP('Données projet'!$B$18,Paramètres!$A$1:$I$89,3,0)*VLOOKUP('Données projet'!$B$18,Paramètres!$A$1:$I$89,5,0)</f>
        <v>60.783840000000012</v>
      </c>
      <c r="GW25" s="13">
        <f t="shared" si="51"/>
        <v>17.366298404318218</v>
      </c>
      <c r="GX25" s="20">
        <f t="shared" si="28"/>
        <v>136.11149105418758</v>
      </c>
      <c r="GY25" s="59">
        <f t="shared" si="29"/>
        <v>429.4448243875209</v>
      </c>
      <c r="GZ25" s="59">
        <f ca="1">AVERAGE(OFFSET($GY$3,0,0,'Données projet'!$E$18+1,1))-AVERAGE(OFFSET($H$3,0,0,'Données projet'!$E$18+1,1))</f>
        <v>199.58763537752952</v>
      </c>
      <c r="HA25" s="59">
        <f t="shared" si="52"/>
        <v>242.62852778451929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4.7220486903660666</v>
      </c>
      <c r="HI25" s="21">
        <f>EXP(-LN(2)/2)*HI24+(1-EXP(-LN(2)/2))/(LN(2)/2)*HC25*HF25*VLOOKUP('Données projet'!$B$18,Paramètres!$A$1:$I$89,3,0)*0.475*44/12</f>
        <v>4.034851321272753</v>
      </c>
      <c r="HJ25" s="22">
        <f t="shared" si="30"/>
        <v>8.7569000116388196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3.6141025641025637</v>
      </c>
      <c r="N26" s="13">
        <f>IF('Données projet'!$A$36&gt;35,N25+M26-V25,IF(A26&lt;'Données projet'!$A$36,$K$205^A26,IF(A26='Données projet'!$A$36,'Données projet'!$B$36,N25+M26-V25)))</f>
        <v>36.329547735655126</v>
      </c>
      <c r="O26" s="13">
        <f>N26*VLOOKUP('Données projet'!$B$9,Paramètres!$A$1:$I$89,3,0)*VLOOKUP('Données projet'!$B$9,Paramètres!$A$1:$I$89,5,0)</f>
        <v>32.87097479122076</v>
      </c>
      <c r="P26" s="13">
        <f t="shared" si="33"/>
        <v>10.088060159975067</v>
      </c>
      <c r="Q26" s="20">
        <f t="shared" si="2"/>
        <v>74.820319206666056</v>
      </c>
      <c r="R26" s="59">
        <f t="shared" si="0"/>
        <v>368.15365253999937</v>
      </c>
      <c r="S26" s="59">
        <f ca="1">AVERAGE(OFFSET($R$3,0,0,'Données projet'!$E$9+1,1))-AVERAGE(OFFSET($H$3,0,0,'Données projet'!$E$9+1,1))</f>
        <v>309.07357540707869</v>
      </c>
      <c r="T26" s="59">
        <f t="shared" si="34"/>
        <v>155.9593924683299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2.5115384615384619</v>
      </c>
      <c r="AI26" s="13">
        <f>IF('Données projet'!$A$62&gt;35,AI25+AH26-AQ25,IF(A26&lt;'Données projet'!$A$62,$AF$205^A26,IF(A26='Données projet'!$A$62,'Données projet'!$B$62,AI25+AH26-AQ25)))</f>
        <v>27.484014404519773</v>
      </c>
      <c r="AJ26" s="13">
        <f>AI26*VLOOKUP('Données projet'!$B$10,Paramètres!$A$1:$I$89,3,0)*VLOOKUP('Données projet'!$B$10,Paramètres!$A$1:$I$89,5,0)</f>
        <v>24.867536233209488</v>
      </c>
      <c r="AK26" s="13">
        <f t="shared" si="35"/>
        <v>7.8837559374170789</v>
      </c>
      <c r="AL26" s="20">
        <f t="shared" si="4"/>
        <v>57.041833863841269</v>
      </c>
      <c r="AM26" s="59">
        <f t="shared" si="5"/>
        <v>350.37516719717456</v>
      </c>
      <c r="AN26" s="59">
        <f ca="1">AVERAGE(OFFSET($AM$3,0,0,'Données projet'!$E$10+1,1))-AVERAGE(OFFSET($H$3,0,0,'Données projet'!$E$10+1,1))</f>
        <v>234.30804102916278</v>
      </c>
      <c r="AO26" s="59">
        <f t="shared" si="36"/>
        <v>91.137993288782411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7.2264102564102561</v>
      </c>
      <c r="BD26" s="12">
        <f>IF('Données projet'!$A$88&gt;35,BD25+BC26-BL25,IF(A26&lt;'Données projet'!$A$88,$BA$205^A26,IF(A26='Données projet'!$A$88,'Données projet'!$B$88,BD25+BC26-BL25)))</f>
        <v>61.796939298472864</v>
      </c>
      <c r="BE26" s="13">
        <f>BD26*VLOOKUP('Données projet'!$B$11,Paramètres!$A$1:$I$89,3,0)*VLOOKUP('Données projet'!$B$11,Paramètres!$A$1:$I$89,5,0)</f>
        <v>28.920967591685301</v>
      </c>
      <c r="BF26" s="13">
        <f t="shared" si="37"/>
        <v>9.0090648177637647</v>
      </c>
      <c r="BG26" s="20">
        <f t="shared" si="7"/>
        <v>66.061473113123796</v>
      </c>
      <c r="BH26" s="59">
        <f t="shared" si="8"/>
        <v>359.3948064464571</v>
      </c>
      <c r="BI26" s="59">
        <f ca="1">AVERAGE(OFFSET($BH$3,0,0,'Données projet'!$E$11+1,1))-AVERAGE(OFFSET($H$3,0,0,'Données projet'!$E$11+1,1))</f>
        <v>158.58786357608489</v>
      </c>
      <c r="BJ26" s="59">
        <f t="shared" si="38"/>
        <v>163.20074068819849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4.9084615384615384</v>
      </c>
      <c r="BY26" s="12">
        <f>IF('Données projet'!$A$114&gt;35,BY25+BX26-CG25,IF(A26&lt;'Données projet'!$A$114,$BV$205^A26,IF(A26='Données projet'!$A$114,'Données projet'!$B$114,BY25+BX26-CG25)))</f>
        <v>45.939305928458197</v>
      </c>
      <c r="BZ26" s="13">
        <f>BY26*VLOOKUP('Données projet'!$B$12,Paramètres!$A$1:$I$89,3,0)*VLOOKUP('Données projet'!$B$12,Paramètres!$A$1:$I$89,5,0)</f>
        <v>21.499595174518436</v>
      </c>
      <c r="CA26" s="13">
        <f t="shared" si="39"/>
        <v>6.9324614376170377</v>
      </c>
      <c r="CB26" s="20">
        <f t="shared" si="10"/>
        <v>49.51916526613595</v>
      </c>
      <c r="CC26" s="59">
        <f t="shared" si="11"/>
        <v>342.85249859946924</v>
      </c>
      <c r="CD26" s="59">
        <f ca="1">AVERAGE(OFFSET($CC$3,0,0,'Données projet'!$E$12+1,1))-AVERAGE(OFFSET($H$3,0,0,'Données projet'!$E$12+1,1))</f>
        <v>123.2823358462245</v>
      </c>
      <c r="CE26" s="59">
        <f t="shared" si="40"/>
        <v>92.75115399786057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12.695384615384615</v>
      </c>
      <c r="CT26" s="12">
        <f>IF('Données projet'!$A$140&gt;35,CT25+CS26-DB25,IF(A26&lt;'Données projet'!$A$140,$CQ$205^A26,IF(A26='Données projet'!$A$140,'Données projet'!$B$140,CT25+CS26-DB25)))</f>
        <v>89.933846153846162</v>
      </c>
      <c r="CU26" s="17">
        <f>CT26*VLOOKUP('Données projet'!$B$13,Paramètres!$A$1:$I$89,3,0)*VLOOKUP('Données projet'!$B$13,Paramètres!$A$1:$I$89,5,0)</f>
        <v>53.780440000000013</v>
      </c>
      <c r="CV26" s="13">
        <f t="shared" si="41"/>
        <v>15.5858948320701</v>
      </c>
      <c r="CW26" s="20">
        <f t="shared" si="13"/>
        <v>120.81303316585546</v>
      </c>
      <c r="CX26" s="59">
        <f t="shared" si="14"/>
        <v>414.14636649918879</v>
      </c>
      <c r="CY26" s="59">
        <f ca="1">AVERAGE(OFFSET($CX$3,0,0,'Données projet'!$E$13+1,1))-AVERAGE(OFFSET($H$3,0,0,'Données projet'!$E$13+1,1))</f>
        <v>179.32848817523677</v>
      </c>
      <c r="CZ26" s="59">
        <f t="shared" si="42"/>
        <v>131.3292389103035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9.1211226937714223</v>
      </c>
      <c r="DH26" s="21">
        <f>EXP(-LN(2)/2)*DH25+(1-EXP(-LN(2)/2))/(LN(2)/2)*DB26*DE26*VLOOKUP('Données projet'!$B$13,Paramètres!$A$1:$I$89,3,0)*0.475*44/12</f>
        <v>12.626486736243564</v>
      </c>
      <c r="DI26" s="22">
        <f t="shared" si="15"/>
        <v>21.747609430014986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3.6141025641025637</v>
      </c>
      <c r="DO26" s="12">
        <f>IF('Données projet'!$A$166&gt;35,DO25+DN26-DW25,IF(A26&lt;'Données projet'!$A$166,$DL$205^A26,IF(A26='Données projet'!$A$166,'Données projet'!$B$166,DO25+DN26-DW25)))</f>
        <v>36.329547735655126</v>
      </c>
      <c r="DP26" s="17">
        <f>DO26*VLOOKUP('Données projet'!$B$14,Paramètres!$A$1:$I$89,3,0)*VLOOKUP('Données projet'!$B$14,Paramètres!$A$1:$I$89,5,0)</f>
        <v>35.137938569925637</v>
      </c>
      <c r="DQ26" s="13">
        <f t="shared" si="43"/>
        <v>10.700399322918406</v>
      </c>
      <c r="DR26" s="20">
        <f t="shared" si="16"/>
        <v>79.835105163370045</v>
      </c>
      <c r="DS26" s="59">
        <f t="shared" si="17"/>
        <v>373.16843849670335</v>
      </c>
      <c r="DT26" s="59">
        <f ca="1">AVERAGE(OFFSET($DS$3,0,0,'Données projet'!$E$14+1,1))-AVERAGE(OFFSET($H$3,0,0,'Données projet'!$E$14+1,1))</f>
        <v>340.4659523898373</v>
      </c>
      <c r="DU26" s="59">
        <f t="shared" si="44"/>
        <v>170.54530785680572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2.5115384615384619</v>
      </c>
      <c r="EJ26" s="12">
        <f>IF('Données projet'!$A$192&gt;35,EJ25+EI26-ER25,IF(A26&lt;'Données projet'!$A$192,$EG$205^A26,IF(A26='Données projet'!$A$192,'Données projet'!$B$192,EJ25+EI26-ER25)))</f>
        <v>27.484014404519773</v>
      </c>
      <c r="EK26" s="17">
        <f>EJ26*VLOOKUP('Données projet'!$B$15,Paramètres!$A$1:$I$89,3,0)*VLOOKUP('Données projet'!$B$15,Paramètres!$A$1:$I$89,5,0)</f>
        <v>26.582538732051525</v>
      </c>
      <c r="EL26" s="13">
        <f t="shared" si="45"/>
        <v>8.3622951644848413</v>
      </c>
      <c r="EM26" s="20">
        <f t="shared" si="19"/>
        <v>60.862252369800835</v>
      </c>
      <c r="EN26" s="59">
        <f t="shared" si="20"/>
        <v>354.19558570313416</v>
      </c>
      <c r="EO26" s="59">
        <f ca="1">AVERAGE(OFFSET($EN$3,0,0,'Données projet'!$E$15+1,1))-AVERAGE(OFFSET($H$3,0,0,'Données projet'!$E$15+1,1))</f>
        <v>262.20955982183017</v>
      </c>
      <c r="EP26" s="59">
        <f t="shared" si="46"/>
        <v>101.35842063036193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12.2</v>
      </c>
      <c r="FE26" s="12">
        <f>IF('Données projet'!$A$218&gt;35,FE25+FD26-FM25,IF(A26&lt;'Données projet'!$A$218,$FB$205^A26,IF(A26='Données projet'!$A$218,'Données projet'!$B$218,FE25+FD26-FM25)))</f>
        <v>88.600000000000009</v>
      </c>
      <c r="FF26" s="17">
        <f>FE26*VLOOKUP('Données projet'!$B$16,Paramètres!$A$1:$I$89,3,0)*VLOOKUP('Données projet'!$B$16,Paramètres!$A$1:$I$89,5,0)</f>
        <v>70.490160000000017</v>
      </c>
      <c r="FG26" s="13">
        <f t="shared" si="47"/>
        <v>19.795132097024002</v>
      </c>
      <c r="FH26" s="20">
        <f t="shared" si="22"/>
        <v>157.24688373565013</v>
      </c>
      <c r="FI26" s="59">
        <f t="shared" si="23"/>
        <v>450.58021706898342</v>
      </c>
      <c r="FJ26" s="59">
        <f ca="1">AVERAGE(OFFSET($FI$3,0,0,'Données projet'!$E$16+1,1))-AVERAGE(OFFSET($H$3,0,0,'Données projet'!$E$16+1,1))</f>
        <v>199.58763537752952</v>
      </c>
      <c r="FK26" s="59">
        <f t="shared" si="48"/>
        <v>242.62852778451929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4.592924020606258</v>
      </c>
      <c r="FS26" s="21">
        <f>EXP(-LN(2)/2)*FS25+(1-EXP(-LN(2)/2))/(LN(2)/2)*FM26*FP26*VLOOKUP('Données projet'!$B$16,Paramètres!$A$1:$I$89,3,0)*0.475*44/12</f>
        <v>2.8530707303514649</v>
      </c>
      <c r="FT26" s="22">
        <f t="shared" si="24"/>
        <v>7.4459947509577233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12.2</v>
      </c>
      <c r="FZ26" s="12">
        <f>IF('Données projet'!$A$244&gt;35,FZ25+FY26-GH25,IF(A26&lt;'Données projet'!$A$244,$FW$205^A26,IF(A26='Données projet'!$A$244,'Données projet'!$B$244,FZ25+FY26-GH25)))</f>
        <v>88.600000000000009</v>
      </c>
      <c r="GA26" s="17">
        <f>FZ26*VLOOKUP('Données projet'!$B$17,Paramètres!$A$1:$I$89,3,0)*VLOOKUP('Données projet'!$B$17,Paramètres!$A$1:$I$89,5,0)</f>
        <v>64.961520000000007</v>
      </c>
      <c r="GB26" s="13">
        <f t="shared" si="49"/>
        <v>18.416837829271401</v>
      </c>
      <c r="GC26" s="20">
        <f t="shared" si="25"/>
        <v>145.21730655264767</v>
      </c>
      <c r="GD26" s="59">
        <f t="shared" si="26"/>
        <v>438.55063988598101</v>
      </c>
      <c r="GE26" s="59">
        <f ca="1">AVERAGE(OFFSET($GD$3,0,0,'Données projet'!$E$17+1,1))-AVERAGE(OFFSET($H$3,0,0,'Données projet'!$E$17+1,1))</f>
        <v>178.12968684094687</v>
      </c>
      <c r="GF26" s="59">
        <f t="shared" si="50"/>
        <v>219.36004077210373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3.4340730468535874</v>
      </c>
      <c r="GN26" s="21">
        <f>EXP(-LN(2)/2)*GN25+(1-EXP(-LN(2)/2))/(LN(2)/2)*GH26*GK26*VLOOKUP('Données projet'!$B$17,Paramètres!$A$1:$I$89,3,0)*0.475*44/12</f>
        <v>2.629300476990565</v>
      </c>
      <c r="GO26" s="21">
        <f t="shared" si="27"/>
        <v>6.0633735238441524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12.2</v>
      </c>
      <c r="GU26" s="12">
        <f>IF('Données projet'!$A$270&gt;35,GU25+GT26-HC25,IF(A26&lt;'Données projet'!$A$270,$GR$205^A26,IF(A26='Données projet'!$A$270,'Données projet'!$B$270,GU25+GT26-HC25)))</f>
        <v>88.600000000000009</v>
      </c>
      <c r="GV26" s="17">
        <f>GU26*VLOOKUP('Données projet'!$B$18,Paramètres!$A$1:$I$89,3,0)*VLOOKUP('Données projet'!$B$18,Paramètres!$A$1:$I$89,5,0)</f>
        <v>70.490160000000017</v>
      </c>
      <c r="GW26" s="13">
        <f t="shared" si="51"/>
        <v>19.795132097024002</v>
      </c>
      <c r="GX26" s="20">
        <f t="shared" si="28"/>
        <v>157.24688373565013</v>
      </c>
      <c r="GY26" s="59">
        <f t="shared" si="29"/>
        <v>450.58021706898342</v>
      </c>
      <c r="GZ26" s="59">
        <f ca="1">AVERAGE(OFFSET($GY$3,0,0,'Données projet'!$E$18+1,1))-AVERAGE(OFFSET($H$3,0,0,'Données projet'!$E$18+1,1))</f>
        <v>199.58763537752952</v>
      </c>
      <c r="HA26" s="59">
        <f t="shared" si="52"/>
        <v>242.62852778451929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4.592924020606258</v>
      </c>
      <c r="HI26" s="21">
        <f>EXP(-LN(2)/2)*HI25+(1-EXP(-LN(2)/2))/(LN(2)/2)*HC26*HF26*VLOOKUP('Données projet'!$B$18,Paramètres!$A$1:$I$89,3,0)*0.475*44/12</f>
        <v>2.8530707303514649</v>
      </c>
      <c r="HJ26" s="22">
        <f t="shared" si="30"/>
        <v>7.4459947509577233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3.6141025641025637</v>
      </c>
      <c r="N27" s="13">
        <f>IF('Données projet'!$A$36&gt;35,N26+M27-V26,IF(A27&lt;'Données projet'!$A$36,$K$205^A27,IF(A27='Données projet'!$A$36,'Données projet'!$B$36,N26+M27-V26)))</f>
        <v>42.47147875252827</v>
      </c>
      <c r="O27" s="13">
        <f>N27*VLOOKUP('Données projet'!$B$9,Paramètres!$A$1:$I$89,3,0)*VLOOKUP('Données projet'!$B$9,Paramètres!$A$1:$I$89,5,0)</f>
        <v>38.428193975287577</v>
      </c>
      <c r="P27" s="13">
        <f t="shared" si="33"/>
        <v>11.581072545536303</v>
      </c>
      <c r="Q27" s="20">
        <f t="shared" si="2"/>
        <v>87.099472523768256</v>
      </c>
      <c r="R27" s="59">
        <f t="shared" si="0"/>
        <v>380.43280585710158</v>
      </c>
      <c r="S27" s="59">
        <f ca="1">AVERAGE(OFFSET($R$3,0,0,'Données projet'!$E$9+1,1))-AVERAGE(OFFSET($H$3,0,0,'Données projet'!$E$9+1,1))</f>
        <v>309.07357540707869</v>
      </c>
      <c r="T27" s="59">
        <f t="shared" si="34"/>
        <v>155.9593924683299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2.5115384615384619</v>
      </c>
      <c r="AI27" s="13">
        <f>IF('Données projet'!$A$62&gt;35,AI26+AH27-AQ26,IF(A27&lt;'Données projet'!$A$62,$AF$205^A27,IF(A27='Données projet'!$A$62,'Données projet'!$B$62,AI26+AH27-AQ26)))</f>
        <v>31.743065877849862</v>
      </c>
      <c r="AJ27" s="13">
        <f>AI27*VLOOKUP('Données projet'!$B$10,Paramètres!$A$1:$I$89,3,0)*VLOOKUP('Données projet'!$B$10,Paramètres!$A$1:$I$89,5,0)</f>
        <v>28.721126006278556</v>
      </c>
      <c r="AK27" s="13">
        <f t="shared" si="35"/>
        <v>8.9540368420930783</v>
      </c>
      <c r="AL27" s="20">
        <f t="shared" si="4"/>
        <v>65.61757529424726</v>
      </c>
      <c r="AM27" s="59">
        <f t="shared" si="5"/>
        <v>358.95090862758059</v>
      </c>
      <c r="AN27" s="59">
        <f ca="1">AVERAGE(OFFSET($AM$3,0,0,'Données projet'!$E$10+1,1))-AVERAGE(OFFSET($H$3,0,0,'Données projet'!$E$10+1,1))</f>
        <v>234.30804102916278</v>
      </c>
      <c r="AO27" s="59">
        <f t="shared" si="36"/>
        <v>91.137993288782411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7.2264102564102561</v>
      </c>
      <c r="BD27" s="12">
        <f>IF('Données projet'!$A$88&gt;35,BD26+BC27-BL26,IF(A27&lt;'Données projet'!$A$88,$BA$205^A27,IF(A27='Données projet'!$A$88,'Données projet'!$B$88,BD26+BC27-BL26)))</f>
        <v>73.932449391789717</v>
      </c>
      <c r="BE27" s="13">
        <f>BD27*VLOOKUP('Données projet'!$B$11,Paramètres!$A$1:$I$89,3,0)*VLOOKUP('Données projet'!$B$11,Paramètres!$A$1:$I$89,5,0)</f>
        <v>34.600386315357589</v>
      </c>
      <c r="BF27" s="13">
        <f t="shared" si="37"/>
        <v>10.555625905490055</v>
      </c>
      <c r="BG27" s="20">
        <f t="shared" si="7"/>
        <v>78.646721284642979</v>
      </c>
      <c r="BH27" s="59">
        <f t="shared" si="8"/>
        <v>371.98005461797629</v>
      </c>
      <c r="BI27" s="59">
        <f ca="1">AVERAGE(OFFSET($BH$3,0,0,'Données projet'!$E$11+1,1))-AVERAGE(OFFSET($H$3,0,0,'Données projet'!$E$11+1,1))</f>
        <v>158.58786357608489</v>
      </c>
      <c r="BJ27" s="59">
        <f t="shared" si="38"/>
        <v>163.20074068819849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4.9084615384615384</v>
      </c>
      <c r="BY27" s="12">
        <f>IF('Données projet'!$A$114&gt;35,BY26+BX27-CG26,IF(A27&lt;'Données projet'!$A$114,$BV$205^A27,IF(A27='Données projet'!$A$114,'Données projet'!$B$114,BY26+BX27-CG26)))</f>
        <v>54.256692760299323</v>
      </c>
      <c r="BZ27" s="13">
        <f>BY27*VLOOKUP('Données projet'!$B$12,Paramètres!$A$1:$I$89,3,0)*VLOOKUP('Données projet'!$B$12,Paramètres!$A$1:$I$89,5,0)</f>
        <v>25.392132211820083</v>
      </c>
      <c r="CA27" s="13">
        <f t="shared" si="39"/>
        <v>8.0305307997692346</v>
      </c>
      <c r="CB27" s="20">
        <f t="shared" si="10"/>
        <v>58.211138078518069</v>
      </c>
      <c r="CC27" s="59">
        <f t="shared" si="11"/>
        <v>351.54447141185136</v>
      </c>
      <c r="CD27" s="59">
        <f ca="1">AVERAGE(OFFSET($CC$3,0,0,'Données projet'!$E$12+1,1))-AVERAGE(OFFSET($H$3,0,0,'Données projet'!$E$12+1,1))</f>
        <v>123.2823358462245</v>
      </c>
      <c r="CE27" s="59">
        <f t="shared" si="40"/>
        <v>92.75115399786057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12.695384615384615</v>
      </c>
      <c r="CT27" s="12">
        <f>IF('Données projet'!$A$140&gt;35,CT26+CS27-DB26,IF(A27&lt;'Données projet'!$A$140,$CQ$205^A27,IF(A27='Données projet'!$A$140,'Données projet'!$B$140,CT26+CS27-DB26)))</f>
        <v>102.62923076923077</v>
      </c>
      <c r="CU27" s="17">
        <f>CT27*VLOOKUP('Données projet'!$B$13,Paramètres!$A$1:$I$89,3,0)*VLOOKUP('Données projet'!$B$13,Paramètres!$A$1:$I$89,5,0)</f>
        <v>61.372280000000011</v>
      </c>
      <c r="CV27" s="13">
        <f t="shared" si="41"/>
        <v>17.514766499235456</v>
      </c>
      <c r="CW27" s="20">
        <f t="shared" si="13"/>
        <v>137.39493931950179</v>
      </c>
      <c r="CX27" s="59">
        <f t="shared" si="14"/>
        <v>430.72827265283513</v>
      </c>
      <c r="CY27" s="59">
        <f ca="1">AVERAGE(OFFSET($CX$3,0,0,'Données projet'!$E$13+1,1))-AVERAGE(OFFSET($H$3,0,0,'Données projet'!$E$13+1,1))</f>
        <v>179.32848817523677</v>
      </c>
      <c r="CZ27" s="59">
        <f t="shared" si="42"/>
        <v>131.3292389103035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8.8717051140512471</v>
      </c>
      <c r="DH27" s="21">
        <f>EXP(-LN(2)/2)*DH26+(1-EXP(-LN(2)/2))/(LN(2)/2)*DB27*DE27*VLOOKUP('Données projet'!$B$13,Paramètres!$A$1:$I$89,3,0)*0.475*44/12</f>
        <v>8.928274393759823</v>
      </c>
      <c r="DI27" s="22">
        <f t="shared" si="15"/>
        <v>17.79997950781107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3.6141025641025637</v>
      </c>
      <c r="DO27" s="12">
        <f>IF('Données projet'!$A$166&gt;35,DO26+DN27-DW26,IF(A27&lt;'Données projet'!$A$166,$DL$205^A27,IF(A27='Données projet'!$A$166,'Données projet'!$B$166,DO26+DN27-DW26)))</f>
        <v>42.47147875252827</v>
      </c>
      <c r="DP27" s="17">
        <f>DO27*VLOOKUP('Données projet'!$B$14,Paramètres!$A$1:$I$89,3,0)*VLOOKUP('Données projet'!$B$14,Paramètres!$A$1:$I$89,5,0)</f>
        <v>41.078414249445345</v>
      </c>
      <c r="DQ27" s="13">
        <f t="shared" si="43"/>
        <v>12.284036659158055</v>
      </c>
      <c r="DR27" s="20">
        <f t="shared" si="16"/>
        <v>92.939601999150909</v>
      </c>
      <c r="DS27" s="59">
        <f t="shared" si="17"/>
        <v>386.27293533248422</v>
      </c>
      <c r="DT27" s="59">
        <f ca="1">AVERAGE(OFFSET($DS$3,0,0,'Données projet'!$E$14+1,1))-AVERAGE(OFFSET($H$3,0,0,'Données projet'!$E$14+1,1))</f>
        <v>340.4659523898373</v>
      </c>
      <c r="DU27" s="59">
        <f t="shared" si="44"/>
        <v>170.54530785680572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2.5115384615384619</v>
      </c>
      <c r="EJ27" s="12">
        <f>IF('Données projet'!$A$192&gt;35,EJ26+EI27-ER26,IF(A27&lt;'Données projet'!$A$192,$EG$205^A27,IF(A27='Données projet'!$A$192,'Données projet'!$B$192,EJ26+EI27-ER26)))</f>
        <v>31.743065877849862</v>
      </c>
      <c r="EK27" s="17">
        <f>EJ27*VLOOKUP('Données projet'!$B$15,Paramètres!$A$1:$I$89,3,0)*VLOOKUP('Données projet'!$B$15,Paramètres!$A$1:$I$89,5,0)</f>
        <v>30.701893317056388</v>
      </c>
      <c r="EL27" s="13">
        <f t="shared" si="45"/>
        <v>9.4975414740940725</v>
      </c>
      <c r="EM27" s="20">
        <f t="shared" si="19"/>
        <v>70.014015594587036</v>
      </c>
      <c r="EN27" s="59">
        <f t="shared" si="20"/>
        <v>363.34734892792034</v>
      </c>
      <c r="EO27" s="59">
        <f ca="1">AVERAGE(OFFSET($EN$3,0,0,'Données projet'!$E$15+1,1))-AVERAGE(OFFSET($H$3,0,0,'Données projet'!$E$15+1,1))</f>
        <v>262.20955982183017</v>
      </c>
      <c r="EP27" s="59">
        <f t="shared" si="46"/>
        <v>101.35842063036193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12.2</v>
      </c>
      <c r="FE27" s="12">
        <f>IF('Données projet'!$A$218&gt;35,FE26+FD27-FM26,IF(A27&lt;'Données projet'!$A$218,$FB$205^A27,IF(A27='Données projet'!$A$218,'Données projet'!$B$218,FE26+FD27-FM26)))</f>
        <v>100.80000000000001</v>
      </c>
      <c r="FF27" s="17">
        <f>FE27*VLOOKUP('Données projet'!$B$16,Paramètres!$A$1:$I$89,3,0)*VLOOKUP('Données projet'!$B$16,Paramètres!$A$1:$I$89,5,0)</f>
        <v>80.196480000000022</v>
      </c>
      <c r="FG27" s="13">
        <f t="shared" si="47"/>
        <v>22.185217649516332</v>
      </c>
      <c r="FH27" s="20">
        <f t="shared" si="22"/>
        <v>178.31479007290764</v>
      </c>
      <c r="FI27" s="59">
        <f t="shared" si="23"/>
        <v>471.64812340624098</v>
      </c>
      <c r="FJ27" s="59">
        <f ca="1">AVERAGE(OFFSET($FI$3,0,0,'Données projet'!$E$16+1,1))-AVERAGE(OFFSET($H$3,0,0,'Données projet'!$E$16+1,1))</f>
        <v>199.58763537752952</v>
      </c>
      <c r="FK27" s="59">
        <f t="shared" si="48"/>
        <v>242.62852778451929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4.4673302717314032</v>
      </c>
      <c r="FS27" s="21">
        <f>EXP(-LN(2)/2)*FS26+(1-EXP(-LN(2)/2))/(LN(2)/2)*FM27*FP27*VLOOKUP('Données projet'!$B$16,Paramètres!$A$1:$I$89,3,0)*0.475*44/12</f>
        <v>2.0174256606363765</v>
      </c>
      <c r="FT27" s="22">
        <f t="shared" si="24"/>
        <v>6.4847559323677793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12.2</v>
      </c>
      <c r="FZ27" s="12">
        <f>IF('Données projet'!$A$244&gt;35,FZ26+FY27-GH26,IF(A27&lt;'Données projet'!$A$244,$FW$205^A27,IF(A27='Données projet'!$A$244,'Données projet'!$B$244,FZ26+FY27-GH26)))</f>
        <v>100.80000000000001</v>
      </c>
      <c r="GA27" s="17">
        <f>FZ27*VLOOKUP('Données projet'!$B$17,Paramètres!$A$1:$I$89,3,0)*VLOOKUP('Données projet'!$B$17,Paramètres!$A$1:$I$89,5,0)</f>
        <v>73.906560000000013</v>
      </c>
      <c r="GB27" s="13">
        <f t="shared" si="49"/>
        <v>20.640506648584481</v>
      </c>
      <c r="GC27" s="20">
        <f t="shared" si="25"/>
        <v>164.6694744129513</v>
      </c>
      <c r="GD27" s="59">
        <f t="shared" si="26"/>
        <v>458.00280774628459</v>
      </c>
      <c r="GE27" s="59">
        <f ca="1">AVERAGE(OFFSET($GD$3,0,0,'Données projet'!$E$17+1,1))-AVERAGE(OFFSET($H$3,0,0,'Données projet'!$E$17+1,1))</f>
        <v>178.12968684094687</v>
      </c>
      <c r="GF27" s="59">
        <f t="shared" si="50"/>
        <v>219.36004077210373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3.3401681387973232</v>
      </c>
      <c r="GN27" s="21">
        <f>EXP(-LN(2)/2)*GN26+(1-EXP(-LN(2)/2))/(LN(2)/2)*GH27*GK27*VLOOKUP('Données projet'!$B$17,Paramètres!$A$1:$I$89,3,0)*0.475*44/12</f>
        <v>1.8591961970570525</v>
      </c>
      <c r="GO27" s="21">
        <f t="shared" si="27"/>
        <v>5.1993643358543755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12.2</v>
      </c>
      <c r="GU27" s="12">
        <f>IF('Données projet'!$A$270&gt;35,GU26+GT27-HC26,IF(A27&lt;'Données projet'!$A$270,$GR$205^A27,IF(A27='Données projet'!$A$270,'Données projet'!$B$270,GU26+GT27-HC26)))</f>
        <v>100.80000000000001</v>
      </c>
      <c r="GV27" s="17">
        <f>GU27*VLOOKUP('Données projet'!$B$18,Paramètres!$A$1:$I$89,3,0)*VLOOKUP('Données projet'!$B$18,Paramètres!$A$1:$I$89,5,0)</f>
        <v>80.196480000000022</v>
      </c>
      <c r="GW27" s="13">
        <f t="shared" si="51"/>
        <v>22.185217649516332</v>
      </c>
      <c r="GX27" s="20">
        <f t="shared" si="28"/>
        <v>178.31479007290764</v>
      </c>
      <c r="GY27" s="59">
        <f t="shared" si="29"/>
        <v>471.64812340624098</v>
      </c>
      <c r="GZ27" s="59">
        <f ca="1">AVERAGE(OFFSET($GY$3,0,0,'Données projet'!$E$18+1,1))-AVERAGE(OFFSET($H$3,0,0,'Données projet'!$E$18+1,1))</f>
        <v>199.58763537752952</v>
      </c>
      <c r="HA27" s="59">
        <f t="shared" si="52"/>
        <v>242.62852778451929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4.4673302717314032</v>
      </c>
      <c r="HI27" s="21">
        <f>EXP(-LN(2)/2)*HI26+(1-EXP(-LN(2)/2))/(LN(2)/2)*HC27*HF27*VLOOKUP('Données projet'!$B$18,Paramètres!$A$1:$I$89,3,0)*0.475*44/12</f>
        <v>2.0174256606363765</v>
      </c>
      <c r="HJ27" s="22">
        <f t="shared" si="30"/>
        <v>6.4847559323677793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3.6141025641025637</v>
      </c>
      <c r="N28" s="13">
        <f>IF('Données projet'!$A$36&gt;35,N27+M28-V27,IF(A28&lt;'Données projet'!$A$36,$K$205^A28,IF(A28='Données projet'!$A$36,'Données projet'!$B$36,N27+M28-V27)))</f>
        <v>49.651774378025635</v>
      </c>
      <c r="O28" s="13">
        <f>N28*VLOOKUP('Données projet'!$B$9,Paramètres!$A$1:$I$89,3,0)*VLOOKUP('Données projet'!$B$9,Paramètres!$A$1:$I$89,5,0)</f>
        <v>44.924925457237592</v>
      </c>
      <c r="P28" s="13">
        <f t="shared" si="33"/>
        <v>13.295047727521297</v>
      </c>
      <c r="Q28" s="20">
        <f t="shared" si="2"/>
        <v>101.39978663012171</v>
      </c>
      <c r="R28" s="59">
        <f t="shared" si="0"/>
        <v>394.73311996345501</v>
      </c>
      <c r="S28" s="59">
        <f ca="1">AVERAGE(OFFSET($R$3,0,0,'Données projet'!$E$9+1,1))-AVERAGE(OFFSET($H$3,0,0,'Données projet'!$E$9+1,1))</f>
        <v>309.07357540707869</v>
      </c>
      <c r="T28" s="59">
        <f t="shared" si="34"/>
        <v>155.9593924683299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2.5115384615384619</v>
      </c>
      <c r="AI28" s="13">
        <f>IF('Données projet'!$A$62&gt;35,AI27+AH28-AQ27,IF(A28&lt;'Données projet'!$A$62,$AF$205^A28,IF(A28='Données projet'!$A$62,'Données projet'!$B$62,AI27+AH28-AQ27)))</f>
        <v>36.662119896131756</v>
      </c>
      <c r="AJ28" s="13">
        <f>AI28*VLOOKUP('Données projet'!$B$10,Paramètres!$A$1:$I$89,3,0)*VLOOKUP('Données projet'!$B$10,Paramètres!$A$1:$I$89,5,0)</f>
        <v>33.171886082020016</v>
      </c>
      <c r="AK28" s="13">
        <f t="shared" si="35"/>
        <v>10.16961666571169</v>
      </c>
      <c r="AL28" s="20">
        <f t="shared" si="4"/>
        <v>75.48645061896606</v>
      </c>
      <c r="AM28" s="59">
        <f t="shared" si="5"/>
        <v>368.81978395229936</v>
      </c>
      <c r="AN28" s="59">
        <f ca="1">AVERAGE(OFFSET($AM$3,0,0,'Données projet'!$E$10+1,1))-AVERAGE(OFFSET($H$3,0,0,'Données projet'!$E$10+1,1))</f>
        <v>234.30804102916278</v>
      </c>
      <c r="AO28" s="59">
        <f t="shared" si="36"/>
        <v>91.137993288782411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7.2264102564102561</v>
      </c>
      <c r="BD28" s="12">
        <f>IF('Données projet'!$A$88&gt;35,BD27+BC28-BL27,IF(A28&lt;'Données projet'!$A$88,$BA$205^A28,IF(A28='Données projet'!$A$88,'Données projet'!$B$88,BD27+BC28-BL27)))</f>
        <v>88.451097014195071</v>
      </c>
      <c r="BE28" s="13">
        <f>BD28*VLOOKUP('Données projet'!$B$11,Paramètres!$A$1:$I$89,3,0)*VLOOKUP('Données projet'!$B$11,Paramètres!$A$1:$I$89,5,0)</f>
        <v>41.39511340264329</v>
      </c>
      <c r="BF28" s="13">
        <f t="shared" si="37"/>
        <v>12.367680831528276</v>
      </c>
      <c r="BG28" s="20">
        <f t="shared" si="7"/>
        <v>93.636866624515463</v>
      </c>
      <c r="BH28" s="59">
        <f t="shared" si="8"/>
        <v>386.97019995784876</v>
      </c>
      <c r="BI28" s="59">
        <f ca="1">AVERAGE(OFFSET($BH$3,0,0,'Données projet'!$E$11+1,1))-AVERAGE(OFFSET($H$3,0,0,'Données projet'!$E$11+1,1))</f>
        <v>158.58786357608489</v>
      </c>
      <c r="BJ28" s="59">
        <f t="shared" si="38"/>
        <v>163.20074068819849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4.9084615384615384</v>
      </c>
      <c r="BY28" s="12">
        <f>IF('Données projet'!$A$114&gt;35,BY27+BX28-CG27,IF(A28&lt;'Données projet'!$A$114,$BV$205^A28,IF(A28='Données projet'!$A$114,'Données projet'!$B$114,BY27+BX28-CG27)))</f>
        <v>64.079956146266369</v>
      </c>
      <c r="BZ28" s="13">
        <f>BY28*VLOOKUP('Données projet'!$B$12,Paramètres!$A$1:$I$89,3,0)*VLOOKUP('Données projet'!$B$12,Paramètres!$A$1:$I$89,5,0)</f>
        <v>29.98941947645266</v>
      </c>
      <c r="CA28" s="13">
        <f t="shared" si="39"/>
        <v>9.3025291963556676</v>
      </c>
      <c r="CB28" s="20">
        <f t="shared" si="10"/>
        <v>68.433477271807831</v>
      </c>
      <c r="CC28" s="59">
        <f t="shared" si="11"/>
        <v>361.76681060514113</v>
      </c>
      <c r="CD28" s="59">
        <f ca="1">AVERAGE(OFFSET($CC$3,0,0,'Données projet'!$E$12+1,1))-AVERAGE(OFFSET($H$3,0,0,'Données projet'!$E$12+1,1))</f>
        <v>123.2823358462245</v>
      </c>
      <c r="CE28" s="59">
        <f t="shared" si="40"/>
        <v>92.75115399786057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12.695384615384615</v>
      </c>
      <c r="CT28" s="12">
        <f>IF('Données projet'!$A$140&gt;35,CT27+CS28-DB27,IF(A28&lt;'Données projet'!$A$140,$CQ$205^A28,IF(A28='Données projet'!$A$140,'Données projet'!$B$140,CT27+CS28-DB27)))</f>
        <v>115.32461538461538</v>
      </c>
      <c r="CU28" s="17">
        <f>CT28*VLOOKUP('Données projet'!$B$13,Paramètres!$A$1:$I$89,3,0)*VLOOKUP('Données projet'!$B$13,Paramètres!$A$1:$I$89,5,0)</f>
        <v>68.964120000000008</v>
      </c>
      <c r="CV28" s="13">
        <f t="shared" si="41"/>
        <v>19.415989273317052</v>
      </c>
      <c r="CW28" s="20">
        <f t="shared" si="13"/>
        <v>153.92869031769388</v>
      </c>
      <c r="CX28" s="59">
        <f t="shared" si="14"/>
        <v>447.26202365102722</v>
      </c>
      <c r="CY28" s="59">
        <f ca="1">AVERAGE(OFFSET($CX$3,0,0,'Données projet'!$E$13+1,1))-AVERAGE(OFFSET($H$3,0,0,'Données projet'!$E$13+1,1))</f>
        <v>179.32848817523677</v>
      </c>
      <c r="CZ28" s="59">
        <f t="shared" si="42"/>
        <v>131.3292389103035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8.6291078711648197</v>
      </c>
      <c r="DH28" s="21">
        <f>EXP(-LN(2)/2)*DH27+(1-EXP(-LN(2)/2))/(LN(2)/2)*DB28*DE28*VLOOKUP('Données projet'!$B$13,Paramètres!$A$1:$I$89,3,0)*0.475*44/12</f>
        <v>6.3132433681217828</v>
      </c>
      <c r="DI28" s="22">
        <f t="shared" si="15"/>
        <v>14.942351239286602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3.6141025641025637</v>
      </c>
      <c r="DO28" s="12">
        <f>IF('Données projet'!$A$166&gt;35,DO27+DN28-DW27,IF(A28&lt;'Données projet'!$A$166,$DL$205^A28,IF(A28='Données projet'!$A$166,'Données projet'!$B$166,DO27+DN28-DW27)))</f>
        <v>49.651774378025635</v>
      </c>
      <c r="DP28" s="17">
        <f>DO28*VLOOKUP('Données projet'!$B$14,Paramètres!$A$1:$I$89,3,0)*VLOOKUP('Données projet'!$B$14,Paramètres!$A$1:$I$89,5,0)</f>
        <v>48.023196178426396</v>
      </c>
      <c r="DQ28" s="13">
        <f t="shared" si="43"/>
        <v>14.102049100199697</v>
      </c>
      <c r="DR28" s="20">
        <f t="shared" si="16"/>
        <v>108.20146886027378</v>
      </c>
      <c r="DS28" s="59">
        <f t="shared" si="17"/>
        <v>401.53480219360711</v>
      </c>
      <c r="DT28" s="59">
        <f ca="1">AVERAGE(OFFSET($DS$3,0,0,'Données projet'!$E$14+1,1))-AVERAGE(OFFSET($H$3,0,0,'Données projet'!$E$14+1,1))</f>
        <v>340.4659523898373</v>
      </c>
      <c r="DU28" s="59">
        <f t="shared" si="44"/>
        <v>170.54530785680572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2.5115384615384619</v>
      </c>
      <c r="EJ28" s="12">
        <f>IF('Données projet'!$A$192&gt;35,EJ27+EI28-ER27,IF(A28&lt;'Données projet'!$A$192,$EG$205^A28,IF(A28='Données projet'!$A$192,'Données projet'!$B$192,EJ27+EI28-ER27)))</f>
        <v>36.662119896131756</v>
      </c>
      <c r="EK28" s="17">
        <f>EJ28*VLOOKUP('Données projet'!$B$15,Paramètres!$A$1:$I$89,3,0)*VLOOKUP('Données projet'!$B$15,Paramètres!$A$1:$I$89,5,0)</f>
        <v>35.459602363538636</v>
      </c>
      <c r="EL28" s="13">
        <f t="shared" si="45"/>
        <v>10.786906259328855</v>
      </c>
      <c r="EM28" s="20">
        <f t="shared" si="19"/>
        <v>80.546002518160876</v>
      </c>
      <c r="EN28" s="59">
        <f t="shared" si="20"/>
        <v>373.8793358514942</v>
      </c>
      <c r="EO28" s="59">
        <f ca="1">AVERAGE(OFFSET($EN$3,0,0,'Données projet'!$E$15+1,1))-AVERAGE(OFFSET($H$3,0,0,'Données projet'!$E$15+1,1))</f>
        <v>262.20955982183017</v>
      </c>
      <c r="EP28" s="59">
        <f t="shared" si="46"/>
        <v>101.35842063036193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12.2</v>
      </c>
      <c r="FE28" s="12">
        <f>IF('Données projet'!$A$218&gt;35,FE27+FD28-FM27,IF(A28&lt;'Données projet'!$A$218,$FB$205^A28,IF(A28='Données projet'!$A$218,'Données projet'!$B$218,FE27+FD28-FM27)))</f>
        <v>113.00000000000001</v>
      </c>
      <c r="FF28" s="17">
        <f>FE28*VLOOKUP('Données projet'!$B$16,Paramètres!$A$1:$I$89,3,0)*VLOOKUP('Données projet'!$B$16,Paramètres!$A$1:$I$89,5,0)</f>
        <v>89.902800000000013</v>
      </c>
      <c r="FG28" s="13">
        <f t="shared" si="47"/>
        <v>24.541781220398729</v>
      </c>
      <c r="FH28" s="20">
        <f t="shared" si="22"/>
        <v>199.32431229219446</v>
      </c>
      <c r="FI28" s="59">
        <f t="shared" si="23"/>
        <v>492.65764562552778</v>
      </c>
      <c r="FJ28" s="59">
        <f ca="1">AVERAGE(OFFSET($FI$3,0,0,'Données projet'!$E$16+1,1))-AVERAGE(OFFSET($H$3,0,0,'Données projet'!$E$16+1,1))</f>
        <v>199.58763537752952</v>
      </c>
      <c r="FK28" s="59">
        <f t="shared" si="48"/>
        <v>242.62852778451929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4.3451708905242192</v>
      </c>
      <c r="FS28" s="21">
        <f>EXP(-LN(2)/2)*FS27+(1-EXP(-LN(2)/2))/(LN(2)/2)*FM28*FP28*VLOOKUP('Données projet'!$B$16,Paramètres!$A$1:$I$89,3,0)*0.475*44/12</f>
        <v>1.4265353651757324</v>
      </c>
      <c r="FT28" s="22">
        <f t="shared" si="24"/>
        <v>5.7717062556999519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12.2</v>
      </c>
      <c r="FZ28" s="12">
        <f>IF('Données projet'!$A$244&gt;35,FZ27+FY28-GH27,IF(A28&lt;'Données projet'!$A$244,$FW$205^A28,IF(A28='Données projet'!$A$244,'Données projet'!$B$244,FZ27+FY28-GH27)))</f>
        <v>113.00000000000001</v>
      </c>
      <c r="GA28" s="17">
        <f>FZ28*VLOOKUP('Données projet'!$B$17,Paramètres!$A$1:$I$89,3,0)*VLOOKUP('Données projet'!$B$17,Paramètres!$A$1:$I$89,5,0)</f>
        <v>82.851600000000019</v>
      </c>
      <c r="GB28" s="13">
        <f t="shared" si="49"/>
        <v>22.832987552808163</v>
      </c>
      <c r="GC28" s="20">
        <f t="shared" si="25"/>
        <v>184.06732332114089</v>
      </c>
      <c r="GD28" s="59">
        <f t="shared" si="26"/>
        <v>477.40065665447423</v>
      </c>
      <c r="GE28" s="59">
        <f ca="1">AVERAGE(OFFSET($GD$3,0,0,'Données projet'!$E$17+1,1))-AVERAGE(OFFSET($H$3,0,0,'Données projet'!$E$17+1,1))</f>
        <v>178.12968684094687</v>
      </c>
      <c r="GF28" s="59">
        <f t="shared" si="50"/>
        <v>219.36004077210373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3.2488310653901022</v>
      </c>
      <c r="GN28" s="21">
        <f>EXP(-LN(2)/2)*GN27+(1-EXP(-LN(2)/2))/(LN(2)/2)*GH28*GK28*VLOOKUP('Données projet'!$B$17,Paramètres!$A$1:$I$89,3,0)*0.475*44/12</f>
        <v>1.3146502384952827</v>
      </c>
      <c r="GO28" s="21">
        <f t="shared" si="27"/>
        <v>4.5634813038853848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12.2</v>
      </c>
      <c r="GU28" s="12">
        <f>IF('Données projet'!$A$270&gt;35,GU27+GT28-HC27,IF(A28&lt;'Données projet'!$A$270,$GR$205^A28,IF(A28='Données projet'!$A$270,'Données projet'!$B$270,GU27+GT28-HC27)))</f>
        <v>113.00000000000001</v>
      </c>
      <c r="GV28" s="17">
        <f>GU28*VLOOKUP('Données projet'!$B$18,Paramètres!$A$1:$I$89,3,0)*VLOOKUP('Données projet'!$B$18,Paramètres!$A$1:$I$89,5,0)</f>
        <v>89.902800000000013</v>
      </c>
      <c r="GW28" s="13">
        <f t="shared" si="51"/>
        <v>24.541781220398729</v>
      </c>
      <c r="GX28" s="20">
        <f t="shared" si="28"/>
        <v>199.32431229219446</v>
      </c>
      <c r="GY28" s="59">
        <f t="shared" si="29"/>
        <v>492.65764562552778</v>
      </c>
      <c r="GZ28" s="59">
        <f ca="1">AVERAGE(OFFSET($GY$3,0,0,'Données projet'!$E$18+1,1))-AVERAGE(OFFSET($H$3,0,0,'Données projet'!$E$18+1,1))</f>
        <v>199.58763537752952</v>
      </c>
      <c r="HA28" s="59">
        <f t="shared" si="52"/>
        <v>242.62852778451929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4.3451708905242192</v>
      </c>
      <c r="HI28" s="21">
        <f>EXP(-LN(2)/2)*HI27+(1-EXP(-LN(2)/2))/(LN(2)/2)*HC28*HF28*VLOOKUP('Données projet'!$B$18,Paramètres!$A$1:$I$89,3,0)*0.475*44/12</f>
        <v>1.4265353651757324</v>
      </c>
      <c r="HJ28" s="22">
        <f t="shared" si="30"/>
        <v>5.7717062556999519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3.6141025641025637</v>
      </c>
      <c r="N29" s="13">
        <f>IF('Données projet'!$A$36&gt;35,N28+M29-V28,IF(A29&lt;'Données projet'!$A$36,$K$205^A29,IF(A29='Données projet'!$A$36,'Données projet'!$B$36,N28+M29-V28)))</f>
        <v>58.045982181385838</v>
      </c>
      <c r="O29" s="13">
        <f>N29*VLOOKUP('Données projet'!$B$9,Paramètres!$A$1:$I$89,3,0)*VLOOKUP('Données projet'!$B$9,Paramètres!$A$1:$I$89,5,0)</f>
        <v>52.520004677717907</v>
      </c>
      <c r="P29" s="13">
        <f t="shared" si="33"/>
        <v>15.262687750384339</v>
      </c>
      <c r="Q29" s="20">
        <f t="shared" si="2"/>
        <v>118.05485597894473</v>
      </c>
      <c r="R29" s="59">
        <f t="shared" si="0"/>
        <v>411.38818931227803</v>
      </c>
      <c r="S29" s="59">
        <f ca="1">AVERAGE(OFFSET($R$3,0,0,'Données projet'!$E$9+1,1))-AVERAGE(OFFSET($H$3,0,0,'Données projet'!$E$9+1,1))</f>
        <v>309.07357540707869</v>
      </c>
      <c r="T29" s="59">
        <f t="shared" si="34"/>
        <v>155.9593924683299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2.5115384615384619</v>
      </c>
      <c r="AI29" s="13">
        <f>IF('Données projet'!$A$62&gt;35,AI28+AH29-AQ28,IF(A29&lt;'Données projet'!$A$62,$AF$205^A29,IF(A29='Données projet'!$A$62,'Données projet'!$B$62,AI28+AH29-AQ28)))</f>
        <v>42.3434535419672</v>
      </c>
      <c r="AJ29" s="13">
        <f>AI29*VLOOKUP('Données projet'!$B$10,Paramètres!$A$1:$I$89,3,0)*VLOOKUP('Données projet'!$B$10,Paramètres!$A$1:$I$89,5,0)</f>
        <v>38.31235676477192</v>
      </c>
      <c r="AK29" s="13">
        <f t="shared" si="35"/>
        <v>11.55022086142605</v>
      </c>
      <c r="AL29" s="20">
        <f t="shared" si="4"/>
        <v>86.843989365628133</v>
      </c>
      <c r="AM29" s="59">
        <f t="shared" si="5"/>
        <v>380.17732269896146</v>
      </c>
      <c r="AN29" s="59">
        <f ca="1">AVERAGE(OFFSET($AM$3,0,0,'Données projet'!$E$10+1,1))-AVERAGE(OFFSET($H$3,0,0,'Données projet'!$E$10+1,1))</f>
        <v>234.30804102916278</v>
      </c>
      <c r="AO29" s="59">
        <f t="shared" si="36"/>
        <v>91.137993288782411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7.2264102564102561</v>
      </c>
      <c r="BD29" s="12">
        <f>IF('Données projet'!$A$88&gt;35,BD28+BC29-BL28,IF(A29&lt;'Données projet'!$A$88,$BA$205^A29,IF(A29='Données projet'!$A$88,'Données projet'!$B$88,BD28+BC29-BL28)))</f>
        <v>105.82087604801265</v>
      </c>
      <c r="BE29" s="13">
        <f>BD29*VLOOKUP('Données projet'!$B$11,Paramètres!$A$1:$I$89,3,0)*VLOOKUP('Données projet'!$B$11,Paramètres!$A$1:$I$89,5,0)</f>
        <v>49.524169990469915</v>
      </c>
      <c r="BF29" s="13">
        <f t="shared" si="37"/>
        <v>14.490806184311312</v>
      </c>
      <c r="BG29" s="20">
        <f t="shared" si="7"/>
        <v>111.4927501710773</v>
      </c>
      <c r="BH29" s="59">
        <f t="shared" si="8"/>
        <v>404.82608350441063</v>
      </c>
      <c r="BI29" s="59">
        <f ca="1">AVERAGE(OFFSET($BH$3,0,0,'Données projet'!$E$11+1,1))-AVERAGE(OFFSET($H$3,0,0,'Données projet'!$E$11+1,1))</f>
        <v>158.58786357608489</v>
      </c>
      <c r="BJ29" s="59">
        <f t="shared" si="38"/>
        <v>163.20074068819849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4.9084615384615384</v>
      </c>
      <c r="BY29" s="12">
        <f>IF('Données projet'!$A$114&gt;35,BY28+BX29-CG28,IF(A29&lt;'Données projet'!$A$114,$BV$205^A29,IF(A29='Données projet'!$A$114,'Données projet'!$B$114,BY28+BX29-CG28)))</f>
        <v>75.681737511137769</v>
      </c>
      <c r="BZ29" s="13">
        <f>BY29*VLOOKUP('Données projet'!$B$12,Paramètres!$A$1:$I$89,3,0)*VLOOKUP('Données projet'!$B$12,Paramètres!$A$1:$I$89,5,0)</f>
        <v>35.419053155212474</v>
      </c>
      <c r="CA29" s="13">
        <f t="shared" si="39"/>
        <v>10.776006170294048</v>
      </c>
      <c r="CB29" s="20">
        <f t="shared" si="10"/>
        <v>80.456394991923858</v>
      </c>
      <c r="CC29" s="59">
        <f t="shared" si="11"/>
        <v>373.78972832525716</v>
      </c>
      <c r="CD29" s="59">
        <f ca="1">AVERAGE(OFFSET($CC$3,0,0,'Données projet'!$E$12+1,1))-AVERAGE(OFFSET($H$3,0,0,'Données projet'!$E$12+1,1))</f>
        <v>123.2823358462245</v>
      </c>
      <c r="CE29" s="59">
        <f t="shared" si="40"/>
        <v>92.75115399786057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12.695384615384615</v>
      </c>
      <c r="CT29" s="12">
        <f>IF('Données projet'!$A$140&gt;35,CT28+CS29-DB28,IF(A29&lt;'Données projet'!$A$140,$CQ$205^A29,IF(A29='Données projet'!$A$140,'Données projet'!$B$140,CT28+CS29-DB28)))</f>
        <v>128.02000000000001</v>
      </c>
      <c r="CU29" s="17">
        <f>CT29*VLOOKUP('Données projet'!$B$13,Paramètres!$A$1:$I$89,3,0)*VLOOKUP('Données projet'!$B$13,Paramètres!$A$1:$I$89,5,0)</f>
        <v>76.555960000000013</v>
      </c>
      <c r="CV29" s="13">
        <f t="shared" si="41"/>
        <v>21.292953972936246</v>
      </c>
      <c r="CW29" s="20">
        <f t="shared" si="13"/>
        <v>170.42019183619729</v>
      </c>
      <c r="CX29" s="59">
        <f t="shared" si="14"/>
        <v>463.75352516953058</v>
      </c>
      <c r="CY29" s="59">
        <f ca="1">AVERAGE(OFFSET($CX$3,0,0,'Données projet'!$E$13+1,1))-AVERAGE(OFFSET($H$3,0,0,'Données projet'!$E$13+1,1))</f>
        <v>179.32848817523677</v>
      </c>
      <c r="CZ29" s="59">
        <f t="shared" si="42"/>
        <v>131.3292389103035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8.3931444626427574</v>
      </c>
      <c r="DH29" s="21">
        <f>EXP(-LN(2)/2)*DH28+(1-EXP(-LN(2)/2))/(LN(2)/2)*DB29*DE29*VLOOKUP('Données projet'!$B$13,Paramètres!$A$1:$I$89,3,0)*0.475*44/12</f>
        <v>4.4641371968799124</v>
      </c>
      <c r="DI29" s="22">
        <f t="shared" si="15"/>
        <v>12.85728165952267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3.6141025641025637</v>
      </c>
      <c r="DO29" s="12">
        <f>IF('Données projet'!$A$166&gt;35,DO28+DN29-DW28,IF(A29&lt;'Données projet'!$A$166,$DL$205^A29,IF(A29='Données projet'!$A$166,'Données projet'!$B$166,DO28+DN29-DW28)))</f>
        <v>58.045982181385838</v>
      </c>
      <c r="DP29" s="17">
        <f>DO29*VLOOKUP('Données projet'!$B$14,Paramètres!$A$1:$I$89,3,0)*VLOOKUP('Données projet'!$B$14,Paramètres!$A$1:$I$89,5,0)</f>
        <v>56.142073965836389</v>
      </c>
      <c r="DQ29" s="13">
        <f t="shared" si="43"/>
        <v>16.189123684858295</v>
      </c>
      <c r="DR29" s="20">
        <f t="shared" si="16"/>
        <v>125.97683590829324</v>
      </c>
      <c r="DS29" s="59">
        <f t="shared" si="17"/>
        <v>419.31016924162657</v>
      </c>
      <c r="DT29" s="59">
        <f ca="1">AVERAGE(OFFSET($DS$3,0,0,'Données projet'!$E$14+1,1))-AVERAGE(OFFSET($H$3,0,0,'Données projet'!$E$14+1,1))</f>
        <v>340.4659523898373</v>
      </c>
      <c r="DU29" s="59">
        <f t="shared" si="44"/>
        <v>170.54530785680572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2.5115384615384619</v>
      </c>
      <c r="EJ29" s="12">
        <f>IF('Données projet'!$A$192&gt;35,EJ28+EI29-ER28,IF(A29&lt;'Données projet'!$A$192,$EG$205^A29,IF(A29='Données projet'!$A$192,'Données projet'!$B$192,EJ28+EI29-ER28)))</f>
        <v>42.3434535419672</v>
      </c>
      <c r="EK29" s="17">
        <f>EJ29*VLOOKUP('Données projet'!$B$15,Paramètres!$A$1:$I$89,3,0)*VLOOKUP('Données projet'!$B$15,Paramètres!$A$1:$I$89,5,0)</f>
        <v>40.954588265790676</v>
      </c>
      <c r="EL29" s="13">
        <f t="shared" si="45"/>
        <v>12.251312296443206</v>
      </c>
      <c r="EM29" s="20">
        <f t="shared" si="19"/>
        <v>92.666943479224003</v>
      </c>
      <c r="EN29" s="59">
        <f t="shared" si="20"/>
        <v>386.00027681255733</v>
      </c>
      <c r="EO29" s="59">
        <f ca="1">AVERAGE(OFFSET($EN$3,0,0,'Données projet'!$E$15+1,1))-AVERAGE(OFFSET($H$3,0,0,'Données projet'!$E$15+1,1))</f>
        <v>262.20955982183017</v>
      </c>
      <c r="EP29" s="59">
        <f t="shared" si="46"/>
        <v>101.35842063036193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12.2</v>
      </c>
      <c r="FE29" s="12">
        <f>IF('Données projet'!$A$218&gt;35,FE28+FD29-FM28,IF(A29&lt;'Données projet'!$A$218,$FB$205^A29,IF(A29='Données projet'!$A$218,'Données projet'!$B$218,FE28+FD29-FM28)))</f>
        <v>125.20000000000002</v>
      </c>
      <c r="FF29" s="17">
        <f>FE29*VLOOKUP('Données projet'!$B$16,Paramètres!$A$1:$I$89,3,0)*VLOOKUP('Données projet'!$B$16,Paramètres!$A$1:$I$89,5,0)</f>
        <v>99.609120000000019</v>
      </c>
      <c r="FG29" s="13">
        <f t="shared" si="47"/>
        <v>26.868854563103099</v>
      </c>
      <c r="FH29" s="20">
        <f t="shared" si="22"/>
        <v>220.28247236407125</v>
      </c>
      <c r="FI29" s="59">
        <f t="shared" si="23"/>
        <v>513.61580569740454</v>
      </c>
      <c r="FJ29" s="59">
        <f ca="1">AVERAGE(OFFSET($FI$3,0,0,'Données projet'!$E$16+1,1))-AVERAGE(OFFSET($H$3,0,0,'Données projet'!$E$16+1,1))</f>
        <v>199.58763537752952</v>
      </c>
      <c r="FK29" s="59">
        <f t="shared" si="48"/>
        <v>242.62852778451929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4.2263519640202283</v>
      </c>
      <c r="FS29" s="21">
        <f>EXP(-LN(2)/2)*FS28+(1-EXP(-LN(2)/2))/(LN(2)/2)*FM29*FP29*VLOOKUP('Données projet'!$B$16,Paramètres!$A$1:$I$89,3,0)*0.475*44/12</f>
        <v>1.0087128303181883</v>
      </c>
      <c r="FT29" s="22">
        <f t="shared" si="24"/>
        <v>5.2350647943384168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12.2</v>
      </c>
      <c r="FZ29" s="12">
        <f>IF('Données projet'!$A$244&gt;35,FZ28+FY29-GH28,IF(A29&lt;'Données projet'!$A$244,$FW$205^A29,IF(A29='Données projet'!$A$244,'Données projet'!$B$244,FZ28+FY29-GH28)))</f>
        <v>125.20000000000002</v>
      </c>
      <c r="GA29" s="17">
        <f>FZ29*VLOOKUP('Données projet'!$B$17,Paramètres!$A$1:$I$89,3,0)*VLOOKUP('Données projet'!$B$17,Paramètres!$A$1:$I$89,5,0)</f>
        <v>91.796640000000011</v>
      </c>
      <c r="GB29" s="13">
        <f t="shared" si="49"/>
        <v>24.998031572688671</v>
      </c>
      <c r="GC29" s="20">
        <f t="shared" si="25"/>
        <v>203.41738632243278</v>
      </c>
      <c r="GD29" s="59">
        <f t="shared" si="26"/>
        <v>496.75071965576609</v>
      </c>
      <c r="GE29" s="59">
        <f ca="1">AVERAGE(OFFSET($GD$3,0,0,'Données projet'!$E$17+1,1))-AVERAGE(OFFSET($H$3,0,0,'Données projet'!$E$17+1,1))</f>
        <v>178.12968684094687</v>
      </c>
      <c r="GF29" s="59">
        <f t="shared" si="50"/>
        <v>219.36004077210373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3.1599916090584093</v>
      </c>
      <c r="GN29" s="21">
        <f>EXP(-LN(2)/2)*GN28+(1-EXP(-LN(2)/2))/(LN(2)/2)*GH29*GK29*VLOOKUP('Données projet'!$B$17,Paramètres!$A$1:$I$89,3,0)*0.475*44/12</f>
        <v>0.92959809852852648</v>
      </c>
      <c r="GO29" s="21">
        <f t="shared" si="27"/>
        <v>4.0895897075869359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12.2</v>
      </c>
      <c r="GU29" s="12">
        <f>IF('Données projet'!$A$270&gt;35,GU28+GT29-HC28,IF(A29&lt;'Données projet'!$A$270,$GR$205^A29,IF(A29='Données projet'!$A$270,'Données projet'!$B$270,GU28+GT29-HC28)))</f>
        <v>125.20000000000002</v>
      </c>
      <c r="GV29" s="17">
        <f>GU29*VLOOKUP('Données projet'!$B$18,Paramètres!$A$1:$I$89,3,0)*VLOOKUP('Données projet'!$B$18,Paramètres!$A$1:$I$89,5,0)</f>
        <v>99.609120000000019</v>
      </c>
      <c r="GW29" s="13">
        <f t="shared" si="51"/>
        <v>26.868854563103099</v>
      </c>
      <c r="GX29" s="20">
        <f t="shared" si="28"/>
        <v>220.28247236407125</v>
      </c>
      <c r="GY29" s="59">
        <f t="shared" si="29"/>
        <v>513.61580569740454</v>
      </c>
      <c r="GZ29" s="59">
        <f ca="1">AVERAGE(OFFSET($GY$3,0,0,'Données projet'!$E$18+1,1))-AVERAGE(OFFSET($H$3,0,0,'Données projet'!$E$18+1,1))</f>
        <v>199.58763537752952</v>
      </c>
      <c r="HA29" s="59">
        <f t="shared" si="52"/>
        <v>242.62852778451929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4.2263519640202283</v>
      </c>
      <c r="HI29" s="21">
        <f>EXP(-LN(2)/2)*HI28+(1-EXP(-LN(2)/2))/(LN(2)/2)*HC29*HF29*VLOOKUP('Données projet'!$B$18,Paramètres!$A$1:$I$89,3,0)*0.475*44/12</f>
        <v>1.0087128303181883</v>
      </c>
      <c r="HJ29" s="22">
        <f t="shared" si="30"/>
        <v>5.2350647943384168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3.6141025641025637</v>
      </c>
      <c r="N30" s="13">
        <f>IF('Données projet'!$A$36&gt;35,N29+M30-V29,IF(A30&lt;'Données projet'!$A$36,$K$205^A30,IF(A30='Données projet'!$A$36,'Données projet'!$B$36,N29+M30-V29)))</f>
        <v>67.859328082601763</v>
      </c>
      <c r="O30" s="13">
        <f>N30*VLOOKUP('Données projet'!$B$9,Paramètres!$A$1:$I$89,3,0)*VLOOKUP('Données projet'!$B$9,Paramètres!$A$1:$I$89,5,0)</f>
        <v>61.39912004913807</v>
      </c>
      <c r="P30" s="13">
        <f t="shared" si="33"/>
        <v>17.521534494646211</v>
      </c>
      <c r="Q30" s="20">
        <f t="shared" si="2"/>
        <v>137.45347333042426</v>
      </c>
      <c r="R30" s="59">
        <f t="shared" si="0"/>
        <v>430.7868066637576</v>
      </c>
      <c r="S30" s="59">
        <f ca="1">AVERAGE(OFFSET($R$3,0,0,'Données projet'!$E$9+1,1))-AVERAGE(OFFSET($H$3,0,0,'Données projet'!$E$9+1,1))</f>
        <v>309.07357540707869</v>
      </c>
      <c r="T30" s="59">
        <f t="shared" si="34"/>
        <v>155.9593924683299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2.5115384615384619</v>
      </c>
      <c r="AI30" s="13">
        <f>IF('Données projet'!$A$62&gt;35,AI29+AH30-AQ29,IF(A30&lt;'Données projet'!$A$62,$AF$205^A30,IF(A30='Données projet'!$A$62,'Données projet'!$B$62,AI29+AH30-AQ29)))</f>
        <v>48.90519323324542</v>
      </c>
      <c r="AJ30" s="13">
        <f>AI30*VLOOKUP('Données projet'!$B$10,Paramètres!$A$1:$I$89,3,0)*VLOOKUP('Données projet'!$B$10,Paramètres!$A$1:$I$89,5,0)</f>
        <v>44.249418837440452</v>
      </c>
      <c r="AK30" s="13">
        <f t="shared" si="35"/>
        <v>13.118252765369638</v>
      </c>
      <c r="AL30" s="20">
        <f t="shared" si="4"/>
        <v>99.915361374894232</v>
      </c>
      <c r="AM30" s="59">
        <f t="shared" si="5"/>
        <v>393.24869470822756</v>
      </c>
      <c r="AN30" s="59">
        <f ca="1">AVERAGE(OFFSET($AM$3,0,0,'Données projet'!$E$10+1,1))-AVERAGE(OFFSET($H$3,0,0,'Données projet'!$E$10+1,1))</f>
        <v>234.30804102916278</v>
      </c>
      <c r="AO30" s="59">
        <f t="shared" si="36"/>
        <v>91.137993288782411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7.2264102564102561</v>
      </c>
      <c r="BD30" s="12">
        <f>IF('Données projet'!$A$88&gt;35,BD29+BC30-BL29,IF(A30&lt;'Données projet'!$A$88,$BA$205^A30,IF(A30='Données projet'!$A$88,'Données projet'!$B$88,BD29+BC30-BL29)))</f>
        <v>126.60168370519743</v>
      </c>
      <c r="BE30" s="13">
        <f>BD30*VLOOKUP('Données projet'!$B$11,Paramètres!$A$1:$I$89,3,0)*VLOOKUP('Données projet'!$B$11,Paramètres!$A$1:$I$89,5,0)</f>
        <v>59.249587974032401</v>
      </c>
      <c r="BF30" s="13">
        <f t="shared" si="37"/>
        <v>16.97840255838226</v>
      </c>
      <c r="BG30" s="20">
        <f t="shared" si="7"/>
        <v>132.76375017728887</v>
      </c>
      <c r="BH30" s="59">
        <f t="shared" si="8"/>
        <v>426.09708351062216</v>
      </c>
      <c r="BI30" s="59">
        <f ca="1">AVERAGE(OFFSET($BH$3,0,0,'Données projet'!$E$11+1,1))-AVERAGE(OFFSET($H$3,0,0,'Données projet'!$E$11+1,1))</f>
        <v>158.58786357608489</v>
      </c>
      <c r="BJ30" s="59">
        <f t="shared" si="38"/>
        <v>163.20074068819849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4.9084615384615384</v>
      </c>
      <c r="BY30" s="12">
        <f>IF('Données projet'!$A$114&gt;35,BY29+BX30-CG29,IF(A30&lt;'Données projet'!$A$114,$BV$205^A30,IF(A30='Données projet'!$A$114,'Données projet'!$B$114,BY29+BX30-CG29)))</f>
        <v>89.384040457688172</v>
      </c>
      <c r="BZ30" s="13">
        <f>BY30*VLOOKUP('Données projet'!$B$12,Paramètres!$A$1:$I$89,3,0)*VLOOKUP('Données projet'!$B$12,Paramètres!$A$1:$I$89,5,0)</f>
        <v>41.831730934198063</v>
      </c>
      <c r="CA30" s="13">
        <f t="shared" si="39"/>
        <v>12.482874982828019</v>
      </c>
      <c r="CB30" s="20">
        <f t="shared" si="10"/>
        <v>94.597938638820423</v>
      </c>
      <c r="CC30" s="59">
        <f t="shared" si="11"/>
        <v>387.93127197215375</v>
      </c>
      <c r="CD30" s="59">
        <f ca="1">AVERAGE(OFFSET($CC$3,0,0,'Données projet'!$E$12+1,1))-AVERAGE(OFFSET($H$3,0,0,'Données projet'!$E$12+1,1))</f>
        <v>123.2823358462245</v>
      </c>
      <c r="CE30" s="59">
        <f t="shared" si="40"/>
        <v>92.75115399786057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>
        <f>VLOOKUP(A30,'Données projet'!$A$139:$I$159,2,0)</f>
        <v>140.71538461538461</v>
      </c>
      <c r="CR30" s="12">
        <f>VLOOKUP(A30,'Données projet'!$A$139:$I$159,9,0)</f>
        <v>12.695384615384615</v>
      </c>
      <c r="CS30" s="12">
        <f t="array" ref="CS30">INDEX(CR:CR,MIN(IF(ISNUMBER(CR30:CR226),ROW(CR30:CR226),"")))</f>
        <v>12.695384615384615</v>
      </c>
      <c r="CT30" s="12">
        <f>IF('Données projet'!$A$140&gt;35,CT29+CS30-DB29,IF(A30&lt;'Données projet'!$A$140,$CQ$205^A30,IF(A30='Données projet'!$A$140,'Données projet'!$B$140,CT29+CS30-DB29)))</f>
        <v>140.71538461538464</v>
      </c>
      <c r="CU30" s="17">
        <f>CT30*VLOOKUP('Données projet'!$B$13,Paramètres!$A$1:$I$89,3,0)*VLOOKUP('Données projet'!$B$13,Paramètres!$A$1:$I$89,5,0)</f>
        <v>84.147800000000018</v>
      </c>
      <c r="CV30" s="13">
        <f t="shared" si="41"/>
        <v>23.148340019013897</v>
      </c>
      <c r="CW30" s="20">
        <f t="shared" si="13"/>
        <v>186.8741105331159</v>
      </c>
      <c r="CX30" s="59">
        <f t="shared" si="14"/>
        <v>480.20744386644924</v>
      </c>
      <c r="CY30" s="59">
        <f ca="1">AVERAGE(OFFSET($CX$3,0,0,'Données projet'!$E$13+1,1))-AVERAGE(OFFSET($H$3,0,0,'Données projet'!$E$13+1,1))</f>
        <v>179.32848817523677</v>
      </c>
      <c r="CZ30" s="59">
        <f t="shared" si="42"/>
        <v>131.3292389103035</v>
      </c>
      <c r="DA30" s="15">
        <f>IF(ISNA(VLOOKUP(A30,'Données projet'!$A$139:$I$159,3,0)),0,VLOOKUP(A30,'Données projet'!$A$139:$I$159,3,0))</f>
        <v>2</v>
      </c>
      <c r="DB30" s="15">
        <f>IF(ISNA(VLOOKUP(A30,'Données projet'!$A$139:$I$159,4,0)),0,VLOOKUP(A30,'Données projet'!$A$139:$I$159,4,0))</f>
        <v>34.646153846153844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0.22500000000000001</v>
      </c>
      <c r="DE30" s="16">
        <f>IF(ISNA(VLOOKUP(A30,'Données projet'!$A$139:$I$159,7,0)),0%,VLOOKUP(A30,'Données projet'!$A$139:$I$159,7,0))</f>
        <v>0.5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14.323250783856185</v>
      </c>
      <c r="DH30" s="21">
        <f>EXP(-LN(2)/2)*DH29+(1-EXP(-LN(2)/2))/(LN(2)/2)*DB30*DE30*VLOOKUP('Données projet'!$B$13,Paramètres!$A$1:$I$89,3,0)*0.475*44/12</f>
        <v>14.885642500597056</v>
      </c>
      <c r="DI30" s="22">
        <f t="shared" si="15"/>
        <v>29.208893284453239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3.6141025641025637</v>
      </c>
      <c r="DO30" s="12">
        <f>IF('Données projet'!$A$166&gt;35,DO29+DN30-DW29,IF(A30&lt;'Données projet'!$A$166,$DL$205^A30,IF(A30='Données projet'!$A$166,'Données projet'!$B$166,DO29+DN30-DW29)))</f>
        <v>67.859328082601763</v>
      </c>
      <c r="DP30" s="17">
        <f>DO30*VLOOKUP('Données projet'!$B$14,Paramètres!$A$1:$I$89,3,0)*VLOOKUP('Données projet'!$B$14,Paramètres!$A$1:$I$89,5,0)</f>
        <v>65.633542121492425</v>
      </c>
      <c r="DQ30" s="13">
        <f t="shared" si="43"/>
        <v>18.585081063143392</v>
      </c>
      <c r="DR30" s="20">
        <f t="shared" si="16"/>
        <v>146.68076871324072</v>
      </c>
      <c r="DS30" s="59">
        <f t="shared" si="17"/>
        <v>440.01410204657407</v>
      </c>
      <c r="DT30" s="59">
        <f ca="1">AVERAGE(OFFSET($DS$3,0,0,'Données projet'!$E$14+1,1))-AVERAGE(OFFSET($H$3,0,0,'Données projet'!$E$14+1,1))</f>
        <v>340.4659523898373</v>
      </c>
      <c r="DU30" s="59">
        <f t="shared" si="44"/>
        <v>170.54530785680572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2.5115384615384619</v>
      </c>
      <c r="EJ30" s="12">
        <f>IF('Données projet'!$A$192&gt;35,EJ29+EI30-ER29,IF(A30&lt;'Données projet'!$A$192,$EG$205^A30,IF(A30='Données projet'!$A$192,'Données projet'!$B$192,EJ29+EI30-ER29)))</f>
        <v>48.90519323324542</v>
      </c>
      <c r="EK30" s="17">
        <f>EJ30*VLOOKUP('Données projet'!$B$15,Paramètres!$A$1:$I$89,3,0)*VLOOKUP('Données projet'!$B$15,Paramètres!$A$1:$I$89,5,0)</f>
        <v>47.301102895194973</v>
      </c>
      <c r="EL30" s="13">
        <f t="shared" si="45"/>
        <v>13.914522790552105</v>
      </c>
      <c r="EM30" s="20">
        <f t="shared" si="19"/>
        <v>106.61721473600949</v>
      </c>
      <c r="EN30" s="59">
        <f t="shared" si="20"/>
        <v>399.9505480693428</v>
      </c>
      <c r="EO30" s="59">
        <f ca="1">AVERAGE(OFFSET($EN$3,0,0,'Données projet'!$E$15+1,1))-AVERAGE(OFFSET($H$3,0,0,'Données projet'!$E$15+1,1))</f>
        <v>262.20955982183017</v>
      </c>
      <c r="EP30" s="59">
        <f t="shared" si="46"/>
        <v>101.35842063036193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12.2</v>
      </c>
      <c r="FE30" s="12">
        <f>IF('Données projet'!$A$218&gt;35,FE29+FD30-FM29,IF(A30&lt;'Données projet'!$A$218,$FB$205^A30,IF(A30='Données projet'!$A$218,'Données projet'!$B$218,FE29+FD30-FM29)))</f>
        <v>137.4</v>
      </c>
      <c r="FF30" s="17">
        <f>FE30*VLOOKUP('Données projet'!$B$16,Paramètres!$A$1:$I$89,3,0)*VLOOKUP('Données projet'!$B$16,Paramètres!$A$1:$I$89,5,0)</f>
        <v>109.31544</v>
      </c>
      <c r="FG30" s="13">
        <f t="shared" si="47"/>
        <v>29.169638343948144</v>
      </c>
      <c r="FH30" s="20">
        <f t="shared" si="22"/>
        <v>241.19484478237635</v>
      </c>
      <c r="FI30" s="59">
        <f t="shared" si="23"/>
        <v>534.52817811570969</v>
      </c>
      <c r="FJ30" s="59">
        <f ca="1">AVERAGE(OFFSET($FI$3,0,0,'Données projet'!$E$16+1,1))-AVERAGE(OFFSET($H$3,0,0,'Données projet'!$E$16+1,1))</f>
        <v>199.58763537752952</v>
      </c>
      <c r="FK30" s="59">
        <f t="shared" si="48"/>
        <v>242.62852778451929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4.1107821473099051</v>
      </c>
      <c r="FS30" s="21">
        <f>EXP(-LN(2)/2)*FS29+(1-EXP(-LN(2)/2))/(LN(2)/2)*FM30*FP30*VLOOKUP('Données projet'!$B$16,Paramètres!$A$1:$I$89,3,0)*0.475*44/12</f>
        <v>0.71326768258786621</v>
      </c>
      <c r="FT30" s="22">
        <f t="shared" si="24"/>
        <v>4.8240498298977714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12.2</v>
      </c>
      <c r="FZ30" s="12">
        <f>IF('Données projet'!$A$244&gt;35,FZ29+FY30-GH29,IF(A30&lt;'Données projet'!$A$244,$FW$205^A30,IF(A30='Données projet'!$A$244,'Données projet'!$B$244,FZ29+FY30-GH29)))</f>
        <v>137.4</v>
      </c>
      <c r="GA30" s="17">
        <f>FZ30*VLOOKUP('Données projet'!$B$17,Paramètres!$A$1:$I$89,3,0)*VLOOKUP('Données projet'!$B$17,Paramètres!$A$1:$I$89,5,0)</f>
        <v>100.74168</v>
      </c>
      <c r="GB30" s="13">
        <f t="shared" si="49"/>
        <v>27.138616518742744</v>
      </c>
      <c r="GC30" s="20">
        <f t="shared" si="25"/>
        <v>222.72484977014358</v>
      </c>
      <c r="GD30" s="59">
        <f t="shared" si="26"/>
        <v>516.05818310347695</v>
      </c>
      <c r="GE30" s="59">
        <f ca="1">AVERAGE(OFFSET($GD$3,0,0,'Données projet'!$E$17+1,1))-AVERAGE(OFFSET($H$3,0,0,'Données projet'!$E$17+1,1))</f>
        <v>178.12968684094687</v>
      </c>
      <c r="GF30" s="59">
        <f t="shared" si="50"/>
        <v>219.36004077210373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3.0735814723319708</v>
      </c>
      <c r="GN30" s="21">
        <f>EXP(-LN(2)/2)*GN29+(1-EXP(-LN(2)/2))/(LN(2)/2)*GH30*GK30*VLOOKUP('Données projet'!$B$17,Paramètres!$A$1:$I$89,3,0)*0.475*44/12</f>
        <v>0.65732511924764148</v>
      </c>
      <c r="GO30" s="21">
        <f t="shared" si="27"/>
        <v>3.730906591579612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12.2</v>
      </c>
      <c r="GU30" s="12">
        <f>IF('Données projet'!$A$270&gt;35,GU29+GT30-HC29,IF(A30&lt;'Données projet'!$A$270,$GR$205^A30,IF(A30='Données projet'!$A$270,'Données projet'!$B$270,GU29+GT30-HC29)))</f>
        <v>137.4</v>
      </c>
      <c r="GV30" s="17">
        <f>GU30*VLOOKUP('Données projet'!$B$18,Paramètres!$A$1:$I$89,3,0)*VLOOKUP('Données projet'!$B$18,Paramètres!$A$1:$I$89,5,0)</f>
        <v>109.31544</v>
      </c>
      <c r="GW30" s="13">
        <f t="shared" si="51"/>
        <v>29.169638343948144</v>
      </c>
      <c r="GX30" s="20">
        <f t="shared" si="28"/>
        <v>241.19484478237635</v>
      </c>
      <c r="GY30" s="59">
        <f t="shared" si="29"/>
        <v>534.52817811570969</v>
      </c>
      <c r="GZ30" s="59">
        <f ca="1">AVERAGE(OFFSET($GY$3,0,0,'Données projet'!$E$18+1,1))-AVERAGE(OFFSET($H$3,0,0,'Données projet'!$E$18+1,1))</f>
        <v>199.58763537752952</v>
      </c>
      <c r="HA30" s="59">
        <f t="shared" si="52"/>
        <v>242.62852778451929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4.1107821473099051</v>
      </c>
      <c r="HI30" s="21">
        <f>EXP(-LN(2)/2)*HI29+(1-EXP(-LN(2)/2))/(LN(2)/2)*HC30*HF30*VLOOKUP('Données projet'!$B$18,Paramètres!$A$1:$I$89,3,0)*0.475*44/12</f>
        <v>0.71326768258786621</v>
      </c>
      <c r="HJ30" s="22">
        <f t="shared" si="30"/>
        <v>4.8240498298977714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3.6141025641025637</v>
      </c>
      <c r="N31" s="13">
        <f>IF('Données projet'!$A$36&gt;35,N30+M31-V30,IF(A31&lt;'Données projet'!$A$36,$K$205^A31,IF(A31='Données projet'!$A$36,'Données projet'!$B$36,N30+M31-V30)))</f>
        <v>79.331733821516394</v>
      </c>
      <c r="O31" s="13">
        <f>N31*VLOOKUP('Données projet'!$B$9,Paramètres!$A$1:$I$89,3,0)*VLOOKUP('Données projet'!$B$9,Paramètres!$A$1:$I$89,5,0)</f>
        <v>71.779352761708026</v>
      </c>
      <c r="P31" s="13">
        <f t="shared" si="33"/>
        <v>20.114685962788318</v>
      </c>
      <c r="Q31" s="20">
        <f t="shared" si="2"/>
        <v>160.04878411183111</v>
      </c>
      <c r="R31" s="59">
        <f t="shared" si="0"/>
        <v>453.38211744516445</v>
      </c>
      <c r="S31" s="59">
        <f ca="1">AVERAGE(OFFSET($R$3,0,0,'Données projet'!$E$9+1,1))-AVERAGE(OFFSET($H$3,0,0,'Données projet'!$E$9+1,1))</f>
        <v>309.07357540707869</v>
      </c>
      <c r="T31" s="59">
        <f t="shared" si="34"/>
        <v>155.9593924683299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2.5115384615384619</v>
      </c>
      <c r="AI31" s="13">
        <f>IF('Données projet'!$A$62&gt;35,AI30+AH31-AQ30,IF(A31&lt;'Données projet'!$A$62,$AF$205^A31,IF(A31='Données projet'!$A$62,'Données projet'!$B$62,AI30+AH31-AQ30)))</f>
        <v>56.483770810300285</v>
      </c>
      <c r="AJ31" s="13">
        <f>AI31*VLOOKUP('Données projet'!$B$10,Paramètres!$A$1:$I$89,3,0)*VLOOKUP('Données projet'!$B$10,Paramètres!$A$1:$I$89,5,0)</f>
        <v>51.106515829159697</v>
      </c>
      <c r="AK31" s="13">
        <f t="shared" si="35"/>
        <v>14.899157140003059</v>
      </c>
      <c r="AL31" s="20">
        <f t="shared" si="4"/>
        <v>114.9598804212918</v>
      </c>
      <c r="AM31" s="59">
        <f t="shared" si="5"/>
        <v>408.29321375462513</v>
      </c>
      <c r="AN31" s="59">
        <f ca="1">AVERAGE(OFFSET($AM$3,0,0,'Données projet'!$E$10+1,1))-AVERAGE(OFFSET($H$3,0,0,'Données projet'!$E$10+1,1))</f>
        <v>234.30804102916278</v>
      </c>
      <c r="AO31" s="59">
        <f t="shared" si="36"/>
        <v>91.137993288782411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7.2264102564102561</v>
      </c>
      <c r="BD31" s="12">
        <f>IF('Données projet'!$A$88&gt;35,BD30+BC31-BL30,IF(A31&lt;'Données projet'!$A$88,$BA$205^A31,IF(A31='Données projet'!$A$88,'Données projet'!$B$88,BD30+BC31-BL30)))</f>
        <v>151.46336824615491</v>
      </c>
      <c r="BE31" s="13">
        <f>BD31*VLOOKUP('Données projet'!$B$11,Paramètres!$A$1:$I$89,3,0)*VLOOKUP('Données projet'!$B$11,Paramètres!$A$1:$I$89,5,0)</f>
        <v>70.884856339200496</v>
      </c>
      <c r="BF31" s="13">
        <f t="shared" si="37"/>
        <v>19.893037679751526</v>
      </c>
      <c r="BG31" s="20">
        <f t="shared" si="7"/>
        <v>158.10483208300809</v>
      </c>
      <c r="BH31" s="59">
        <f t="shared" si="8"/>
        <v>451.43816541634141</v>
      </c>
      <c r="BI31" s="59">
        <f ca="1">AVERAGE(OFFSET($BH$3,0,0,'Données projet'!$E$11+1,1))-AVERAGE(OFFSET($H$3,0,0,'Données projet'!$E$11+1,1))</f>
        <v>158.58786357608489</v>
      </c>
      <c r="BJ31" s="59">
        <f t="shared" si="38"/>
        <v>163.20074068819849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4.9084615384615384</v>
      </c>
      <c r="BY31" s="12">
        <f>IF('Données projet'!$A$114&gt;35,BY30+BX31-CG30,IF(A31&lt;'Données projet'!$A$114,$BV$205^A31,IF(A31='Données projet'!$A$114,'Données projet'!$B$114,BY30+BX31-CG30)))</f>
        <v>105.56716787013318</v>
      </c>
      <c r="BZ31" s="13">
        <f>BY31*VLOOKUP('Données projet'!$B$12,Paramètres!$A$1:$I$89,3,0)*VLOOKUP('Données projet'!$B$12,Paramètres!$A$1:$I$89,5,0)</f>
        <v>49.405434563222322</v>
      </c>
      <c r="CA31" s="13">
        <f t="shared" si="39"/>
        <v>14.46010380603388</v>
      </c>
      <c r="CB31" s="20">
        <f t="shared" si="10"/>
        <v>111.23247932645454</v>
      </c>
      <c r="CC31" s="59">
        <f t="shared" si="11"/>
        <v>404.56581265978787</v>
      </c>
      <c r="CD31" s="59">
        <f ca="1">AVERAGE(OFFSET($CC$3,0,0,'Données projet'!$E$12+1,1))-AVERAGE(OFFSET($H$3,0,0,'Données projet'!$E$12+1,1))</f>
        <v>123.2823358462245</v>
      </c>
      <c r="CE31" s="59">
        <f t="shared" si="40"/>
        <v>92.75115399786057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12.97179487179487</v>
      </c>
      <c r="CT31" s="12">
        <f>IF('Données projet'!$A$140&gt;35,CT30+CS31-DB30,IF(A31&lt;'Données projet'!$A$140,$CQ$205^A31,IF(A31='Données projet'!$A$140,'Données projet'!$B$140,CT30+CS31-DB30)))</f>
        <v>119.04102564102564</v>
      </c>
      <c r="CU31" s="17">
        <f>CT31*VLOOKUP('Données projet'!$B$13,Paramètres!$A$1:$I$89,3,0)*VLOOKUP('Données projet'!$B$13,Paramètres!$A$1:$I$89,5,0)</f>
        <v>71.18653333333333</v>
      </c>
      <c r="CV31" s="13">
        <f t="shared" si="41"/>
        <v>19.967826748678</v>
      </c>
      <c r="CW31" s="20">
        <f t="shared" si="13"/>
        <v>158.76051047616974</v>
      </c>
      <c r="CX31" s="59">
        <f t="shared" si="14"/>
        <v>452.09384380950303</v>
      </c>
      <c r="CY31" s="59">
        <f ca="1">AVERAGE(OFFSET($CX$3,0,0,'Données projet'!$E$13+1,1))-AVERAGE(OFFSET($H$3,0,0,'Données projet'!$E$13+1,1))</f>
        <v>179.32848817523677</v>
      </c>
      <c r="CZ31" s="59">
        <f t="shared" si="42"/>
        <v>131.3292389103035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13.931580737944616</v>
      </c>
      <c r="DH31" s="21">
        <f>EXP(-LN(2)/2)*DH30+(1-EXP(-LN(2)/2))/(LN(2)/2)*DB31*DE31*VLOOKUP('Données projet'!$B$13,Paramètres!$A$1:$I$89,3,0)*0.475*44/12</f>
        <v>10.525738754490856</v>
      </c>
      <c r="DI31" s="22">
        <f t="shared" si="15"/>
        <v>24.457319492435474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3.6141025641025637</v>
      </c>
      <c r="DO31" s="12">
        <f>IF('Données projet'!$A$166&gt;35,DO30+DN31-DW30,IF(A31&lt;'Données projet'!$A$166,$DL$205^A31,IF(A31='Données projet'!$A$166,'Données projet'!$B$166,DO30+DN31-DW30)))</f>
        <v>79.331733821516394</v>
      </c>
      <c r="DP31" s="17">
        <f>DO31*VLOOKUP('Données projet'!$B$14,Paramètres!$A$1:$I$89,3,0)*VLOOKUP('Données projet'!$B$14,Paramètres!$A$1:$I$89,5,0)</f>
        <v>76.729652952170653</v>
      </c>
      <c r="DQ31" s="13">
        <f t="shared" si="43"/>
        <v>21.335635260274714</v>
      </c>
      <c r="DR31" s="20">
        <f t="shared" si="16"/>
        <v>170.79704363667568</v>
      </c>
      <c r="DS31" s="59">
        <f t="shared" si="17"/>
        <v>464.13037697000902</v>
      </c>
      <c r="DT31" s="59">
        <f ca="1">AVERAGE(OFFSET($DS$3,0,0,'Données projet'!$E$14+1,1))-AVERAGE(OFFSET($H$3,0,0,'Données projet'!$E$14+1,1))</f>
        <v>340.4659523898373</v>
      </c>
      <c r="DU31" s="59">
        <f t="shared" si="44"/>
        <v>170.54530785680572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2.5115384615384619</v>
      </c>
      <c r="EJ31" s="12">
        <f>IF('Données projet'!$A$192&gt;35,EJ30+EI31-ER30,IF(A31&lt;'Données projet'!$A$192,$EG$205^A31,IF(A31='Données projet'!$A$192,'Données projet'!$B$192,EJ30+EI31-ER30)))</f>
        <v>56.483770810300285</v>
      </c>
      <c r="EK31" s="17">
        <f>EJ31*VLOOKUP('Données projet'!$B$15,Paramètres!$A$1:$I$89,3,0)*VLOOKUP('Données projet'!$B$15,Paramètres!$A$1:$I$89,5,0)</f>
        <v>54.631103127722433</v>
      </c>
      <c r="EL31" s="13">
        <f t="shared" si="45"/>
        <v>15.803526985840032</v>
      </c>
      <c r="EM31" s="20">
        <f t="shared" si="19"/>
        <v>122.67364744778793</v>
      </c>
      <c r="EN31" s="59">
        <f t="shared" si="20"/>
        <v>416.00698078112123</v>
      </c>
      <c r="EO31" s="59">
        <f ca="1">AVERAGE(OFFSET($EN$3,0,0,'Données projet'!$E$15+1,1))-AVERAGE(OFFSET($H$3,0,0,'Données projet'!$E$15+1,1))</f>
        <v>262.20955982183017</v>
      </c>
      <c r="EP31" s="59">
        <f t="shared" si="46"/>
        <v>101.35842063036193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12.2</v>
      </c>
      <c r="FE31" s="12">
        <f>IF('Données projet'!$A$218&gt;35,FE30+FD31-FM30,IF(A31&lt;'Données projet'!$A$218,$FB$205^A31,IF(A31='Données projet'!$A$218,'Données projet'!$B$218,FE30+FD31-FM30)))</f>
        <v>149.6</v>
      </c>
      <c r="FF31" s="17">
        <f>FE31*VLOOKUP('Données projet'!$B$16,Paramètres!$A$1:$I$89,3,0)*VLOOKUP('Données projet'!$B$16,Paramètres!$A$1:$I$89,5,0)</f>
        <v>119.02175999999999</v>
      </c>
      <c r="FG31" s="13">
        <f t="shared" si="47"/>
        <v>31.446732299897718</v>
      </c>
      <c r="FH31" s="20">
        <f t="shared" si="22"/>
        <v>262.06595742232184</v>
      </c>
      <c r="FI31" s="59">
        <f t="shared" si="23"/>
        <v>555.3992907556551</v>
      </c>
      <c r="FJ31" s="59">
        <f ca="1">AVERAGE(OFFSET($FI$3,0,0,'Données projet'!$E$16+1,1))-AVERAGE(OFFSET($H$3,0,0,'Données projet'!$E$16+1,1))</f>
        <v>199.58763537752952</v>
      </c>
      <c r="FK31" s="59">
        <f t="shared" si="48"/>
        <v>242.62852778451929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3.9983725933150778</v>
      </c>
      <c r="FS31" s="21">
        <f>EXP(-LN(2)/2)*FS30+(1-EXP(-LN(2)/2))/(LN(2)/2)*FM31*FP31*VLOOKUP('Données projet'!$B$16,Paramètres!$A$1:$I$89,3,0)*0.475*44/12</f>
        <v>0.50435641515909413</v>
      </c>
      <c r="FT31" s="22">
        <f t="shared" si="24"/>
        <v>4.502729008474172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12.2</v>
      </c>
      <c r="FZ31" s="12">
        <f>IF('Données projet'!$A$244&gt;35,FZ30+FY31-GH30,IF(A31&lt;'Données projet'!$A$244,$FW$205^A31,IF(A31='Données projet'!$A$244,'Données projet'!$B$244,FZ30+FY31-GH30)))</f>
        <v>149.6</v>
      </c>
      <c r="GA31" s="17">
        <f>FZ31*VLOOKUP('Données projet'!$B$17,Paramètres!$A$1:$I$89,3,0)*VLOOKUP('Données projet'!$B$17,Paramètres!$A$1:$I$89,5,0)</f>
        <v>109.68671999999999</v>
      </c>
      <c r="GB31" s="13">
        <f t="shared" si="49"/>
        <v>29.257161113605147</v>
      </c>
      <c r="GC31" s="20">
        <f t="shared" si="25"/>
        <v>241.99392627286227</v>
      </c>
      <c r="GD31" s="59">
        <f t="shared" si="26"/>
        <v>535.32725960619564</v>
      </c>
      <c r="GE31" s="59">
        <f ca="1">AVERAGE(OFFSET($GD$3,0,0,'Données projet'!$E$17+1,1))-AVERAGE(OFFSET($H$3,0,0,'Données projet'!$E$17+1,1))</f>
        <v>178.12968684094687</v>
      </c>
      <c r="GF31" s="59">
        <f t="shared" si="50"/>
        <v>219.36004077210373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2.9895342253384283</v>
      </c>
      <c r="GN31" s="21">
        <f>EXP(-LN(2)/2)*GN30+(1-EXP(-LN(2)/2))/(LN(2)/2)*GH31*GK31*VLOOKUP('Données projet'!$B$17,Paramètres!$A$1:$I$89,3,0)*0.475*44/12</f>
        <v>0.4647990492642633</v>
      </c>
      <c r="GO31" s="21">
        <f t="shared" si="27"/>
        <v>3.4543332746026918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12.2</v>
      </c>
      <c r="GU31" s="12">
        <f>IF('Données projet'!$A$270&gt;35,GU30+GT31-HC30,IF(A31&lt;'Données projet'!$A$270,$GR$205^A31,IF(A31='Données projet'!$A$270,'Données projet'!$B$270,GU30+GT31-HC30)))</f>
        <v>149.6</v>
      </c>
      <c r="GV31" s="17">
        <f>GU31*VLOOKUP('Données projet'!$B$18,Paramètres!$A$1:$I$89,3,0)*VLOOKUP('Données projet'!$B$18,Paramètres!$A$1:$I$89,5,0)</f>
        <v>119.02175999999999</v>
      </c>
      <c r="GW31" s="13">
        <f t="shared" si="51"/>
        <v>31.446732299897718</v>
      </c>
      <c r="GX31" s="20">
        <f t="shared" si="28"/>
        <v>262.06595742232184</v>
      </c>
      <c r="GY31" s="59">
        <f t="shared" si="29"/>
        <v>555.3992907556551</v>
      </c>
      <c r="GZ31" s="59">
        <f ca="1">AVERAGE(OFFSET($GY$3,0,0,'Données projet'!$E$18+1,1))-AVERAGE(OFFSET($H$3,0,0,'Données projet'!$E$18+1,1))</f>
        <v>199.58763537752952</v>
      </c>
      <c r="HA31" s="59">
        <f t="shared" si="52"/>
        <v>242.62852778451929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3.9983725933150778</v>
      </c>
      <c r="HI31" s="21">
        <f>EXP(-LN(2)/2)*HI30+(1-EXP(-LN(2)/2))/(LN(2)/2)*HC31*HF31*VLOOKUP('Données projet'!$B$18,Paramètres!$A$1:$I$89,3,0)*0.475*44/12</f>
        <v>0.50435641515909413</v>
      </c>
      <c r="HJ31" s="22">
        <f t="shared" si="30"/>
        <v>4.502729008474172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3.6141025641025637</v>
      </c>
      <c r="N32" s="13">
        <f>IF('Données projet'!$A$36&gt;35,N31+M32-V31,IF(A32&lt;'Données projet'!$A$36,$K$205^A32,IF(A32='Données projet'!$A$36,'Données projet'!$B$36,N31+M32-V31)))</f>
        <v>92.74368268820956</v>
      </c>
      <c r="O32" s="13">
        <f>N32*VLOOKUP('Données projet'!$B$9,Paramètres!$A$1:$I$89,3,0)*VLOOKUP('Données projet'!$B$9,Paramètres!$A$1:$I$89,5,0)</f>
        <v>83.914484096292014</v>
      </c>
      <c r="P32" s="13">
        <f t="shared" si="33"/>
        <v>23.091618574002229</v>
      </c>
      <c r="Q32" s="20">
        <f t="shared" si="2"/>
        <v>186.36896215076243</v>
      </c>
      <c r="R32" s="59">
        <f t="shared" si="0"/>
        <v>479.70229548409577</v>
      </c>
      <c r="S32" s="59">
        <f ca="1">AVERAGE(OFFSET($R$3,0,0,'Données projet'!$E$9+1,1))-AVERAGE(OFFSET($H$3,0,0,'Données projet'!$E$9+1,1))</f>
        <v>309.07357540707869</v>
      </c>
      <c r="T32" s="59">
        <f t="shared" si="34"/>
        <v>155.9593924683299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2.5115384615384619</v>
      </c>
      <c r="AI32" s="13">
        <f>IF('Données projet'!$A$62&gt;35,AI31+AH32-AQ31,IF(A32&lt;'Données projet'!$A$62,$AF$205^A32,IF(A32='Données projet'!$A$62,'Données projet'!$B$62,AI31+AH32-AQ31)))</f>
        <v>65.236760229825805</v>
      </c>
      <c r="AJ32" s="13">
        <f>AI32*VLOOKUP('Données projet'!$B$10,Paramètres!$A$1:$I$89,3,0)*VLOOKUP('Données projet'!$B$10,Paramètres!$A$1:$I$89,5,0)</f>
        <v>59.026220655946382</v>
      </c>
      <c r="AK32" s="13">
        <f t="shared" si="35"/>
        <v>16.921833071284709</v>
      </c>
      <c r="AL32" s="20">
        <f t="shared" si="4"/>
        <v>132.27619357492748</v>
      </c>
      <c r="AM32" s="59">
        <f t="shared" si="5"/>
        <v>425.60952690826082</v>
      </c>
      <c r="AN32" s="59">
        <f ca="1">AVERAGE(OFFSET($AM$3,0,0,'Données projet'!$E$10+1,1))-AVERAGE(OFFSET($H$3,0,0,'Données projet'!$E$10+1,1))</f>
        <v>234.30804102916278</v>
      </c>
      <c r="AO32" s="59">
        <f t="shared" si="36"/>
        <v>91.137993288782411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7.2264102564102561</v>
      </c>
      <c r="BD32" s="12">
        <f>IF('Données projet'!$A$88&gt;35,BD31+BC32-BL31,IF(A32&lt;'Données projet'!$A$88,$BA$205^A32,IF(A32='Données projet'!$A$88,'Données projet'!$B$88,BD31+BC32-BL31)))</f>
        <v>181.20732085910257</v>
      </c>
      <c r="BE32" s="13">
        <f>BD32*VLOOKUP('Données projet'!$B$11,Paramètres!$A$1:$I$89,3,0)*VLOOKUP('Données projet'!$B$11,Paramètres!$A$1:$I$89,5,0)</f>
        <v>84.805026162060003</v>
      </c>
      <c r="BF32" s="13">
        <f t="shared" si="37"/>
        <v>23.308020101846395</v>
      </c>
      <c r="BG32" s="20">
        <f t="shared" si="7"/>
        <v>188.29688890963698</v>
      </c>
      <c r="BH32" s="59">
        <f t="shared" si="8"/>
        <v>481.63022224297026</v>
      </c>
      <c r="BI32" s="59">
        <f ca="1">AVERAGE(OFFSET($BH$3,0,0,'Données projet'!$E$11+1,1))-AVERAGE(OFFSET($H$3,0,0,'Données projet'!$E$11+1,1))</f>
        <v>158.58786357608489</v>
      </c>
      <c r="BJ32" s="59">
        <f t="shared" si="38"/>
        <v>163.20074068819849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4.9084615384615384</v>
      </c>
      <c r="BY32" s="12">
        <f>IF('Données projet'!$A$114&gt;35,BY31+BX32-CG31,IF(A32&lt;'Données projet'!$A$114,$BV$205^A32,IF(A32='Données projet'!$A$114,'Données projet'!$B$114,BY31+BX32-CG31)))</f>
        <v>124.68027709483918</v>
      </c>
      <c r="BZ32" s="13">
        <f>BY32*VLOOKUP('Données projet'!$B$12,Paramètres!$A$1:$I$89,3,0)*VLOOKUP('Données projet'!$B$12,Paramètres!$A$1:$I$89,5,0)</f>
        <v>58.350369680384738</v>
      </c>
      <c r="CA32" s="13">
        <f t="shared" si="39"/>
        <v>16.750516396977062</v>
      </c>
      <c r="CB32" s="20">
        <f t="shared" si="10"/>
        <v>130.80070991807179</v>
      </c>
      <c r="CC32" s="59">
        <f t="shared" si="11"/>
        <v>424.1340432514051</v>
      </c>
      <c r="CD32" s="59">
        <f ca="1">AVERAGE(OFFSET($CC$3,0,0,'Données projet'!$E$12+1,1))-AVERAGE(OFFSET($H$3,0,0,'Données projet'!$E$12+1,1))</f>
        <v>123.2823358462245</v>
      </c>
      <c r="CE32" s="59">
        <f t="shared" si="40"/>
        <v>92.75115399786057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12.97179487179487</v>
      </c>
      <c r="CT32" s="12">
        <f>IF('Données projet'!$A$140&gt;35,CT31+CS32-DB31,IF(A32&lt;'Données projet'!$A$140,$CQ$205^A32,IF(A32='Données projet'!$A$140,'Données projet'!$B$140,CT31+CS32-DB31)))</f>
        <v>132.0128205128205</v>
      </c>
      <c r="CU32" s="17">
        <f>CT32*VLOOKUP('Données projet'!$B$13,Paramètres!$A$1:$I$89,3,0)*VLOOKUP('Données projet'!$B$13,Paramètres!$A$1:$I$89,5,0)</f>
        <v>78.943666666666658</v>
      </c>
      <c r="CV32" s="13">
        <f t="shared" si="41"/>
        <v>21.878705672057272</v>
      </c>
      <c r="CW32" s="20">
        <f t="shared" si="13"/>
        <v>175.59896515661083</v>
      </c>
      <c r="CX32" s="59">
        <f t="shared" si="14"/>
        <v>468.93229848994417</v>
      </c>
      <c r="CY32" s="59">
        <f ca="1">AVERAGE(OFFSET($CX$3,0,0,'Données projet'!$E$13+1,1))-AVERAGE(OFFSET($H$3,0,0,'Données projet'!$E$13+1,1))</f>
        <v>179.32848817523677</v>
      </c>
      <c r="CZ32" s="59">
        <f t="shared" si="42"/>
        <v>131.3292389103035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13.55062093003553</v>
      </c>
      <c r="DH32" s="21">
        <f>EXP(-LN(2)/2)*DH31+(1-EXP(-LN(2)/2))/(LN(2)/2)*DB32*DE32*VLOOKUP('Données projet'!$B$13,Paramètres!$A$1:$I$89,3,0)*0.475*44/12</f>
        <v>7.4428212502985298</v>
      </c>
      <c r="DI32" s="22">
        <f t="shared" si="15"/>
        <v>20.993442180334061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3.6141025641025637</v>
      </c>
      <c r="DO32" s="12">
        <f>IF('Données projet'!$A$166&gt;35,DO31+DN32-DW31,IF(A32&lt;'Données projet'!$A$166,$DL$205^A32,IF(A32='Données projet'!$A$166,'Données projet'!$B$166,DO31+DN32-DW31)))</f>
        <v>92.74368268820956</v>
      </c>
      <c r="DP32" s="17">
        <f>DO32*VLOOKUP('Données projet'!$B$14,Paramètres!$A$1:$I$89,3,0)*VLOOKUP('Données projet'!$B$14,Paramètres!$A$1:$I$89,5,0)</f>
        <v>89.701689896036285</v>
      </c>
      <c r="DQ32" s="13">
        <f t="shared" si="43"/>
        <v>24.493265884226673</v>
      </c>
      <c r="DR32" s="20">
        <f t="shared" si="16"/>
        <v>198.88954798395798</v>
      </c>
      <c r="DS32" s="59">
        <f t="shared" si="17"/>
        <v>492.2228813172913</v>
      </c>
      <c r="DT32" s="59">
        <f ca="1">AVERAGE(OFFSET($DS$3,0,0,'Données projet'!$E$14+1,1))-AVERAGE(OFFSET($H$3,0,0,'Données projet'!$E$14+1,1))</f>
        <v>340.4659523898373</v>
      </c>
      <c r="DU32" s="59">
        <f t="shared" si="44"/>
        <v>170.54530785680572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2.5115384615384619</v>
      </c>
      <c r="EJ32" s="12">
        <f>IF('Données projet'!$A$192&gt;35,EJ31+EI32-ER31,IF(A32&lt;'Données projet'!$A$192,$EG$205^A32,IF(A32='Données projet'!$A$192,'Données projet'!$B$192,EJ31+EI32-ER31)))</f>
        <v>65.236760229825805</v>
      </c>
      <c r="EK32" s="17">
        <f>EJ32*VLOOKUP('Données projet'!$B$15,Paramètres!$A$1:$I$89,3,0)*VLOOKUP('Données projet'!$B$15,Paramètres!$A$1:$I$89,5,0)</f>
        <v>63.096994494287522</v>
      </c>
      <c r="EL32" s="13">
        <f t="shared" si="45"/>
        <v>17.948978125340673</v>
      </c>
      <c r="EM32" s="20">
        <f t="shared" si="19"/>
        <v>141.15506897918578</v>
      </c>
      <c r="EN32" s="59">
        <f t="shared" si="20"/>
        <v>434.4884023125191</v>
      </c>
      <c r="EO32" s="59">
        <f ca="1">AVERAGE(OFFSET($EN$3,0,0,'Données projet'!$E$15+1,1))-AVERAGE(OFFSET($H$3,0,0,'Données projet'!$E$15+1,1))</f>
        <v>262.20955982183017</v>
      </c>
      <c r="EP32" s="59">
        <f t="shared" si="46"/>
        <v>101.35842063036193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12.2</v>
      </c>
      <c r="FE32" s="12">
        <f>IF('Données projet'!$A$218&gt;35,FE31+FD32-FM31,IF(A32&lt;'Données projet'!$A$218,$FB$205^A32,IF(A32='Données projet'!$A$218,'Données projet'!$B$218,FE31+FD32-FM31)))</f>
        <v>161.79999999999998</v>
      </c>
      <c r="FF32" s="17">
        <f>FE32*VLOOKUP('Données projet'!$B$16,Paramètres!$A$1:$I$89,3,0)*VLOOKUP('Données projet'!$B$16,Paramètres!$A$1:$I$89,5,0)</f>
        <v>128.72807999999998</v>
      </c>
      <c r="FG32" s="13">
        <f t="shared" si="47"/>
        <v>33.702287995285367</v>
      </c>
      <c r="FH32" s="20">
        <f t="shared" si="22"/>
        <v>282.89955759178861</v>
      </c>
      <c r="FI32" s="59">
        <f t="shared" si="23"/>
        <v>576.23289092512186</v>
      </c>
      <c r="FJ32" s="59">
        <f ca="1">AVERAGE(OFFSET($FI$3,0,0,'Données projet'!$E$16+1,1))-AVERAGE(OFFSET($H$3,0,0,'Données projet'!$E$16+1,1))</f>
        <v>199.58763537752952</v>
      </c>
      <c r="FK32" s="59">
        <f t="shared" si="48"/>
        <v>242.62852778451929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3.8890368844856007</v>
      </c>
      <c r="FS32" s="21">
        <f>EXP(-LN(2)/2)*FS31+(1-EXP(-LN(2)/2))/(LN(2)/2)*FM32*FP32*VLOOKUP('Données projet'!$B$16,Paramètres!$A$1:$I$89,3,0)*0.475*44/12</f>
        <v>0.35663384129393311</v>
      </c>
      <c r="FT32" s="22">
        <f t="shared" si="24"/>
        <v>4.2456707257795339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12.2</v>
      </c>
      <c r="FZ32" s="12">
        <f>IF('Données projet'!$A$244&gt;35,FZ31+FY32-GH31,IF(A32&lt;'Données projet'!$A$244,$FW$205^A32,IF(A32='Données projet'!$A$244,'Données projet'!$B$244,FZ31+FY32-GH31)))</f>
        <v>161.79999999999998</v>
      </c>
      <c r="GA32" s="17">
        <f>FZ32*VLOOKUP('Données projet'!$B$17,Paramètres!$A$1:$I$89,3,0)*VLOOKUP('Données projet'!$B$17,Paramètres!$A$1:$I$89,5,0)</f>
        <v>118.63175999999999</v>
      </c>
      <c r="GB32" s="13">
        <f t="shared" si="49"/>
        <v>31.355667112617347</v>
      </c>
      <c r="GC32" s="20">
        <f t="shared" si="25"/>
        <v>261.22810222114185</v>
      </c>
      <c r="GD32" s="59">
        <f t="shared" si="26"/>
        <v>554.56143555447511</v>
      </c>
      <c r="GE32" s="59">
        <f ca="1">AVERAGE(OFFSET($GD$3,0,0,'Données projet'!$E$17+1,1))-AVERAGE(OFFSET($H$3,0,0,'Données projet'!$E$17+1,1))</f>
        <v>178.12968684094687</v>
      </c>
      <c r="GF32" s="59">
        <f t="shared" si="50"/>
        <v>219.36004077210373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2.9077852547337768</v>
      </c>
      <c r="GN32" s="21">
        <f>EXP(-LN(2)/2)*GN31+(1-EXP(-LN(2)/2))/(LN(2)/2)*GH32*GK32*VLOOKUP('Données projet'!$B$17,Paramètres!$A$1:$I$89,3,0)*0.475*44/12</f>
        <v>0.32866255962382079</v>
      </c>
      <c r="GO32" s="21">
        <f t="shared" si="27"/>
        <v>3.2364478143575974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12.2</v>
      </c>
      <c r="GU32" s="12">
        <f>IF('Données projet'!$A$270&gt;35,GU31+GT32-HC31,IF(A32&lt;'Données projet'!$A$270,$GR$205^A32,IF(A32='Données projet'!$A$270,'Données projet'!$B$270,GU31+GT32-HC31)))</f>
        <v>161.79999999999998</v>
      </c>
      <c r="GV32" s="17">
        <f>GU32*VLOOKUP('Données projet'!$B$18,Paramètres!$A$1:$I$89,3,0)*VLOOKUP('Données projet'!$B$18,Paramètres!$A$1:$I$89,5,0)</f>
        <v>128.72807999999998</v>
      </c>
      <c r="GW32" s="13">
        <f t="shared" si="51"/>
        <v>33.702287995285367</v>
      </c>
      <c r="GX32" s="20">
        <f t="shared" si="28"/>
        <v>282.89955759178861</v>
      </c>
      <c r="GY32" s="59">
        <f t="shared" si="29"/>
        <v>576.23289092512186</v>
      </c>
      <c r="GZ32" s="59">
        <f ca="1">AVERAGE(OFFSET($GY$3,0,0,'Données projet'!$E$18+1,1))-AVERAGE(OFFSET($H$3,0,0,'Données projet'!$E$18+1,1))</f>
        <v>199.58763537752952</v>
      </c>
      <c r="HA32" s="59">
        <f t="shared" si="52"/>
        <v>242.62852778451929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3.8890368844856007</v>
      </c>
      <c r="HI32" s="21">
        <f>EXP(-LN(2)/2)*HI31+(1-EXP(-LN(2)/2))/(LN(2)/2)*HC32*HF32*VLOOKUP('Données projet'!$B$18,Paramètres!$A$1:$I$89,3,0)*0.475*44/12</f>
        <v>0.35663384129393311</v>
      </c>
      <c r="HJ32" s="22">
        <f t="shared" si="30"/>
        <v>4.2456707257795339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108.42307692307691</v>
      </c>
      <c r="L33" s="12">
        <f>VLOOKUP(A33,'Données projet'!$A$35:$I$55,9,0)</f>
        <v>3.6141025641025637</v>
      </c>
      <c r="M33" s="12">
        <f t="array" ref="M33">INDEX(L:L,MIN(IF(ISNUMBER(L33:L229),ROW(L33:L229),"")))</f>
        <v>3.6141025641025637</v>
      </c>
      <c r="N33" s="13">
        <f>IF('Données projet'!$A$36&gt;35,N32+M33-V32,IF(A33&lt;'Données projet'!$A$36,$K$205^A33,IF(A33='Données projet'!$A$36,'Données projet'!$B$36,N32+M33-V32)))</f>
        <v>108.42307692307691</v>
      </c>
      <c r="O33" s="13">
        <f>N33*VLOOKUP('Données projet'!$B$9,Paramètres!$A$1:$I$89,3,0)*VLOOKUP('Données projet'!$B$9,Paramètres!$A$1:$I$89,5,0)</f>
        <v>98.101199999999977</v>
      </c>
      <c r="P33" s="13">
        <f t="shared" si="33"/>
        <v>26.509131156889861</v>
      </c>
      <c r="Q33" s="20">
        <f t="shared" si="2"/>
        <v>217.02966009824979</v>
      </c>
      <c r="R33" s="59">
        <f t="shared" si="0"/>
        <v>510.36299343158311</v>
      </c>
      <c r="S33" s="59">
        <f ca="1">AVERAGE(OFFSET($R$3,0,0,'Données projet'!$E$9+1,1))-AVERAGE(OFFSET($H$3,0,0,'Données projet'!$E$9+1,1))</f>
        <v>309.07357540707869</v>
      </c>
      <c r="T33" s="59">
        <f t="shared" si="34"/>
        <v>155.9593924683299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75.346153846153854</v>
      </c>
      <c r="AG33" s="12">
        <f>VLOOKUP(A33,'Données projet'!$A$61:$I$81,9,0)</f>
        <v>2.5115384615384619</v>
      </c>
      <c r="AH33" s="12">
        <f t="array" ref="AH33">INDEX(AG:AG,MIN(IF(ISNUMBER(AG33:AG229),ROW(AG33:AG229),"")))</f>
        <v>2.5115384615384619</v>
      </c>
      <c r="AI33" s="13">
        <f>IF('Données projet'!$A$62&gt;35,AI32+AH33-AQ32,IF(A33&lt;'Données projet'!$A$62,$AF$205^A33,IF(A33='Données projet'!$A$62,'Données projet'!$B$62,AI32+AH33-AQ32)))</f>
        <v>75.346153846153854</v>
      </c>
      <c r="AJ33" s="13">
        <f>AI33*VLOOKUP('Données projet'!$B$10,Paramètres!$A$1:$I$89,3,0)*VLOOKUP('Données projet'!$B$10,Paramètres!$A$1:$I$89,5,0)</f>
        <v>68.173200000000008</v>
      </c>
      <c r="AK33" s="13">
        <f t="shared" si="35"/>
        <v>19.219102919829069</v>
      </c>
      <c r="AL33" s="20">
        <f t="shared" si="4"/>
        <v>152.20826091870231</v>
      </c>
      <c r="AM33" s="59">
        <f t="shared" si="5"/>
        <v>445.54159425203562</v>
      </c>
      <c r="AN33" s="59">
        <f ca="1">AVERAGE(OFFSET($AM$3,0,0,'Données projet'!$E$10+1,1))-AVERAGE(OFFSET($H$3,0,0,'Données projet'!$E$10+1,1))</f>
        <v>234.30804102916278</v>
      </c>
      <c r="AO33" s="59">
        <f t="shared" si="36"/>
        <v>91.137993288782411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216.79230769230767</v>
      </c>
      <c r="BB33" s="12">
        <f>VLOOKUP(A33,'Données projet'!$A$87:$I$107,9,0)</f>
        <v>7.2264102564102561</v>
      </c>
      <c r="BC33" s="12">
        <f t="array" ref="BC33">INDEX(BB:BB,MIN(IF(ISNUMBER(BB33:BB229),ROW(BB33:BB229),"")))</f>
        <v>7.2264102564102561</v>
      </c>
      <c r="BD33" s="12">
        <f>IF('Données projet'!$A$88&gt;35,BD32+BC33-BL32,IF(A33&lt;'Données projet'!$A$88,$BA$205^A33,IF(A33='Données projet'!$A$88,'Données projet'!$B$88,BD32+BC33-BL32)))</f>
        <v>216.79230769230767</v>
      </c>
      <c r="BE33" s="13">
        <f>BD33*VLOOKUP('Données projet'!$B$11,Paramètres!$A$1:$I$89,3,0)*VLOOKUP('Données projet'!$B$11,Paramètres!$A$1:$I$89,5,0)</f>
        <v>101.45879999999998</v>
      </c>
      <c r="BF33" s="13">
        <f t="shared" si="37"/>
        <v>27.309243053465156</v>
      </c>
      <c r="BG33" s="20">
        <f t="shared" si="7"/>
        <v>224.27100831811845</v>
      </c>
      <c r="BH33" s="59">
        <f t="shared" si="8"/>
        <v>517.6043416514517</v>
      </c>
      <c r="BI33" s="59">
        <f ca="1">AVERAGE(OFFSET($BH$3,0,0,'Données projet'!$E$11+1,1))-AVERAGE(OFFSET($H$3,0,0,'Données projet'!$E$11+1,1))</f>
        <v>158.58786357608489</v>
      </c>
      <c r="BJ33" s="59">
        <f t="shared" si="38"/>
        <v>163.20074068819849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147.25384615384615</v>
      </c>
      <c r="BW33" s="12">
        <f>VLOOKUP(A33,'Données projet'!$A$113:$I$133,9,0)</f>
        <v>4.9084615384615384</v>
      </c>
      <c r="BX33" s="12">
        <f t="array" ref="BX33">INDEX(BW:BW,MIN(IF(ISNUMBER(BW33:BW229),ROW(BW33:BW229),"")))</f>
        <v>4.9084615384615384</v>
      </c>
      <c r="BY33" s="12">
        <f>IF('Données projet'!$A$114&gt;35,BY32+BX33-CG32,IF(A33&lt;'Données projet'!$A$114,$BV$205^A33,IF(A33='Données projet'!$A$114,'Données projet'!$B$114,BY32+BX33-CG32)))</f>
        <v>147.25384615384615</v>
      </c>
      <c r="BZ33" s="13">
        <f>BY33*VLOOKUP('Données projet'!$B$12,Paramètres!$A$1:$I$89,3,0)*VLOOKUP('Données projet'!$B$12,Paramètres!$A$1:$I$89,5,0)</f>
        <v>68.9148</v>
      </c>
      <c r="CA33" s="13">
        <f t="shared" si="39"/>
        <v>19.403719594897876</v>
      </c>
      <c r="CB33" s="20">
        <f t="shared" si="10"/>
        <v>153.82142162778047</v>
      </c>
      <c r="CC33" s="59">
        <f t="shared" si="11"/>
        <v>447.15475496111378</v>
      </c>
      <c r="CD33" s="59">
        <f ca="1">AVERAGE(OFFSET($CC$3,0,0,'Données projet'!$E$12+1,1))-AVERAGE(OFFSET($H$3,0,0,'Données projet'!$E$12+1,1))</f>
        <v>123.2823358462245</v>
      </c>
      <c r="CE33" s="59">
        <f t="shared" si="40"/>
        <v>92.75115399786057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12.97179487179487</v>
      </c>
      <c r="CT33" s="12">
        <f>IF('Données projet'!$A$140&gt;35,CT32+CS33-DB32,IF(A33&lt;'Données projet'!$A$140,$CQ$205^A33,IF(A33='Données projet'!$A$140,'Données projet'!$B$140,CT32+CS33-DB32)))</f>
        <v>144.98461538461538</v>
      </c>
      <c r="CU33" s="17">
        <f>CT33*VLOOKUP('Données projet'!$B$13,Paramètres!$A$1:$I$89,3,0)*VLOOKUP('Données projet'!$B$13,Paramètres!$A$1:$I$89,5,0)</f>
        <v>86.700800000000001</v>
      </c>
      <c r="CV33" s="13">
        <f t="shared" si="41"/>
        <v>23.767816195343574</v>
      </c>
      <c r="CW33" s="20">
        <f t="shared" si="13"/>
        <v>192.39950654022337</v>
      </c>
      <c r="CX33" s="59">
        <f t="shared" si="14"/>
        <v>485.73283987355671</v>
      </c>
      <c r="CY33" s="59">
        <f ca="1">AVERAGE(OFFSET($CX$3,0,0,'Données projet'!$E$13+1,1))-AVERAGE(OFFSET($H$3,0,0,'Données projet'!$E$13+1,1))</f>
        <v>179.32848817523677</v>
      </c>
      <c r="CZ33" s="59">
        <f t="shared" si="42"/>
        <v>131.3292389103035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13.180078488107524</v>
      </c>
      <c r="DH33" s="21">
        <f>EXP(-LN(2)/2)*DH32+(1-EXP(-LN(2)/2))/(LN(2)/2)*DB33*DE33*VLOOKUP('Données projet'!$B$13,Paramètres!$A$1:$I$89,3,0)*0.475*44/12</f>
        <v>5.2628693772454289</v>
      </c>
      <c r="DI33" s="22">
        <f t="shared" si="15"/>
        <v>18.442947865352952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108.42307692307691</v>
      </c>
      <c r="DM33" s="12">
        <f>VLOOKUP(A33,'Données projet'!$A$165:$I$185,9,0)</f>
        <v>3.6141025641025637</v>
      </c>
      <c r="DN33" s="12">
        <f t="array" ref="DN33">INDEX(DM:DM,MIN(IF(ISNUMBER(DM33:DM229),ROW(DM33:DM229),"")))</f>
        <v>3.6141025641025637</v>
      </c>
      <c r="DO33" s="12">
        <f>IF('Données projet'!$A$166&gt;35,DO32+DN33-DW32,IF(A33&lt;'Données projet'!$A$166,$DL$205^A33,IF(A33='Données projet'!$A$166,'Données projet'!$B$166,DO32+DN33-DW32)))</f>
        <v>108.42307692307691</v>
      </c>
      <c r="DP33" s="17">
        <f>DO33*VLOOKUP('Données projet'!$B$14,Paramètres!$A$1:$I$89,3,0)*VLOOKUP('Données projet'!$B$14,Paramètres!$A$1:$I$89,5,0)</f>
        <v>104.86679999999998</v>
      </c>
      <c r="DQ33" s="13">
        <f t="shared" si="43"/>
        <v>28.118219418215713</v>
      </c>
      <c r="DR33" s="20">
        <f t="shared" si="16"/>
        <v>231.61557548672567</v>
      </c>
      <c r="DS33" s="59">
        <f t="shared" si="17"/>
        <v>524.94890882005893</v>
      </c>
      <c r="DT33" s="59">
        <f ca="1">AVERAGE(OFFSET($DS$3,0,0,'Données projet'!$E$14+1,1))-AVERAGE(OFFSET($H$3,0,0,'Données projet'!$E$14+1,1))</f>
        <v>340.4659523898373</v>
      </c>
      <c r="DU33" s="59">
        <f t="shared" si="44"/>
        <v>170.54530785680572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75.346153846153854</v>
      </c>
      <c r="EH33" s="12">
        <f>VLOOKUP(A33,'Données projet'!$A$191:$I$211,9,0)</f>
        <v>2.5115384615384619</v>
      </c>
      <c r="EI33" s="12">
        <f t="array" ref="EI33">INDEX(EH:EH,MIN(IF(ISNUMBER(EH33:EH229),ROW(EH33:EH229),"")))</f>
        <v>2.5115384615384619</v>
      </c>
      <c r="EJ33" s="12">
        <f>IF('Données projet'!$A$192&gt;35,EJ32+EI33-ER32,IF(A33&lt;'Données projet'!$A$192,$EG$205^A33,IF(A33='Données projet'!$A$192,'Données projet'!$B$192,EJ32+EI33-ER32)))</f>
        <v>75.346153846153854</v>
      </c>
      <c r="EK33" s="17">
        <f>EJ33*VLOOKUP('Données projet'!$B$15,Paramètres!$A$1:$I$89,3,0)*VLOOKUP('Données projet'!$B$15,Paramètres!$A$1:$I$89,5,0)</f>
        <v>72.874800000000008</v>
      </c>
      <c r="EL33" s="13">
        <f t="shared" si="45"/>
        <v>20.385690867147478</v>
      </c>
      <c r="EM33" s="20">
        <f t="shared" si="19"/>
        <v>162.42868826028186</v>
      </c>
      <c r="EN33" s="59">
        <f t="shared" si="20"/>
        <v>455.76202159361515</v>
      </c>
      <c r="EO33" s="59">
        <f ca="1">AVERAGE(OFFSET($EN$3,0,0,'Données projet'!$E$15+1,1))-AVERAGE(OFFSET($H$3,0,0,'Données projet'!$E$15+1,1))</f>
        <v>262.20955982183017</v>
      </c>
      <c r="EP33" s="59">
        <f t="shared" si="46"/>
        <v>101.35842063036193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174</v>
      </c>
      <c r="FC33" s="12">
        <f>VLOOKUP(A33,'Données projet'!$A$217:$I$237,9,0)</f>
        <v>12.2</v>
      </c>
      <c r="FD33" s="12">
        <f t="array" ref="FD33">INDEX(FC:FC,MIN(IF(ISNUMBER(FC33:FC229),ROW(FC33:FC229),"")))</f>
        <v>12.2</v>
      </c>
      <c r="FE33" s="12">
        <f>IF('Données projet'!$A$218&gt;35,FE32+FD33-FM32,IF(A33&lt;'Données projet'!$A$218,$FB$205^A33,IF(A33='Données projet'!$A$218,'Données projet'!$B$218,FE32+FD33-FM32)))</f>
        <v>173.99999999999997</v>
      </c>
      <c r="FF33" s="17">
        <f>FE33*VLOOKUP('Données projet'!$B$16,Paramètres!$A$1:$I$89,3,0)*VLOOKUP('Données projet'!$B$16,Paramètres!$A$1:$I$89,5,0)</f>
        <v>138.43439999999998</v>
      </c>
      <c r="FG33" s="13">
        <f t="shared" si="47"/>
        <v>35.938114113553581</v>
      </c>
      <c r="FH33" s="20">
        <f t="shared" si="22"/>
        <v>303.69879541443913</v>
      </c>
      <c r="FI33" s="59">
        <f t="shared" si="23"/>
        <v>597.0321287477725</v>
      </c>
      <c r="FJ33" s="59">
        <f ca="1">AVERAGE(OFFSET($FI$3,0,0,'Données projet'!$E$16+1,1))-AVERAGE(OFFSET($H$3,0,0,'Données projet'!$E$16+1,1))</f>
        <v>199.58763537752952</v>
      </c>
      <c r="FK33" s="59">
        <f t="shared" si="48"/>
        <v>242.62852778451929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56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0.13250000000000001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10.282976469411818</v>
      </c>
      <c r="FS33" s="21">
        <f>EXP(-LN(2)/2)*FS32+(1-EXP(-LN(2)/2))/(LN(2)/2)*FM33*FP33*VLOOKUP('Données projet'!$B$16,Paramètres!$A$1:$I$89,3,0)*0.475*44/12</f>
        <v>10.761558393220204</v>
      </c>
      <c r="FT33" s="22">
        <f t="shared" si="24"/>
        <v>21.04453486263202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174</v>
      </c>
      <c r="FX33" s="12">
        <f>VLOOKUP(A33,'Données projet'!$A$243:$I$263,9,0)</f>
        <v>12.2</v>
      </c>
      <c r="FY33" s="12">
        <f t="array" ref="FY33">INDEX(FX:FX,MIN(IF(ISNUMBER(FX33:FX229),ROW(FX33:FX229),"")))</f>
        <v>12.2</v>
      </c>
      <c r="FZ33" s="12">
        <f>IF('Données projet'!$A$244&gt;35,FZ32+FY33-GH32,IF(A33&lt;'Données projet'!$A$244,$FW$205^A33,IF(A33='Données projet'!$A$244,'Données projet'!$B$244,FZ32+FY33-GH32)))</f>
        <v>173.99999999999997</v>
      </c>
      <c r="GA33" s="17">
        <f>FZ33*VLOOKUP('Données projet'!$B$17,Paramètres!$A$1:$I$89,3,0)*VLOOKUP('Données projet'!$B$17,Paramètres!$A$1:$I$89,5,0)</f>
        <v>127.57679999999998</v>
      </c>
      <c r="GB33" s="13">
        <f t="shared" si="49"/>
        <v>33.435817264319823</v>
      </c>
      <c r="GC33" s="20">
        <f t="shared" si="25"/>
        <v>280.43030840202363</v>
      </c>
      <c r="GD33" s="59">
        <f t="shared" si="26"/>
        <v>573.76364173535694</v>
      </c>
      <c r="GE33" s="59">
        <f ca="1">AVERAGE(OFFSET($GD$3,0,0,'Données projet'!$E$17+1,1))-AVERAGE(OFFSET($H$3,0,0,'Données projet'!$E$17+1,1))</f>
        <v>178.12968684094687</v>
      </c>
      <c r="GF33" s="59">
        <f t="shared" si="50"/>
        <v>219.36004077210373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56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0.1075</v>
      </c>
      <c r="GK33" s="16">
        <f>IF(ISNA(VLOOKUP(A33,'Données projet'!$A$243:$I$263,7,0)),0%,VLOOKUP(A33,'Données projet'!$A$243:$I$263,7,0))</f>
        <v>0.25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7.68845558441779</v>
      </c>
      <c r="GN33" s="21">
        <f>EXP(-LN(2)/2)*GN32+(1-EXP(-LN(2)/2))/(LN(2)/2)*GH33*GK33*VLOOKUP('Données projet'!$B$17,Paramètres!$A$1:$I$89,3,0)*0.475*44/12</f>
        <v>9.9175145976735219</v>
      </c>
      <c r="GO33" s="21">
        <f t="shared" si="27"/>
        <v>17.605970182091312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174</v>
      </c>
      <c r="GS33" s="12">
        <f>VLOOKUP(A33,'Données projet'!$A$269:$I$289,9,0)</f>
        <v>12.2</v>
      </c>
      <c r="GT33" s="12">
        <f t="array" ref="GT33">INDEX(GS:GS,MIN(IF(ISNUMBER(GS33:GS229),ROW(GS33:GS229),"")))</f>
        <v>12.2</v>
      </c>
      <c r="GU33" s="12">
        <f>IF('Données projet'!$A$270&gt;35,GU32+GT33-HC32,IF(A33&lt;'Données projet'!$A$270,$GR$205^A33,IF(A33='Données projet'!$A$270,'Données projet'!$B$270,GU32+GT33-HC32)))</f>
        <v>173.99999999999997</v>
      </c>
      <c r="GV33" s="17">
        <f>GU33*VLOOKUP('Données projet'!$B$18,Paramètres!$A$1:$I$89,3,0)*VLOOKUP('Données projet'!$B$18,Paramètres!$A$1:$I$89,5,0)</f>
        <v>138.43439999999998</v>
      </c>
      <c r="GW33" s="13">
        <f t="shared" si="51"/>
        <v>35.938114113553581</v>
      </c>
      <c r="GX33" s="20">
        <f t="shared" si="28"/>
        <v>303.69879541443913</v>
      </c>
      <c r="GY33" s="59">
        <f t="shared" si="29"/>
        <v>597.0321287477725</v>
      </c>
      <c r="GZ33" s="59">
        <f ca="1">AVERAGE(OFFSET($GY$3,0,0,'Données projet'!$E$18+1,1))-AVERAGE(OFFSET($H$3,0,0,'Données projet'!$E$18+1,1))</f>
        <v>199.58763537752952</v>
      </c>
      <c r="HA33" s="59">
        <f t="shared" si="52"/>
        <v>242.62852778451929</v>
      </c>
      <c r="HB33" s="15">
        <f>IF(ISNA(VLOOKUP(A33,'Données projet'!$A$269:$I$289,3,0)),0,VLOOKUP(A33,'Données projet'!$A$269:$I$289,3,0))</f>
        <v>2</v>
      </c>
      <c r="HC33" s="15">
        <f>IF(ISNA(VLOOKUP(A33,'Données projet'!$A$269:$I$289,4,0)),0,VLOOKUP(A33,'Données projet'!$A$269:$I$289,4,0))</f>
        <v>56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0.13250000000000001</v>
      </c>
      <c r="HF33" s="16">
        <f>IF(ISNA(VLOOKUP(A33,'Données projet'!$A$269:$I$289,7,0)),0%,VLOOKUP(A33,'Données projet'!$A$269:$I$289,7,0))</f>
        <v>0.25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10.282976469411818</v>
      </c>
      <c r="HI33" s="21">
        <f>EXP(-LN(2)/2)*HI32+(1-EXP(-LN(2)/2))/(LN(2)/2)*HC33*HF33*VLOOKUP('Données projet'!$B$18,Paramètres!$A$1:$I$89,3,0)*0.475*44/12</f>
        <v>10.761558393220204</v>
      </c>
      <c r="HJ33" s="22">
        <f t="shared" si="30"/>
        <v>21.04453486263202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8.3413461538461533</v>
      </c>
      <c r="N34" s="13">
        <f>IF('Données projet'!$A$36&gt;35,N33+M34-V33,IF(A34&lt;'Données projet'!$A$36,$K$205^A34,IF(A34='Données projet'!$A$36,'Données projet'!$B$36,N33+M34-V33)))</f>
        <v>116.76442307692307</v>
      </c>
      <c r="O34" s="13">
        <f>N34*VLOOKUP('Données projet'!$B$9,Paramètres!$A$1:$I$89,3,0)*VLOOKUP('Données projet'!$B$9,Paramètres!$A$1:$I$89,5,0)</f>
        <v>105.64845</v>
      </c>
      <c r="P34" s="13">
        <f t="shared" si="33"/>
        <v>28.30332943441833</v>
      </c>
      <c r="Q34" s="20">
        <f t="shared" si="2"/>
        <v>233.29934918161189</v>
      </c>
      <c r="R34" s="59">
        <f t="shared" si="0"/>
        <v>526.63268251494515</v>
      </c>
      <c r="S34" s="59">
        <f ca="1">AVERAGE(OFFSET($R$3,0,0,'Données projet'!$E$9+1,1))-AVERAGE(OFFSET($H$3,0,0,'Données projet'!$E$9+1,1))</f>
        <v>309.07357540707869</v>
      </c>
      <c r="T34" s="59">
        <f t="shared" si="34"/>
        <v>155.9593924683299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5.4791666666666652</v>
      </c>
      <c r="AI34" s="13">
        <f>IF('Données projet'!$A$62&gt;35,AI33+AH34-AQ33,IF(A34&lt;'Données projet'!$A$62,$AF$205^A34,IF(A34='Données projet'!$A$62,'Données projet'!$B$62,AI33+AH34-AQ33)))</f>
        <v>80.825320512820525</v>
      </c>
      <c r="AJ34" s="13">
        <f>AI34*VLOOKUP('Données projet'!$B$10,Paramètres!$A$1:$I$89,3,0)*VLOOKUP('Données projet'!$B$10,Paramètres!$A$1:$I$89,5,0)</f>
        <v>73.130750000000006</v>
      </c>
      <c r="AK34" s="13">
        <f t="shared" si="35"/>
        <v>20.448942280216116</v>
      </c>
      <c r="AL34" s="20">
        <f t="shared" si="4"/>
        <v>162.98463072137639</v>
      </c>
      <c r="AM34" s="59">
        <f t="shared" si="5"/>
        <v>456.31796405470971</v>
      </c>
      <c r="AN34" s="59">
        <f ca="1">AVERAGE(OFFSET($AM$3,0,0,'Données projet'!$E$10+1,1))-AVERAGE(OFFSET($H$3,0,0,'Données projet'!$E$10+1,1))</f>
        <v>234.30804102916278</v>
      </c>
      <c r="AO34" s="59">
        <f t="shared" si="36"/>
        <v>91.137993288782411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16.131410256410259</v>
      </c>
      <c r="BD34" s="12">
        <f>IF('Données projet'!$A$88&gt;35,BD33+BC34-BL33,IF(A34&lt;'Données projet'!$A$88,$BA$205^A34,IF(A34='Données projet'!$A$88,'Données projet'!$B$88,BD33+BC34-BL33)))</f>
        <v>232.92371794871792</v>
      </c>
      <c r="BE34" s="13">
        <f>BD34*VLOOKUP('Données projet'!$B$11,Paramètres!$A$1:$I$89,3,0)*VLOOKUP('Données projet'!$B$11,Paramètres!$A$1:$I$89,5,0)</f>
        <v>109.00829999999998</v>
      </c>
      <c r="BF34" s="13">
        <f t="shared" si="37"/>
        <v>29.097209307093255</v>
      </c>
      <c r="BG34" s="20">
        <f t="shared" si="7"/>
        <v>240.53376204318738</v>
      </c>
      <c r="BH34" s="59">
        <f t="shared" si="8"/>
        <v>533.86709537652064</v>
      </c>
      <c r="BI34" s="59">
        <f ca="1">AVERAGE(OFFSET($BH$3,0,0,'Données projet'!$E$11+1,1))-AVERAGE(OFFSET($H$3,0,0,'Données projet'!$E$11+1,1))</f>
        <v>158.58786357608489</v>
      </c>
      <c r="BJ34" s="59">
        <f t="shared" si="38"/>
        <v>163.20074068819849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11.443589743589742</v>
      </c>
      <c r="BY34" s="12">
        <f>IF('Données projet'!$A$114&gt;35,BY33+BX34-CG33,IF(A34&lt;'Données projet'!$A$114,$BV$205^A34,IF(A34='Données projet'!$A$114,'Données projet'!$B$114,BY33+BX34-CG33)))</f>
        <v>158.69743589743589</v>
      </c>
      <c r="BZ34" s="13">
        <f>BY34*VLOOKUP('Données projet'!$B$12,Paramètres!$A$1:$I$89,3,0)*VLOOKUP('Données projet'!$B$12,Paramètres!$A$1:$I$89,5,0)</f>
        <v>74.270399999999995</v>
      </c>
      <c r="CA34" s="13">
        <f t="shared" si="39"/>
        <v>20.730265914492005</v>
      </c>
      <c r="CB34" s="20">
        <f t="shared" si="10"/>
        <v>165.4594931344069</v>
      </c>
      <c r="CC34" s="59">
        <f t="shared" si="11"/>
        <v>458.79282646774021</v>
      </c>
      <c r="CD34" s="59">
        <f ca="1">AVERAGE(OFFSET($CC$3,0,0,'Données projet'!$E$12+1,1))-AVERAGE(OFFSET($H$3,0,0,'Données projet'!$E$12+1,1))</f>
        <v>123.2823358462245</v>
      </c>
      <c r="CE34" s="59">
        <f t="shared" si="40"/>
        <v>92.75115399786057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12.97179487179487</v>
      </c>
      <c r="CT34" s="12">
        <f>IF('Données projet'!$A$140&gt;35,CT33+CS34-DB33,IF(A34&lt;'Données projet'!$A$140,$CQ$205^A34,IF(A34='Données projet'!$A$140,'Données projet'!$B$140,CT33+CS34-DB33)))</f>
        <v>157.95641025641027</v>
      </c>
      <c r="CU34" s="17">
        <f>CT34*VLOOKUP('Données projet'!$B$13,Paramètres!$A$1:$I$89,3,0)*VLOOKUP('Données projet'!$B$13,Paramètres!$A$1:$I$89,5,0)</f>
        <v>94.457933333333344</v>
      </c>
      <c r="CV34" s="13">
        <f t="shared" si="41"/>
        <v>25.637327417415943</v>
      </c>
      <c r="CW34" s="20">
        <f t="shared" si="13"/>
        <v>209.16591247422164</v>
      </c>
      <c r="CX34" s="59">
        <f t="shared" si="14"/>
        <v>502.49924580755498</v>
      </c>
      <c r="CY34" s="59">
        <f ca="1">AVERAGE(OFFSET($CX$3,0,0,'Données projet'!$E$13+1,1))-AVERAGE(OFFSET($H$3,0,0,'Données projet'!$E$13+1,1))</f>
        <v>179.32848817523677</v>
      </c>
      <c r="CZ34" s="59">
        <f t="shared" si="42"/>
        <v>131.3292389103035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12.819668548740019</v>
      </c>
      <c r="DH34" s="21">
        <f>EXP(-LN(2)/2)*DH33+(1-EXP(-LN(2)/2))/(LN(2)/2)*DB34*DE34*VLOOKUP('Données projet'!$B$13,Paramètres!$A$1:$I$89,3,0)*0.475*44/12</f>
        <v>3.7214106251492653</v>
      </c>
      <c r="DI34" s="22">
        <f t="shared" si="15"/>
        <v>16.541079173889283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8.3413461538461533</v>
      </c>
      <c r="DO34" s="12">
        <f>IF('Données projet'!$A$166&gt;35,DO33+DN34-DW33,IF(A34&lt;'Données projet'!$A$166,$DL$205^A34,IF(A34='Données projet'!$A$166,'Données projet'!$B$166,DO33+DN34-DW33)))</f>
        <v>116.76442307692307</v>
      </c>
      <c r="DP34" s="17">
        <f>DO34*VLOOKUP('Données projet'!$B$14,Paramètres!$A$1:$I$89,3,0)*VLOOKUP('Données projet'!$B$14,Paramètres!$A$1:$I$89,5,0)</f>
        <v>112.93454999999999</v>
      </c>
      <c r="DQ34" s="13">
        <f t="shared" si="43"/>
        <v>30.021324448280776</v>
      </c>
      <c r="DR34" s="20">
        <f t="shared" si="16"/>
        <v>248.98148133075566</v>
      </c>
      <c r="DS34" s="59">
        <f t="shared" si="17"/>
        <v>542.314814664089</v>
      </c>
      <c r="DT34" s="59">
        <f ca="1">AVERAGE(OFFSET($DS$3,0,0,'Données projet'!$E$14+1,1))-AVERAGE(OFFSET($H$3,0,0,'Données projet'!$E$14+1,1))</f>
        <v>340.4659523898373</v>
      </c>
      <c r="DU34" s="59">
        <f t="shared" si="44"/>
        <v>170.54530785680572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5.4791666666666652</v>
      </c>
      <c r="EJ34" s="12">
        <f>IF('Données projet'!$A$192&gt;35,EJ33+EI34-ER33,IF(A34&lt;'Données projet'!$A$192,$EG$205^A34,IF(A34='Données projet'!$A$192,'Données projet'!$B$192,EJ33+EI34-ER33)))</f>
        <v>80.825320512820525</v>
      </c>
      <c r="EK34" s="17">
        <f>EJ34*VLOOKUP('Données projet'!$B$15,Paramètres!$A$1:$I$89,3,0)*VLOOKUP('Données projet'!$B$15,Paramètres!$A$1:$I$89,5,0)</f>
        <v>78.174250000000015</v>
      </c>
      <c r="EL34" s="13">
        <f t="shared" si="45"/>
        <v>21.690180734426054</v>
      </c>
      <c r="EM34" s="20">
        <f t="shared" si="19"/>
        <v>173.93055019579205</v>
      </c>
      <c r="EN34" s="59">
        <f t="shared" si="20"/>
        <v>467.26388352912534</v>
      </c>
      <c r="EO34" s="59">
        <f ca="1">AVERAGE(OFFSET($EN$3,0,0,'Données projet'!$E$15+1,1))-AVERAGE(OFFSET($H$3,0,0,'Données projet'!$E$15+1,1))</f>
        <v>262.20955982183017</v>
      </c>
      <c r="EP34" s="59">
        <f t="shared" si="46"/>
        <v>101.35842063036193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10.199999999999999</v>
      </c>
      <c r="FE34" s="12">
        <f>IF('Données projet'!$A$218&gt;35,FE33+FD34-FM33,IF(A34&lt;'Données projet'!$A$218,$FB$205^A34,IF(A34='Données projet'!$A$218,'Données projet'!$B$218,FE33+FD34-FM33)))</f>
        <v>128.19999999999996</v>
      </c>
      <c r="FF34" s="17">
        <f>FE34*VLOOKUP('Données projet'!$B$16,Paramètres!$A$1:$I$89,3,0)*VLOOKUP('Données projet'!$B$16,Paramètres!$A$1:$I$89,5,0)</f>
        <v>101.99591999999997</v>
      </c>
      <c r="FG34" s="13">
        <f t="shared" si="47"/>
        <v>27.436949671708501</v>
      </c>
      <c r="FH34" s="20">
        <f t="shared" si="22"/>
        <v>225.42891467822554</v>
      </c>
      <c r="FI34" s="59">
        <f t="shared" si="23"/>
        <v>518.76224801155888</v>
      </c>
      <c r="FJ34" s="59">
        <f ca="1">AVERAGE(OFFSET($FI$3,0,0,'Données projet'!$E$16+1,1))-AVERAGE(OFFSET($H$3,0,0,'Données projet'!$E$16+1,1))</f>
        <v>199.58763537752952</v>
      </c>
      <c r="FK34" s="59">
        <f t="shared" si="48"/>
        <v>242.62852778451929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10.001787937097522</v>
      </c>
      <c r="FS34" s="21">
        <f>EXP(-LN(2)/2)*FS33+(1-EXP(-LN(2)/2))/(LN(2)/2)*FM34*FP34*VLOOKUP('Données projet'!$B$16,Paramètres!$A$1:$I$89,3,0)*0.475*44/12</f>
        <v>7.6095709159810134</v>
      </c>
      <c r="FT34" s="22">
        <f t="shared" si="24"/>
        <v>17.611358853078535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10.199999999999999</v>
      </c>
      <c r="FZ34" s="12">
        <f>IF('Données projet'!$A$244&gt;35,FZ33+FY34-GH33,IF(A34&lt;'Données projet'!$A$244,$FW$205^A34,IF(A34='Données projet'!$A$244,'Données projet'!$B$244,FZ33+FY34-GH33)))</f>
        <v>128.19999999999996</v>
      </c>
      <c r="GA34" s="17">
        <f>FZ34*VLOOKUP('Données projet'!$B$17,Paramètres!$A$1:$I$89,3,0)*VLOOKUP('Données projet'!$B$17,Paramètres!$A$1:$I$89,5,0)</f>
        <v>93.996239999999972</v>
      </c>
      <c r="GB34" s="13">
        <f t="shared" si="49"/>
        <v>25.526571389220692</v>
      </c>
      <c r="GC34" s="20">
        <f t="shared" si="25"/>
        <v>208.16889650289264</v>
      </c>
      <c r="GD34" s="59">
        <f t="shared" si="26"/>
        <v>501.50222983622598</v>
      </c>
      <c r="GE34" s="59">
        <f ca="1">AVERAGE(OFFSET($GD$3,0,0,'Données projet'!$E$17+1,1))-AVERAGE(OFFSET($H$3,0,0,'Données projet'!$E$17+1,1))</f>
        <v>178.12968684094687</v>
      </c>
      <c r="GF34" s="59">
        <f t="shared" si="50"/>
        <v>219.36004077210373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7.4782143621435786</v>
      </c>
      <c r="GN34" s="21">
        <f>EXP(-LN(2)/2)*GN33+(1-EXP(-LN(2)/2))/(LN(2)/2)*GH34*GK34*VLOOKUP('Données projet'!$B$17,Paramètres!$A$1:$I$89,3,0)*0.475*44/12</f>
        <v>7.0127418245315223</v>
      </c>
      <c r="GO34" s="21">
        <f t="shared" si="27"/>
        <v>14.490956186675101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10.199999999999999</v>
      </c>
      <c r="GU34" s="12">
        <f>IF('Données projet'!$A$270&gt;35,GU33+GT34-HC33,IF(A34&lt;'Données projet'!$A$270,$GR$205^A34,IF(A34='Données projet'!$A$270,'Données projet'!$B$270,GU33+GT34-HC33)))</f>
        <v>128.19999999999996</v>
      </c>
      <c r="GV34" s="17">
        <f>GU34*VLOOKUP('Données projet'!$B$18,Paramètres!$A$1:$I$89,3,0)*VLOOKUP('Données projet'!$B$18,Paramètres!$A$1:$I$89,5,0)</f>
        <v>101.99591999999997</v>
      </c>
      <c r="GW34" s="13">
        <f t="shared" si="51"/>
        <v>27.436949671708501</v>
      </c>
      <c r="GX34" s="20">
        <f t="shared" si="28"/>
        <v>225.42891467822554</v>
      </c>
      <c r="GY34" s="59">
        <f t="shared" si="29"/>
        <v>518.76224801155888</v>
      </c>
      <c r="GZ34" s="59">
        <f ca="1">AVERAGE(OFFSET($GY$3,0,0,'Données projet'!$E$18+1,1))-AVERAGE(OFFSET($H$3,0,0,'Données projet'!$E$18+1,1))</f>
        <v>199.58763537752952</v>
      </c>
      <c r="HA34" s="59">
        <f t="shared" si="52"/>
        <v>242.62852778451929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10.001787937097522</v>
      </c>
      <c r="HI34" s="21">
        <f>EXP(-LN(2)/2)*HI33+(1-EXP(-LN(2)/2))/(LN(2)/2)*HC34*HF34*VLOOKUP('Données projet'!$B$18,Paramètres!$A$1:$I$89,3,0)*0.475*44/12</f>
        <v>7.6095709159810134</v>
      </c>
      <c r="HJ34" s="22">
        <f t="shared" si="30"/>
        <v>17.611358853078535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8.3413461538461533</v>
      </c>
      <c r="N35" s="13">
        <f>IF('Données projet'!$A$36&gt;35,N34+M35-V34,IF(A35&lt;'Données projet'!$A$36,$K$205^A35,IF(A35='Données projet'!$A$36,'Données projet'!$B$36,N34+M35-V34)))</f>
        <v>125.10576923076923</v>
      </c>
      <c r="O35" s="13">
        <f>N35*VLOOKUP('Données projet'!$B$9,Paramètres!$A$1:$I$89,3,0)*VLOOKUP('Données projet'!$B$9,Paramètres!$A$1:$I$89,5,0)</f>
        <v>113.19569999999999</v>
      </c>
      <c r="P35" s="13">
        <f t="shared" si="33"/>
        <v>30.08265690456005</v>
      </c>
      <c r="Q35" s="20">
        <f t="shared" ref="Q35:Q66" si="53">(O35+P35)*0.475*44/12</f>
        <v>249.54313827544206</v>
      </c>
      <c r="R35" s="59">
        <f t="shared" si="0"/>
        <v>542.87647160877532</v>
      </c>
      <c r="S35" s="59">
        <f ca="1">AVERAGE(OFFSET($R$3,0,0,'Données projet'!$E$9+1,1))-AVERAGE(OFFSET($H$3,0,0,'Données projet'!$E$9+1,1))</f>
        <v>309.07357540707869</v>
      </c>
      <c r="T35" s="59">
        <f t="shared" si="34"/>
        <v>155.9593924683299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5.4791666666666652</v>
      </c>
      <c r="AI35" s="13">
        <f>IF('Données projet'!$A$62&gt;35,AI34+AH35-AQ34,IF(A35&lt;'Données projet'!$A$62,$AF$205^A35,IF(A35='Données projet'!$A$62,'Données projet'!$B$62,AI34+AH35-AQ34)))</f>
        <v>86.304487179487197</v>
      </c>
      <c r="AJ35" s="13">
        <f>AI35*VLOOKUP('Données projet'!$B$10,Paramètres!$A$1:$I$89,3,0)*VLOOKUP('Données projet'!$B$10,Paramètres!$A$1:$I$89,5,0)</f>
        <v>78.088300000000004</v>
      </c>
      <c r="AK35" s="13">
        <f t="shared" si="35"/>
        <v>21.669107614619822</v>
      </c>
      <c r="AL35" s="20">
        <f t="shared" si="4"/>
        <v>173.74415159546285</v>
      </c>
      <c r="AM35" s="59">
        <f t="shared" si="5"/>
        <v>467.07748492879614</v>
      </c>
      <c r="AN35" s="59">
        <f ca="1">AVERAGE(OFFSET($AM$3,0,0,'Données projet'!$E$10+1,1))-AVERAGE(OFFSET($H$3,0,0,'Données projet'!$E$10+1,1))</f>
        <v>234.30804102916278</v>
      </c>
      <c r="AO35" s="59">
        <f t="shared" si="36"/>
        <v>91.137993288782411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16.131410256410259</v>
      </c>
      <c r="BD35" s="12">
        <f>IF('Données projet'!$A$88&gt;35,BD34+BC35-BL34,IF(A35&lt;'Données projet'!$A$88,$BA$205^A35,IF(A35='Données projet'!$A$88,'Données projet'!$B$88,BD34+BC35-BL34)))</f>
        <v>249.05512820512817</v>
      </c>
      <c r="BE35" s="13">
        <f>BD35*VLOOKUP('Données projet'!$B$11,Paramètres!$A$1:$I$89,3,0)*VLOOKUP('Données projet'!$B$11,Paramètres!$A$1:$I$89,5,0)</f>
        <v>116.55779999999997</v>
      </c>
      <c r="BF35" s="13">
        <f t="shared" si="37"/>
        <v>30.870807833785406</v>
      </c>
      <c r="BG35" s="20">
        <f t="shared" si="7"/>
        <v>256.7714919771762</v>
      </c>
      <c r="BH35" s="59">
        <f t="shared" si="8"/>
        <v>550.10482531050957</v>
      </c>
      <c r="BI35" s="59">
        <f ca="1">AVERAGE(OFFSET($BH$3,0,0,'Données projet'!$E$11+1,1))-AVERAGE(OFFSET($H$3,0,0,'Données projet'!$E$11+1,1))</f>
        <v>158.58786357608489</v>
      </c>
      <c r="BJ35" s="59">
        <f t="shared" si="38"/>
        <v>163.20074068819849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11.443589743589742</v>
      </c>
      <c r="BY35" s="12">
        <f>IF('Données projet'!$A$114&gt;35,BY34+BX35-CG34,IF(A35&lt;'Données projet'!$A$114,$BV$205^A35,IF(A35='Données projet'!$A$114,'Données projet'!$B$114,BY34+BX35-CG34)))</f>
        <v>170.14102564102564</v>
      </c>
      <c r="BZ35" s="13">
        <f>BY35*VLOOKUP('Données projet'!$B$12,Paramètres!$A$1:$I$89,3,0)*VLOOKUP('Données projet'!$B$12,Paramètres!$A$1:$I$89,5,0)</f>
        <v>79.626000000000005</v>
      </c>
      <c r="CA35" s="13">
        <f t="shared" si="39"/>
        <v>22.045714260156384</v>
      </c>
      <c r="CB35" s="20">
        <f t="shared" si="10"/>
        <v>177.0782356697724</v>
      </c>
      <c r="CC35" s="59">
        <f t="shared" si="11"/>
        <v>470.41156900310568</v>
      </c>
      <c r="CD35" s="59">
        <f ca="1">AVERAGE(OFFSET($CC$3,0,0,'Données projet'!$E$12+1,1))-AVERAGE(OFFSET($H$3,0,0,'Données projet'!$E$12+1,1))</f>
        <v>123.2823358462245</v>
      </c>
      <c r="CE35" s="59">
        <f t="shared" si="40"/>
        <v>92.75115399786057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12.97179487179487</v>
      </c>
      <c r="CT35" s="12">
        <f>IF('Données projet'!$A$140&gt;35,CT34+CS35-DB34,IF(A35&lt;'Données projet'!$A$140,$CQ$205^A35,IF(A35='Données projet'!$A$140,'Données projet'!$B$140,CT34+CS35-DB34)))</f>
        <v>170.92820512820515</v>
      </c>
      <c r="CU35" s="17">
        <f>CT35*VLOOKUP('Données projet'!$B$13,Paramètres!$A$1:$I$89,3,0)*VLOOKUP('Données projet'!$B$13,Paramètres!$A$1:$I$89,5,0)</f>
        <v>102.21506666666667</v>
      </c>
      <c r="CV35" s="13">
        <f t="shared" si="41"/>
        <v>27.489031873505194</v>
      </c>
      <c r="CW35" s="20">
        <f t="shared" si="13"/>
        <v>225.90130495746598</v>
      </c>
      <c r="CX35" s="59">
        <f t="shared" si="14"/>
        <v>519.23463829079924</v>
      </c>
      <c r="CY35" s="59">
        <f ca="1">AVERAGE(OFFSET($CX$3,0,0,'Données projet'!$E$13+1,1))-AVERAGE(OFFSET($H$3,0,0,'Données projet'!$E$13+1,1))</f>
        <v>179.32848817523677</v>
      </c>
      <c r="CZ35" s="59">
        <f t="shared" si="42"/>
        <v>131.3292389103035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12.469114038117654</v>
      </c>
      <c r="DH35" s="21">
        <f>EXP(-LN(2)/2)*DH34+(1-EXP(-LN(2)/2))/(LN(2)/2)*DB35*DE35*VLOOKUP('Données projet'!$B$13,Paramètres!$A$1:$I$89,3,0)*0.475*44/12</f>
        <v>2.6314346886227149</v>
      </c>
      <c r="DI35" s="22">
        <f t="shared" si="15"/>
        <v>15.100548726740369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8.3413461538461533</v>
      </c>
      <c r="DO35" s="12">
        <f>IF('Données projet'!$A$166&gt;35,DO34+DN35-DW34,IF(A35&lt;'Données projet'!$A$166,$DL$205^A35,IF(A35='Données projet'!$A$166,'Données projet'!$B$166,DO34+DN35-DW34)))</f>
        <v>125.10576923076923</v>
      </c>
      <c r="DP35" s="17">
        <f>DO35*VLOOKUP('Données projet'!$B$14,Paramètres!$A$1:$I$89,3,0)*VLOOKUP('Données projet'!$B$14,Paramètres!$A$1:$I$89,5,0)</f>
        <v>121.00229999999999</v>
      </c>
      <c r="DQ35" s="13">
        <f t="shared" si="43"/>
        <v>31.908656021926088</v>
      </c>
      <c r="DR35" s="20">
        <f t="shared" si="16"/>
        <v>266.31991507152122</v>
      </c>
      <c r="DS35" s="59">
        <f t="shared" si="17"/>
        <v>559.65324840485459</v>
      </c>
      <c r="DT35" s="59">
        <f ca="1">AVERAGE(OFFSET($DS$3,0,0,'Données projet'!$E$14+1,1))-AVERAGE(OFFSET($H$3,0,0,'Données projet'!$E$14+1,1))</f>
        <v>340.4659523898373</v>
      </c>
      <c r="DU35" s="59">
        <f t="shared" si="44"/>
        <v>170.54530785680572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5.4791666666666652</v>
      </c>
      <c r="EJ35" s="12">
        <f>IF('Données projet'!$A$192&gt;35,EJ34+EI35-ER34,IF(A35&lt;'Données projet'!$A$192,$EG$205^A35,IF(A35='Données projet'!$A$192,'Données projet'!$B$192,EJ34+EI35-ER34)))</f>
        <v>86.304487179487197</v>
      </c>
      <c r="EK35" s="17">
        <f>EJ35*VLOOKUP('Données projet'!$B$15,Paramètres!$A$1:$I$89,3,0)*VLOOKUP('Données projet'!$B$15,Paramètres!$A$1:$I$89,5,0)</f>
        <v>83.473700000000022</v>
      </c>
      <c r="EL35" s="13">
        <f t="shared" si="45"/>
        <v>22.984409368182952</v>
      </c>
      <c r="EM35" s="20">
        <f t="shared" si="19"/>
        <v>185.41454048291868</v>
      </c>
      <c r="EN35" s="59">
        <f t="shared" si="20"/>
        <v>478.74787381625197</v>
      </c>
      <c r="EO35" s="59">
        <f ca="1">AVERAGE(OFFSET($EN$3,0,0,'Données projet'!$E$15+1,1))-AVERAGE(OFFSET($H$3,0,0,'Données projet'!$E$15+1,1))</f>
        <v>262.20955982183017</v>
      </c>
      <c r="EP35" s="59">
        <f t="shared" si="46"/>
        <v>101.35842063036193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10.199999999999999</v>
      </c>
      <c r="FE35" s="12">
        <f>IF('Données projet'!$A$218&gt;35,FE34+FD35-FM34,IF(A35&lt;'Données projet'!$A$218,$FB$205^A35,IF(A35='Données projet'!$A$218,'Données projet'!$B$218,FE34+FD35-FM34)))</f>
        <v>138.39999999999995</v>
      </c>
      <c r="FF35" s="17">
        <f>FE35*VLOOKUP('Données projet'!$B$16,Paramètres!$A$1:$I$89,3,0)*VLOOKUP('Données projet'!$B$16,Paramètres!$A$1:$I$89,5,0)</f>
        <v>110.11103999999996</v>
      </c>
      <c r="FG35" s="13">
        <f t="shared" si="47"/>
        <v>29.357144926198423</v>
      </c>
      <c r="FH35" s="20">
        <f t="shared" si="22"/>
        <v>242.90708874646216</v>
      </c>
      <c r="FI35" s="59">
        <f t="shared" si="23"/>
        <v>536.24042207979551</v>
      </c>
      <c r="FJ35" s="59">
        <f ca="1">AVERAGE(OFFSET($FI$3,0,0,'Données projet'!$E$16+1,1))-AVERAGE(OFFSET($H$3,0,0,'Données projet'!$E$16+1,1))</f>
        <v>199.58763537752952</v>
      </c>
      <c r="FK35" s="59">
        <f t="shared" si="48"/>
        <v>242.62852778451929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9.7282885199864211</v>
      </c>
      <c r="FS35" s="21">
        <f>EXP(-LN(2)/2)*FS34+(1-EXP(-LN(2)/2))/(LN(2)/2)*FM35*FP35*VLOOKUP('Données projet'!$B$16,Paramètres!$A$1:$I$89,3,0)*0.475*44/12</f>
        <v>5.3807791966101028</v>
      </c>
      <c r="FT35" s="22">
        <f t="shared" si="24"/>
        <v>15.109067716596524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10.199999999999999</v>
      </c>
      <c r="FZ35" s="12">
        <f>IF('Données projet'!$A$244&gt;35,FZ34+FY35-GH34,IF(A35&lt;'Données projet'!$A$244,$FW$205^A35,IF(A35='Données projet'!$A$244,'Données projet'!$B$244,FZ34+FY35-GH34)))</f>
        <v>138.39999999999995</v>
      </c>
      <c r="GA35" s="17">
        <f>FZ35*VLOOKUP('Données projet'!$B$17,Paramètres!$A$1:$I$89,3,0)*VLOOKUP('Données projet'!$B$17,Paramètres!$A$1:$I$89,5,0)</f>
        <v>101.47487999999996</v>
      </c>
      <c r="GB35" s="13">
        <f t="shared" si="49"/>
        <v>27.313067403955227</v>
      </c>
      <c r="GC35" s="20">
        <f t="shared" si="25"/>
        <v>224.30567506188856</v>
      </c>
      <c r="GD35" s="59">
        <f t="shared" si="26"/>
        <v>517.63900839522194</v>
      </c>
      <c r="GE35" s="59">
        <f ca="1">AVERAGE(OFFSET($GD$3,0,0,'Données projet'!$E$17+1,1))-AVERAGE(OFFSET($H$3,0,0,'Données projet'!$E$17+1,1))</f>
        <v>178.12968684094687</v>
      </c>
      <c r="GF35" s="59">
        <f t="shared" si="50"/>
        <v>219.36004077210373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7.2737221971485608</v>
      </c>
      <c r="GN35" s="21">
        <f>EXP(-LN(2)/2)*GN34+(1-EXP(-LN(2)/2))/(LN(2)/2)*GH35*GK35*VLOOKUP('Données projet'!$B$17,Paramètres!$A$1:$I$89,3,0)*0.475*44/12</f>
        <v>4.9587572988367619</v>
      </c>
      <c r="GO35" s="21">
        <f t="shared" si="27"/>
        <v>12.232479495985324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10.199999999999999</v>
      </c>
      <c r="GU35" s="12">
        <f>IF('Données projet'!$A$270&gt;35,GU34+GT35-HC34,IF(A35&lt;'Données projet'!$A$270,$GR$205^A35,IF(A35='Données projet'!$A$270,'Données projet'!$B$270,GU34+GT35-HC34)))</f>
        <v>138.39999999999995</v>
      </c>
      <c r="GV35" s="17">
        <f>GU35*VLOOKUP('Données projet'!$B$18,Paramètres!$A$1:$I$89,3,0)*VLOOKUP('Données projet'!$B$18,Paramètres!$A$1:$I$89,5,0)</f>
        <v>110.11103999999996</v>
      </c>
      <c r="GW35" s="13">
        <f t="shared" si="51"/>
        <v>29.357144926198423</v>
      </c>
      <c r="GX35" s="20">
        <f t="shared" si="28"/>
        <v>242.90708874646216</v>
      </c>
      <c r="GY35" s="59">
        <f t="shared" si="29"/>
        <v>536.24042207979551</v>
      </c>
      <c r="GZ35" s="59">
        <f ca="1">AVERAGE(OFFSET($GY$3,0,0,'Données projet'!$E$18+1,1))-AVERAGE(OFFSET($H$3,0,0,'Données projet'!$E$18+1,1))</f>
        <v>199.58763537752952</v>
      </c>
      <c r="HA35" s="59">
        <f t="shared" si="52"/>
        <v>242.62852778451929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9.7282885199864211</v>
      </c>
      <c r="HI35" s="21">
        <f>EXP(-LN(2)/2)*HI34+(1-EXP(-LN(2)/2))/(LN(2)/2)*HC35*HF35*VLOOKUP('Données projet'!$B$18,Paramètres!$A$1:$I$89,3,0)*0.475*44/12</f>
        <v>5.3807791966101028</v>
      </c>
      <c r="HJ35" s="22">
        <f t="shared" si="30"/>
        <v>15.109067716596524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8.3413461538461533</v>
      </c>
      <c r="N36" s="13">
        <f>IF('Données projet'!$A$36&gt;35,N35+M36-V35,IF(A36&lt;'Données projet'!$A$36,$K$205^A36,IF(A36='Données projet'!$A$36,'Données projet'!$B$36,N35+M36-V35)))</f>
        <v>133.44711538461539</v>
      </c>
      <c r="O36" s="13">
        <f>N36*VLOOKUP('Données projet'!$B$9,Paramètres!$A$1:$I$89,3,0)*VLOOKUP('Données projet'!$B$9,Paramètres!$A$1:$I$89,5,0)</f>
        <v>120.74294999999999</v>
      </c>
      <c r="P36" s="13">
        <f t="shared" si="33"/>
        <v>31.84821788595394</v>
      </c>
      <c r="Q36" s="20">
        <f t="shared" si="53"/>
        <v>265.76295073470305</v>
      </c>
      <c r="R36" s="59">
        <f t="shared" si="0"/>
        <v>559.09628406803631</v>
      </c>
      <c r="S36" s="59">
        <f ca="1">AVERAGE(OFFSET($R$3,0,0,'Données projet'!$E$9+1,1))-AVERAGE(OFFSET($H$3,0,0,'Données projet'!$E$9+1,1))</f>
        <v>309.07357540707869</v>
      </c>
      <c r="T36" s="59">
        <f t="shared" si="34"/>
        <v>155.9593924683299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5.4791666666666652</v>
      </c>
      <c r="AI36" s="13">
        <f>IF('Données projet'!$A$62&gt;35,AI35+AH36-AQ35,IF(A36&lt;'Données projet'!$A$62,$AF$205^A36,IF(A36='Données projet'!$A$62,'Données projet'!$B$62,AI35+AH36-AQ35)))</f>
        <v>91.783653846153868</v>
      </c>
      <c r="AJ36" s="13">
        <f>AI36*VLOOKUP('Données projet'!$B$10,Paramètres!$A$1:$I$89,3,0)*VLOOKUP('Données projet'!$B$10,Paramètres!$A$1:$I$89,5,0)</f>
        <v>83.045850000000016</v>
      </c>
      <c r="AK36" s="13">
        <f t="shared" si="35"/>
        <v>22.880283002768671</v>
      </c>
      <c r="AL36" s="20">
        <f t="shared" si="4"/>
        <v>184.48801497982217</v>
      </c>
      <c r="AM36" s="59">
        <f t="shared" si="5"/>
        <v>477.82134831315545</v>
      </c>
      <c r="AN36" s="59">
        <f ca="1">AVERAGE(OFFSET($AM$3,0,0,'Données projet'!$E$10+1,1))-AVERAGE(OFFSET($H$3,0,0,'Données projet'!$E$10+1,1))</f>
        <v>234.30804102916278</v>
      </c>
      <c r="AO36" s="59">
        <f t="shared" si="36"/>
        <v>91.137993288782411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16.131410256410259</v>
      </c>
      <c r="BD36" s="12">
        <f>IF('Données projet'!$A$88&gt;35,BD35+BC36-BL35,IF(A36&lt;'Données projet'!$A$88,$BA$205^A36,IF(A36='Données projet'!$A$88,'Données projet'!$B$88,BD35+BC36-BL35)))</f>
        <v>265.18653846153842</v>
      </c>
      <c r="BE36" s="13">
        <f>BD36*VLOOKUP('Données projet'!$B$11,Paramètres!$A$1:$I$89,3,0)*VLOOKUP('Données projet'!$B$11,Paramètres!$A$1:$I$89,5,0)</f>
        <v>124.10729999999997</v>
      </c>
      <c r="BF36" s="13">
        <f t="shared" si="37"/>
        <v>32.631075149258578</v>
      </c>
      <c r="BG36" s="20">
        <f t="shared" si="7"/>
        <v>272.98600338495862</v>
      </c>
      <c r="BH36" s="59">
        <f t="shared" si="8"/>
        <v>566.31933671829188</v>
      </c>
      <c r="BI36" s="59">
        <f ca="1">AVERAGE(OFFSET($BH$3,0,0,'Données projet'!$E$11+1,1))-AVERAGE(OFFSET($H$3,0,0,'Données projet'!$E$11+1,1))</f>
        <v>158.58786357608489</v>
      </c>
      <c r="BJ36" s="59">
        <f t="shared" si="38"/>
        <v>163.20074068819849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11.443589743589742</v>
      </c>
      <c r="BY36" s="12">
        <f>IF('Données projet'!$A$114&gt;35,BY35+BX36-CG35,IF(A36&lt;'Données projet'!$A$114,$BV$205^A36,IF(A36='Données projet'!$A$114,'Données projet'!$B$114,BY35+BX36-CG35)))</f>
        <v>181.58461538461538</v>
      </c>
      <c r="BZ36" s="13">
        <f>BY36*VLOOKUP('Données projet'!$B$12,Paramètres!$A$1:$I$89,3,0)*VLOOKUP('Données projet'!$B$12,Paramètres!$A$1:$I$89,5,0)</f>
        <v>84.981599999999986</v>
      </c>
      <c r="CA36" s="13">
        <f t="shared" si="39"/>
        <v>23.350896003452508</v>
      </c>
      <c r="CB36" s="20">
        <f t="shared" si="10"/>
        <v>188.6790972060131</v>
      </c>
      <c r="CC36" s="59">
        <f t="shared" si="11"/>
        <v>482.01243053934638</v>
      </c>
      <c r="CD36" s="59">
        <f ca="1">AVERAGE(OFFSET($CC$3,0,0,'Données projet'!$E$12+1,1))-AVERAGE(OFFSET($H$3,0,0,'Données projet'!$E$12+1,1))</f>
        <v>123.2823358462245</v>
      </c>
      <c r="CE36" s="59">
        <f t="shared" si="40"/>
        <v>92.75115399786057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>
        <f>VLOOKUP(A36,'Données projet'!$A$139:$I$159,2,0)</f>
        <v>183.89999999999998</v>
      </c>
      <c r="CR36" s="12">
        <f>VLOOKUP(A36,'Données projet'!$A$139:$I$159,9,0)</f>
        <v>12.97179487179487</v>
      </c>
      <c r="CS36" s="12">
        <f t="array" ref="CS36">INDEX(CR:CR,MIN(IF(ISNUMBER(CR36:CR232),ROW(CR36:CR232),"")))</f>
        <v>12.97179487179487</v>
      </c>
      <c r="CT36" s="12">
        <f>IF('Données projet'!$A$140&gt;35,CT35+CS36-DB35,IF(A36&lt;'Données projet'!$A$140,$CQ$205^A36,IF(A36='Données projet'!$A$140,'Données projet'!$B$140,CT35+CS36-DB35)))</f>
        <v>183.90000000000003</v>
      </c>
      <c r="CU36" s="17">
        <f>CT36*VLOOKUP('Données projet'!$B$13,Paramètres!$A$1:$I$89,3,0)*VLOOKUP('Données projet'!$B$13,Paramètres!$A$1:$I$89,5,0)</f>
        <v>109.97220000000003</v>
      </c>
      <c r="CV36" s="13">
        <f t="shared" si="41"/>
        <v>29.324434579377328</v>
      </c>
      <c r="CW36" s="20">
        <f t="shared" si="13"/>
        <v>242.60830522574886</v>
      </c>
      <c r="CX36" s="59">
        <f t="shared" si="14"/>
        <v>535.94163855908221</v>
      </c>
      <c r="CY36" s="59">
        <f ca="1">AVERAGE(OFFSET($CX$3,0,0,'Données projet'!$E$13+1,1))-AVERAGE(OFFSET($H$3,0,0,'Données projet'!$E$13+1,1))</f>
        <v>179.32848817523677</v>
      </c>
      <c r="CZ36" s="59">
        <f t="shared" si="42"/>
        <v>131.3292389103035</v>
      </c>
      <c r="DA36" s="15">
        <f>IF(ISNA(VLOOKUP(A36,'Données projet'!$A$139:$I$159,3,0)),0,VLOOKUP(A36,'Données projet'!$A$139:$I$159,3,0))</f>
        <v>3</v>
      </c>
      <c r="DB36" s="15">
        <f>IF(ISNA(VLOOKUP(A36,'Données projet'!$A$139:$I$159,4,0)),0,VLOOKUP(A36,'Données projet'!$A$139:$I$159,4,0))</f>
        <v>43.007692307692302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12.128145459023118</v>
      </c>
      <c r="DH36" s="21">
        <f>EXP(-LN(2)/2)*DH35+(1-EXP(-LN(2)/2))/(LN(2)/2)*DB36*DE36*VLOOKUP('Données projet'!$B$13,Paramètres!$A$1:$I$89,3,0)*0.475*44/12</f>
        <v>1.8607053125746331</v>
      </c>
      <c r="DI36" s="22">
        <f t="shared" si="15"/>
        <v>13.98885077159775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8.3413461538461533</v>
      </c>
      <c r="DO36" s="12">
        <f>IF('Données projet'!$A$166&gt;35,DO35+DN36-DW35,IF(A36&lt;'Données projet'!$A$166,$DL$205^A36,IF(A36='Données projet'!$A$166,'Données projet'!$B$166,DO35+DN36-DW35)))</f>
        <v>133.44711538461539</v>
      </c>
      <c r="DP36" s="17">
        <f>DO36*VLOOKUP('Données projet'!$B$14,Paramètres!$A$1:$I$89,3,0)*VLOOKUP('Données projet'!$B$14,Paramètres!$A$1:$I$89,5,0)</f>
        <v>129.07005000000001</v>
      </c>
      <c r="DQ36" s="13">
        <f t="shared" si="43"/>
        <v>33.781385489265531</v>
      </c>
      <c r="DR36" s="20">
        <f t="shared" si="16"/>
        <v>283.63291681047082</v>
      </c>
      <c r="DS36" s="59">
        <f t="shared" si="17"/>
        <v>576.96625014380413</v>
      </c>
      <c r="DT36" s="59">
        <f ca="1">AVERAGE(OFFSET($DS$3,0,0,'Données projet'!$E$14+1,1))-AVERAGE(OFFSET($H$3,0,0,'Données projet'!$E$14+1,1))</f>
        <v>340.4659523898373</v>
      </c>
      <c r="DU36" s="59">
        <f t="shared" si="44"/>
        <v>170.54530785680572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5.4791666666666652</v>
      </c>
      <c r="EJ36" s="12">
        <f>IF('Données projet'!$A$192&gt;35,EJ35+EI36-ER35,IF(A36&lt;'Données projet'!$A$192,$EG$205^A36,IF(A36='Données projet'!$A$192,'Données projet'!$B$192,EJ35+EI36-ER35)))</f>
        <v>91.783653846153868</v>
      </c>
      <c r="EK36" s="17">
        <f>EJ36*VLOOKUP('Données projet'!$B$15,Paramètres!$A$1:$I$89,3,0)*VLOOKUP('Données projet'!$B$15,Paramètres!$A$1:$I$89,5,0)</f>
        <v>88.773150000000015</v>
      </c>
      <c r="EL36" s="13">
        <f t="shared" si="45"/>
        <v>24.26910237137329</v>
      </c>
      <c r="EM36" s="20">
        <f t="shared" si="19"/>
        <v>196.88192288014184</v>
      </c>
      <c r="EN36" s="59">
        <f t="shared" si="20"/>
        <v>490.21525621347519</v>
      </c>
      <c r="EO36" s="59">
        <f ca="1">AVERAGE(OFFSET($EN$3,0,0,'Données projet'!$E$15+1,1))-AVERAGE(OFFSET($H$3,0,0,'Données projet'!$E$15+1,1))</f>
        <v>262.20955982183017</v>
      </c>
      <c r="EP36" s="59">
        <f t="shared" si="46"/>
        <v>101.35842063036193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10.199999999999999</v>
      </c>
      <c r="FE36" s="12">
        <f>IF('Données projet'!$A$218&gt;35,FE35+FD36-FM35,IF(A36&lt;'Données projet'!$A$218,$FB$205^A36,IF(A36='Données projet'!$A$218,'Données projet'!$B$218,FE35+FD36-FM35)))</f>
        <v>148.59999999999994</v>
      </c>
      <c r="FF36" s="17">
        <f>FE36*VLOOKUP('Données projet'!$B$16,Paramètres!$A$1:$I$89,3,0)*VLOOKUP('Données projet'!$B$16,Paramètres!$A$1:$I$89,5,0)</f>
        <v>118.22615999999996</v>
      </c>
      <c r="FG36" s="13">
        <f t="shared" si="47"/>
        <v>31.260922342884676</v>
      </c>
      <c r="FH36" s="20">
        <f t="shared" si="22"/>
        <v>260.35666841385739</v>
      </c>
      <c r="FI36" s="59">
        <f t="shared" si="23"/>
        <v>553.69000174719076</v>
      </c>
      <c r="FJ36" s="59">
        <f ca="1">AVERAGE(OFFSET($FI$3,0,0,'Données projet'!$E$16+1,1))-AVERAGE(OFFSET($H$3,0,0,'Données projet'!$E$16+1,1))</f>
        <v>199.58763537752952</v>
      </c>
      <c r="FK36" s="59">
        <f t="shared" si="48"/>
        <v>242.62852778451929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9.4622679588189342</v>
      </c>
      <c r="FS36" s="21">
        <f>EXP(-LN(2)/2)*FS35+(1-EXP(-LN(2)/2))/(LN(2)/2)*FM36*FP36*VLOOKUP('Données projet'!$B$16,Paramètres!$A$1:$I$89,3,0)*0.475*44/12</f>
        <v>3.8047854579905072</v>
      </c>
      <c r="FT36" s="22">
        <f t="shared" si="24"/>
        <v>13.267053416809441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10.199999999999999</v>
      </c>
      <c r="FZ36" s="12">
        <f>IF('Données projet'!$A$244&gt;35,FZ35+FY36-GH35,IF(A36&lt;'Données projet'!$A$244,$FW$205^A36,IF(A36='Données projet'!$A$244,'Données projet'!$B$244,FZ35+FY36-GH35)))</f>
        <v>148.59999999999994</v>
      </c>
      <c r="GA36" s="17">
        <f>FZ36*VLOOKUP('Données projet'!$B$17,Paramètres!$A$1:$I$89,3,0)*VLOOKUP('Données projet'!$B$17,Paramètres!$A$1:$I$89,5,0)</f>
        <v>108.95351999999995</v>
      </c>
      <c r="GB36" s="13">
        <f t="shared" si="49"/>
        <v>29.084288721109843</v>
      </c>
      <c r="GC36" s="20">
        <f t="shared" si="25"/>
        <v>240.41585018926619</v>
      </c>
      <c r="GD36" s="59">
        <f t="shared" si="26"/>
        <v>533.74918352259954</v>
      </c>
      <c r="GE36" s="59">
        <f ca="1">AVERAGE(OFFSET($GD$3,0,0,'Données projet'!$E$17+1,1))-AVERAGE(OFFSET($H$3,0,0,'Données projet'!$E$17+1,1))</f>
        <v>178.12968684094687</v>
      </c>
      <c r="GF36" s="59">
        <f t="shared" si="50"/>
        <v>219.36004077210373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7.0748218811591075</v>
      </c>
      <c r="GN36" s="21">
        <f>EXP(-LN(2)/2)*GN35+(1-EXP(-LN(2)/2))/(LN(2)/2)*GH36*GK36*VLOOKUP('Données projet'!$B$17,Paramètres!$A$1:$I$89,3,0)*0.475*44/12</f>
        <v>3.506370912265762</v>
      </c>
      <c r="GO36" s="21">
        <f t="shared" si="27"/>
        <v>10.581192793424869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10.199999999999999</v>
      </c>
      <c r="GU36" s="12">
        <f>IF('Données projet'!$A$270&gt;35,GU35+GT36-HC35,IF(A36&lt;'Données projet'!$A$270,$GR$205^A36,IF(A36='Données projet'!$A$270,'Données projet'!$B$270,GU35+GT36-HC35)))</f>
        <v>148.59999999999994</v>
      </c>
      <c r="GV36" s="17">
        <f>GU36*VLOOKUP('Données projet'!$B$18,Paramètres!$A$1:$I$89,3,0)*VLOOKUP('Données projet'!$B$18,Paramètres!$A$1:$I$89,5,0)</f>
        <v>118.22615999999996</v>
      </c>
      <c r="GW36" s="13">
        <f t="shared" si="51"/>
        <v>31.260922342884676</v>
      </c>
      <c r="GX36" s="20">
        <f t="shared" si="28"/>
        <v>260.35666841385739</v>
      </c>
      <c r="GY36" s="59">
        <f t="shared" si="29"/>
        <v>553.69000174719076</v>
      </c>
      <c r="GZ36" s="59">
        <f ca="1">AVERAGE(OFFSET($GY$3,0,0,'Données projet'!$E$18+1,1))-AVERAGE(OFFSET($H$3,0,0,'Données projet'!$E$18+1,1))</f>
        <v>199.58763537752952</v>
      </c>
      <c r="HA36" s="59">
        <f t="shared" si="52"/>
        <v>242.62852778451929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9.4622679588189342</v>
      </c>
      <c r="HI36" s="21">
        <f>EXP(-LN(2)/2)*HI35+(1-EXP(-LN(2)/2))/(LN(2)/2)*HC36*HF36*VLOOKUP('Données projet'!$B$18,Paramètres!$A$1:$I$89,3,0)*0.475*44/12</f>
        <v>3.8047854579905072</v>
      </c>
      <c r="HJ36" s="22">
        <f t="shared" si="30"/>
        <v>13.267053416809441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141.78846153846152</v>
      </c>
      <c r="L37" s="12">
        <f>VLOOKUP(A37,'Données projet'!$A$35:$I$55,9,0)</f>
        <v>8.3413461538461533</v>
      </c>
      <c r="M37" s="12">
        <f t="array" ref="M37">INDEX(L:L,MIN(IF(ISNUMBER(L37:L233),ROW(L37:L233),"")))</f>
        <v>8.3413461538461533</v>
      </c>
      <c r="N37" s="13">
        <f>IF('Données projet'!$A$36&gt;35,N36+M37-V36,IF(A37&lt;'Données projet'!$A$36,$K$205^A37,IF(A37='Données projet'!$A$36,'Données projet'!$B$36,N36+M37-V36)))</f>
        <v>141.78846153846155</v>
      </c>
      <c r="O37" s="13">
        <f>N37*VLOOKUP('Données projet'!$B$9,Paramètres!$A$1:$I$89,3,0)*VLOOKUP('Données projet'!$B$9,Paramètres!$A$1:$I$89,5,0)</f>
        <v>128.2902</v>
      </c>
      <c r="P37" s="13">
        <f t="shared" si="33"/>
        <v>33.600970839600329</v>
      </c>
      <c r="Q37" s="20">
        <f t="shared" si="53"/>
        <v>281.96045587897055</v>
      </c>
      <c r="R37" s="59">
        <f t="shared" si="0"/>
        <v>575.29378921230386</v>
      </c>
      <c r="S37" s="59">
        <f ca="1">AVERAGE(OFFSET($R$3,0,0,'Données projet'!$E$9+1,1))-AVERAGE(OFFSET($H$3,0,0,'Données projet'!$E$9+1,1))</f>
        <v>309.07357540707869</v>
      </c>
      <c r="T37" s="59">
        <f t="shared" si="34"/>
        <v>155.9593924683299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31.615384615384613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5.4791666666666652</v>
      </c>
      <c r="AI37" s="13">
        <f>IF('Données projet'!$A$62&gt;35,AI36+AH37-AQ36,IF(A37&lt;'Données projet'!$A$62,$AF$205^A37,IF(A37='Données projet'!$A$62,'Données projet'!$B$62,AI36+AH37-AQ36)))</f>
        <v>97.262820512820539</v>
      </c>
      <c r="AJ37" s="13">
        <f>AI37*VLOOKUP('Données projet'!$B$10,Paramètres!$A$1:$I$89,3,0)*VLOOKUP('Données projet'!$B$10,Paramètres!$A$1:$I$89,5,0)</f>
        <v>88.003400000000013</v>
      </c>
      <c r="AK37" s="13">
        <f t="shared" si="35"/>
        <v>24.083066235714515</v>
      </c>
      <c r="AL37" s="20">
        <f t="shared" si="4"/>
        <v>195.21726202720279</v>
      </c>
      <c r="AM37" s="59">
        <f t="shared" si="5"/>
        <v>488.55059536053614</v>
      </c>
      <c r="AN37" s="59">
        <f ca="1">AVERAGE(OFFSET($AM$3,0,0,'Données projet'!$E$10+1,1))-AVERAGE(OFFSET($H$3,0,0,'Données projet'!$E$10+1,1))</f>
        <v>234.30804102916278</v>
      </c>
      <c r="AO37" s="59">
        <f t="shared" si="36"/>
        <v>91.137993288782411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16.131410256410259</v>
      </c>
      <c r="BD37" s="12">
        <f>IF('Données projet'!$A$88&gt;35,BD36+BC37-BL36,IF(A37&lt;'Données projet'!$A$88,$BA$205^A37,IF(A37='Données projet'!$A$88,'Données projet'!$B$88,BD36+BC37-BL36)))</f>
        <v>281.3179487179487</v>
      </c>
      <c r="BE37" s="13">
        <f>BD37*VLOOKUP('Données projet'!$B$11,Paramètres!$A$1:$I$89,3,0)*VLOOKUP('Données projet'!$B$11,Paramètres!$A$1:$I$89,5,0)</f>
        <v>131.65679999999998</v>
      </c>
      <c r="BF37" s="13">
        <f t="shared" si="37"/>
        <v>34.378914540413547</v>
      </c>
      <c r="BG37" s="20">
        <f t="shared" si="7"/>
        <v>289.17886949122021</v>
      </c>
      <c r="BH37" s="59">
        <f t="shared" si="8"/>
        <v>582.51220282455347</v>
      </c>
      <c r="BI37" s="59">
        <f ca="1">AVERAGE(OFFSET($BH$3,0,0,'Données projet'!$E$11+1,1))-AVERAGE(OFFSET($H$3,0,0,'Données projet'!$E$11+1,1))</f>
        <v>158.58786357608489</v>
      </c>
      <c r="BJ37" s="59">
        <f t="shared" si="38"/>
        <v>163.20074068819849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11.443589743589742</v>
      </c>
      <c r="BY37" s="12">
        <f>IF('Données projet'!$A$114&gt;35,BY36+BX37-CG36,IF(A37&lt;'Données projet'!$A$114,$BV$205^A37,IF(A37='Données projet'!$A$114,'Données projet'!$B$114,BY36+BX37-CG36)))</f>
        <v>193.02820512820512</v>
      </c>
      <c r="BZ37" s="13">
        <f>BY37*VLOOKUP('Données projet'!$B$12,Paramètres!$A$1:$I$89,3,0)*VLOOKUP('Données projet'!$B$12,Paramètres!$A$1:$I$89,5,0)</f>
        <v>90.337199999999996</v>
      </c>
      <c r="CA37" s="13">
        <f t="shared" si="39"/>
        <v>24.646531805527069</v>
      </c>
      <c r="CB37" s="20">
        <f t="shared" si="10"/>
        <v>200.2633328946263</v>
      </c>
      <c r="CC37" s="59">
        <f t="shared" si="11"/>
        <v>493.59666622795964</v>
      </c>
      <c r="CD37" s="59">
        <f ca="1">AVERAGE(OFFSET($CC$3,0,0,'Données projet'!$E$12+1,1))-AVERAGE(OFFSET($H$3,0,0,'Données projet'!$E$12+1,1))</f>
        <v>123.2823358462245</v>
      </c>
      <c r="CE37" s="59">
        <f t="shared" si="40"/>
        <v>92.75115399786057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12.74038461538462</v>
      </c>
      <c r="CT37" s="12">
        <f>IF('Données projet'!$A$140&gt;35,CT36+CS37-DB36,IF(A37&lt;'Données projet'!$A$140,$CQ$205^A37,IF(A37='Données projet'!$A$140,'Données projet'!$B$140,CT36+CS37-DB36)))</f>
        <v>153.63269230769234</v>
      </c>
      <c r="CU37" s="17">
        <f>CT37*VLOOKUP('Données projet'!$B$13,Paramètres!$A$1:$I$89,3,0)*VLOOKUP('Données projet'!$B$13,Paramètres!$A$1:$I$89,5,0)</f>
        <v>91.872350000000012</v>
      </c>
      <c r="CV37" s="13">
        <f t="shared" si="41"/>
        <v>25.016248165039102</v>
      </c>
      <c r="CW37" s="20">
        <f t="shared" si="13"/>
        <v>203.58097513744312</v>
      </c>
      <c r="CX37" s="59">
        <f t="shared" si="14"/>
        <v>496.9143084707764</v>
      </c>
      <c r="CY37" s="59">
        <f ca="1">AVERAGE(OFFSET($CX$3,0,0,'Données projet'!$E$13+1,1))-AVERAGE(OFFSET($H$3,0,0,'Données projet'!$E$13+1,1))</f>
        <v>179.32848817523677</v>
      </c>
      <c r="CZ37" s="59">
        <f t="shared" si="42"/>
        <v>131.3292389103035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11.796500683654681</v>
      </c>
      <c r="DH37" s="21">
        <f>EXP(-LN(2)/2)*DH36+(1-EXP(-LN(2)/2))/(LN(2)/2)*DB37*DE37*VLOOKUP('Données projet'!$B$13,Paramètres!$A$1:$I$89,3,0)*0.475*44/12</f>
        <v>1.3157173443113577</v>
      </c>
      <c r="DI37" s="22">
        <f t="shared" si="15"/>
        <v>13.112218027966039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>
        <f>VLOOKUP(A37,'Données projet'!$A$165:$I$185,2,0)</f>
        <v>141.78846153846152</v>
      </c>
      <c r="DM37" s="12">
        <f>VLOOKUP(A37,'Données projet'!$A$165:$I$185,9,0)</f>
        <v>8.3413461538461533</v>
      </c>
      <c r="DN37" s="12">
        <f t="array" ref="DN37">INDEX(DM:DM,MIN(IF(ISNUMBER(DM37:DM233),ROW(DM37:DM233),"")))</f>
        <v>8.3413461538461533</v>
      </c>
      <c r="DO37" s="12">
        <f>IF('Données projet'!$A$166&gt;35,DO36+DN37-DW36,IF(A37&lt;'Données projet'!$A$166,$DL$205^A37,IF(A37='Données projet'!$A$166,'Données projet'!$B$166,DO36+DN37-DW36)))</f>
        <v>141.78846153846155</v>
      </c>
      <c r="DP37" s="17">
        <f>DO37*VLOOKUP('Données projet'!$B$14,Paramètres!$A$1:$I$89,3,0)*VLOOKUP('Données projet'!$B$14,Paramètres!$A$1:$I$89,5,0)</f>
        <v>137.1378</v>
      </c>
      <c r="DQ37" s="13">
        <f t="shared" si="43"/>
        <v>35.640529489303631</v>
      </c>
      <c r="DR37" s="20">
        <f t="shared" si="16"/>
        <v>300.92225719387051</v>
      </c>
      <c r="DS37" s="59">
        <f t="shared" si="17"/>
        <v>594.25559052720382</v>
      </c>
      <c r="DT37" s="59">
        <f ca="1">AVERAGE(OFFSET($DS$3,0,0,'Données projet'!$E$14+1,1))-AVERAGE(OFFSET($H$3,0,0,'Données projet'!$E$14+1,1))</f>
        <v>340.4659523898373</v>
      </c>
      <c r="DU37" s="59">
        <f t="shared" si="44"/>
        <v>170.54530785680572</v>
      </c>
      <c r="DV37" s="15">
        <f>IF(ISNA(VLOOKUP(A37,'Données projet'!$A$165:$I$185,3,0)),0,VLOOKUP(A37,'Données projet'!$A$165:$I$185,3,0))</f>
        <v>1</v>
      </c>
      <c r="DW37" s="15">
        <f>IF(ISNA(VLOOKUP(A37,'Données projet'!$A$165:$I$185,4,0)),0,VLOOKUP(A37,'Données projet'!$A$165:$I$185,4,0))</f>
        <v>31.615384615384613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5.4791666666666652</v>
      </c>
      <c r="EJ37" s="12">
        <f>IF('Données projet'!$A$192&gt;35,EJ36+EI37-ER36,IF(A37&lt;'Données projet'!$A$192,$EG$205^A37,IF(A37='Données projet'!$A$192,'Données projet'!$B$192,EJ36+EI37-ER36)))</f>
        <v>97.262820512820539</v>
      </c>
      <c r="EK37" s="17">
        <f>EJ37*VLOOKUP('Données projet'!$B$15,Paramètres!$A$1:$I$89,3,0)*VLOOKUP('Données projet'!$B$15,Paramètres!$A$1:$I$89,5,0)</f>
        <v>94.072600000000023</v>
      </c>
      <c r="EL37" s="13">
        <f t="shared" si="45"/>
        <v>25.544893820605026</v>
      </c>
      <c r="EM37" s="20">
        <f t="shared" si="19"/>
        <v>208.33380173755381</v>
      </c>
      <c r="EN37" s="59">
        <f t="shared" si="20"/>
        <v>501.66713507088713</v>
      </c>
      <c r="EO37" s="59">
        <f ca="1">AVERAGE(OFFSET($EN$3,0,0,'Données projet'!$E$15+1,1))-AVERAGE(OFFSET($H$3,0,0,'Données projet'!$E$15+1,1))</f>
        <v>262.20955982183017</v>
      </c>
      <c r="EP37" s="59">
        <f t="shared" si="46"/>
        <v>101.35842063036193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10.199999999999999</v>
      </c>
      <c r="FE37" s="12">
        <f>IF('Données projet'!$A$218&gt;35,FE36+FD37-FM36,IF(A37&lt;'Données projet'!$A$218,$FB$205^A37,IF(A37='Données projet'!$A$218,'Données projet'!$B$218,FE36+FD37-FM36)))</f>
        <v>158.79999999999993</v>
      </c>
      <c r="FF37" s="17">
        <f>FE37*VLOOKUP('Données projet'!$B$16,Paramètres!$A$1:$I$89,3,0)*VLOOKUP('Données projet'!$B$16,Paramètres!$A$1:$I$89,5,0)</f>
        <v>126.34127999999994</v>
      </c>
      <c r="FG37" s="13">
        <f t="shared" si="47"/>
        <v>33.14953705360643</v>
      </c>
      <c r="FH37" s="20">
        <f t="shared" si="22"/>
        <v>277.77983970169777</v>
      </c>
      <c r="FI37" s="59">
        <f t="shared" si="23"/>
        <v>571.11317303503108</v>
      </c>
      <c r="FJ37" s="59">
        <f ca="1">AVERAGE(OFFSET($FI$3,0,0,'Données projet'!$E$16+1,1))-AVERAGE(OFFSET($H$3,0,0,'Données projet'!$E$16+1,1))</f>
        <v>199.58763537752952</v>
      </c>
      <c r="FK37" s="59">
        <f t="shared" si="48"/>
        <v>242.62852778451929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9.2035217438859842</v>
      </c>
      <c r="FS37" s="21">
        <f>EXP(-LN(2)/2)*FS36+(1-EXP(-LN(2)/2))/(LN(2)/2)*FM37*FP37*VLOOKUP('Données projet'!$B$16,Paramètres!$A$1:$I$89,3,0)*0.475*44/12</f>
        <v>2.6903895983050519</v>
      </c>
      <c r="FT37" s="22">
        <f t="shared" si="24"/>
        <v>11.893911342191036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10.199999999999999</v>
      </c>
      <c r="FZ37" s="12">
        <f>IF('Données projet'!$A$244&gt;35,FZ36+FY37-GH36,IF(A37&lt;'Données projet'!$A$244,$FW$205^A37,IF(A37='Données projet'!$A$244,'Données projet'!$B$244,FZ36+FY37-GH36)))</f>
        <v>158.79999999999993</v>
      </c>
      <c r="GA37" s="17">
        <f>FZ37*VLOOKUP('Données projet'!$B$17,Paramètres!$A$1:$I$89,3,0)*VLOOKUP('Données projet'!$B$17,Paramètres!$A$1:$I$89,5,0)</f>
        <v>116.43215999999995</v>
      </c>
      <c r="GB37" s="13">
        <f t="shared" si="49"/>
        <v>30.841403080279388</v>
      </c>
      <c r="GC37" s="20">
        <f t="shared" si="25"/>
        <v>256.50145569815317</v>
      </c>
      <c r="GD37" s="59">
        <f t="shared" si="26"/>
        <v>549.83478903148648</v>
      </c>
      <c r="GE37" s="59">
        <f ca="1">AVERAGE(OFFSET($GD$3,0,0,'Données projet'!$E$17+1,1))-AVERAGE(OFFSET($H$3,0,0,'Données projet'!$E$17+1,1))</f>
        <v>178.12968684094687</v>
      </c>
      <c r="GF37" s="59">
        <f t="shared" si="50"/>
        <v>219.36004077210373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6.8813605047700985</v>
      </c>
      <c r="GN37" s="21">
        <f>EXP(-LN(2)/2)*GN36+(1-EXP(-LN(2)/2))/(LN(2)/2)*GH37*GK37*VLOOKUP('Données projet'!$B$17,Paramètres!$A$1:$I$89,3,0)*0.475*44/12</f>
        <v>2.4793786494183814</v>
      </c>
      <c r="GO37" s="21">
        <f t="shared" si="27"/>
        <v>9.3607391541884795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10.199999999999999</v>
      </c>
      <c r="GU37" s="12">
        <f>IF('Données projet'!$A$270&gt;35,GU36+GT37-HC36,IF(A37&lt;'Données projet'!$A$270,$GR$205^A37,IF(A37='Données projet'!$A$270,'Données projet'!$B$270,GU36+GT37-HC36)))</f>
        <v>158.79999999999993</v>
      </c>
      <c r="GV37" s="17">
        <f>GU37*VLOOKUP('Données projet'!$B$18,Paramètres!$A$1:$I$89,3,0)*VLOOKUP('Données projet'!$B$18,Paramètres!$A$1:$I$89,5,0)</f>
        <v>126.34127999999994</v>
      </c>
      <c r="GW37" s="13">
        <f t="shared" si="51"/>
        <v>33.14953705360643</v>
      </c>
      <c r="GX37" s="20">
        <f t="shared" si="28"/>
        <v>277.77983970169777</v>
      </c>
      <c r="GY37" s="59">
        <f t="shared" si="29"/>
        <v>571.11317303503108</v>
      </c>
      <c r="GZ37" s="59">
        <f ca="1">AVERAGE(OFFSET($GY$3,0,0,'Données projet'!$E$18+1,1))-AVERAGE(OFFSET($H$3,0,0,'Données projet'!$E$18+1,1))</f>
        <v>199.58763537752952</v>
      </c>
      <c r="HA37" s="59">
        <f t="shared" si="52"/>
        <v>242.62852778451929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9.2035217438859842</v>
      </c>
      <c r="HI37" s="21">
        <f>EXP(-LN(2)/2)*HI36+(1-EXP(-LN(2)/2))/(LN(2)/2)*HC37*HF37*VLOOKUP('Données projet'!$B$18,Paramètres!$A$1:$I$89,3,0)*0.475*44/12</f>
        <v>2.6903895983050519</v>
      </c>
      <c r="HJ37" s="22">
        <f t="shared" si="30"/>
        <v>11.893911342191036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9.8108974358974379</v>
      </c>
      <c r="N38" s="13">
        <f>IF('Données projet'!$A$36&gt;35,N37+M38-V37,IF(A38&lt;'Données projet'!$A$36,$K$205^A38,IF(A38='Données projet'!$A$36,'Données projet'!$B$36,N37+M38-V37)))</f>
        <v>119.98397435897436</v>
      </c>
      <c r="O38" s="13">
        <f>N38*VLOOKUP('Données projet'!$B$9,Paramètres!$A$1:$I$89,3,0)*VLOOKUP('Données projet'!$B$9,Paramètres!$A$1:$I$89,5,0)</f>
        <v>108.56150000000001</v>
      </c>
      <c r="P38" s="13">
        <f t="shared" si="33"/>
        <v>28.9918035361205</v>
      </c>
      <c r="Q38" s="20">
        <f t="shared" si="53"/>
        <v>239.57200365874317</v>
      </c>
      <c r="R38" s="59">
        <f t="shared" si="0"/>
        <v>532.90533699207651</v>
      </c>
      <c r="S38" s="59">
        <f ca="1">AVERAGE(OFFSET($R$3,0,0,'Données projet'!$E$9+1,1))-AVERAGE(OFFSET($H$3,0,0,'Données projet'!$E$9+1,1))</f>
        <v>309.07357540707869</v>
      </c>
      <c r="T38" s="59">
        <f t="shared" si="34"/>
        <v>155.9593924683299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5.4791666666666652</v>
      </c>
      <c r="AI38" s="13">
        <f>IF('Données projet'!$A$62&gt;35,AI37+AH38-AQ37,IF(A38&lt;'Données projet'!$A$62,$AF$205^A38,IF(A38='Données projet'!$A$62,'Données projet'!$B$62,AI37+AH38-AQ37)))</f>
        <v>102.74198717948721</v>
      </c>
      <c r="AJ38" s="13">
        <f>AI38*VLOOKUP('Données projet'!$B$10,Paramètres!$A$1:$I$89,3,0)*VLOOKUP('Données projet'!$B$10,Paramètres!$A$1:$I$89,5,0)</f>
        <v>92.960950000000025</v>
      </c>
      <c r="AK38" s="13">
        <f t="shared" si="35"/>
        <v>25.277983948995907</v>
      </c>
      <c r="AL38" s="20">
        <f t="shared" si="4"/>
        <v>205.93280996116789</v>
      </c>
      <c r="AM38" s="59">
        <f t="shared" si="5"/>
        <v>499.26614329450121</v>
      </c>
      <c r="AN38" s="59">
        <f ca="1">AVERAGE(OFFSET($AM$3,0,0,'Données projet'!$E$10+1,1))-AVERAGE(OFFSET($H$3,0,0,'Données projet'!$E$10+1,1))</f>
        <v>234.30804102916278</v>
      </c>
      <c r="AO38" s="59">
        <f t="shared" si="36"/>
        <v>91.137993288782411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16.131410256410259</v>
      </c>
      <c r="BD38" s="12">
        <f>IF('Données projet'!$A$88&gt;35,BD37+BC38-BL37,IF(A38&lt;'Données projet'!$A$88,$BA$205^A38,IF(A38='Données projet'!$A$88,'Données projet'!$B$88,BD37+BC38-BL37)))</f>
        <v>297.44935897435897</v>
      </c>
      <c r="BE38" s="13">
        <f>BD38*VLOOKUP('Données projet'!$B$11,Paramètres!$A$1:$I$89,3,0)*VLOOKUP('Données projet'!$B$11,Paramètres!$A$1:$I$89,5,0)</f>
        <v>139.2063</v>
      </c>
      <c r="BF38" s="13">
        <f t="shared" si="37"/>
        <v>36.115119849784641</v>
      </c>
      <c r="BG38" s="20">
        <f t="shared" si="7"/>
        <v>305.35147290504159</v>
      </c>
      <c r="BH38" s="59">
        <f t="shared" si="8"/>
        <v>598.6848062383749</v>
      </c>
      <c r="BI38" s="59">
        <f ca="1">AVERAGE(OFFSET($BH$3,0,0,'Données projet'!$E$11+1,1))-AVERAGE(OFFSET($H$3,0,0,'Données projet'!$E$11+1,1))</f>
        <v>158.58786357608489</v>
      </c>
      <c r="BJ38" s="59">
        <f t="shared" si="38"/>
        <v>163.20074068819849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11.443589743589742</v>
      </c>
      <c r="BY38" s="12">
        <f>IF('Données projet'!$A$114&gt;35,BY37+BX38-CG37,IF(A38&lt;'Données projet'!$A$114,$BV$205^A38,IF(A38='Données projet'!$A$114,'Données projet'!$B$114,BY37+BX38-CG37)))</f>
        <v>204.47179487179486</v>
      </c>
      <c r="BZ38" s="13">
        <f>BY38*VLOOKUP('Données projet'!$B$12,Paramètres!$A$1:$I$89,3,0)*VLOOKUP('Données projet'!$B$12,Paramètres!$A$1:$I$89,5,0)</f>
        <v>95.692799999999991</v>
      </c>
      <c r="CA38" s="13">
        <f t="shared" si="39"/>
        <v>25.93325205212474</v>
      </c>
      <c r="CB38" s="20">
        <f t="shared" si="10"/>
        <v>211.83204065745056</v>
      </c>
      <c r="CC38" s="59">
        <f t="shared" si="11"/>
        <v>505.16537399078391</v>
      </c>
      <c r="CD38" s="59">
        <f ca="1">AVERAGE(OFFSET($CC$3,0,0,'Données projet'!$E$12+1,1))-AVERAGE(OFFSET($H$3,0,0,'Données projet'!$E$12+1,1))</f>
        <v>123.2823358462245</v>
      </c>
      <c r="CE38" s="59">
        <f t="shared" si="40"/>
        <v>92.75115399786057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12.74038461538462</v>
      </c>
      <c r="CT38" s="12">
        <f>IF('Données projet'!$A$140&gt;35,CT37+CS38-DB37,IF(A38&lt;'Données projet'!$A$140,$CQ$205^A38,IF(A38='Données projet'!$A$140,'Données projet'!$B$140,CT37+CS38-DB37)))</f>
        <v>166.37307692307695</v>
      </c>
      <c r="CU38" s="17">
        <f>CT38*VLOOKUP('Données projet'!$B$13,Paramètres!$A$1:$I$89,3,0)*VLOOKUP('Données projet'!$B$13,Paramètres!$A$1:$I$89,5,0)</f>
        <v>99.491100000000031</v>
      </c>
      <c r="CV38" s="13">
        <f t="shared" si="41"/>
        <v>26.84072316435665</v>
      </c>
      <c r="CW38" s="20">
        <f t="shared" si="13"/>
        <v>220.02792534458789</v>
      </c>
      <c r="CX38" s="59">
        <f t="shared" si="14"/>
        <v>513.36125867792123</v>
      </c>
      <c r="CY38" s="59">
        <f ca="1">AVERAGE(OFFSET($CX$3,0,0,'Données projet'!$E$13+1,1))-AVERAGE(OFFSET($H$3,0,0,'Données projet'!$E$13+1,1))</f>
        <v>179.32848817523677</v>
      </c>
      <c r="CZ38" s="59">
        <f t="shared" si="42"/>
        <v>131.3292389103035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11.473924752109134</v>
      </c>
      <c r="DH38" s="21">
        <f>EXP(-LN(2)/2)*DH37+(1-EXP(-LN(2)/2))/(LN(2)/2)*DB38*DE38*VLOOKUP('Données projet'!$B$13,Paramètres!$A$1:$I$89,3,0)*0.475*44/12</f>
        <v>0.93035265628731667</v>
      </c>
      <c r="DI38" s="22">
        <f t="shared" si="15"/>
        <v>12.404277408396451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9.8108974358974379</v>
      </c>
      <c r="DO38" s="12">
        <f>IF('Données projet'!$A$166&gt;35,DO37+DN38-DW37,IF(A38&lt;'Données projet'!$A$166,$DL$205^A38,IF(A38='Données projet'!$A$166,'Données projet'!$B$166,DO37+DN38-DW37)))</f>
        <v>119.98397435897436</v>
      </c>
      <c r="DP38" s="17">
        <f>DO38*VLOOKUP('Données projet'!$B$14,Paramètres!$A$1:$I$89,3,0)*VLOOKUP('Données projet'!$B$14,Paramètres!$A$1:$I$89,5,0)</f>
        <v>116.04850000000002</v>
      </c>
      <c r="DQ38" s="13">
        <f t="shared" si="43"/>
        <v>30.751588512419616</v>
      </c>
      <c r="DR38" s="20">
        <f t="shared" si="16"/>
        <v>255.67682082579753</v>
      </c>
      <c r="DS38" s="59">
        <f t="shared" si="17"/>
        <v>549.01015415913082</v>
      </c>
      <c r="DT38" s="59">
        <f ca="1">AVERAGE(OFFSET($DS$3,0,0,'Données projet'!$E$14+1,1))-AVERAGE(OFFSET($H$3,0,0,'Données projet'!$E$14+1,1))</f>
        <v>340.4659523898373</v>
      </c>
      <c r="DU38" s="59">
        <f t="shared" si="44"/>
        <v>170.54530785680572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5.4791666666666652</v>
      </c>
      <c r="EJ38" s="12">
        <f>IF('Données projet'!$A$192&gt;35,EJ37+EI38-ER37,IF(A38&lt;'Données projet'!$A$192,$EG$205^A38,IF(A38='Données projet'!$A$192,'Données projet'!$B$192,EJ37+EI38-ER37)))</f>
        <v>102.74198717948721</v>
      </c>
      <c r="EK38" s="17">
        <f>EJ38*VLOOKUP('Données projet'!$B$15,Paramètres!$A$1:$I$89,3,0)*VLOOKUP('Données projet'!$B$15,Paramètres!$A$1:$I$89,5,0)</f>
        <v>99.37205000000003</v>
      </c>
      <c r="EL38" s="13">
        <f t="shared" si="45"/>
        <v>26.812342317875974</v>
      </c>
      <c r="EM38" s="20">
        <f t="shared" si="19"/>
        <v>219.77114995363402</v>
      </c>
      <c r="EN38" s="59">
        <f t="shared" si="20"/>
        <v>513.10448328696737</v>
      </c>
      <c r="EO38" s="59">
        <f ca="1">AVERAGE(OFFSET($EN$3,0,0,'Données projet'!$E$15+1,1))-AVERAGE(OFFSET($H$3,0,0,'Données projet'!$E$15+1,1))</f>
        <v>262.20955982183017</v>
      </c>
      <c r="EP38" s="59">
        <f t="shared" si="46"/>
        <v>101.35842063036193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10.199999999999999</v>
      </c>
      <c r="FE38" s="12">
        <f>IF('Données projet'!$A$218&gt;35,FE37+FD38-FM37,IF(A38&lt;'Données projet'!$A$218,$FB$205^A38,IF(A38='Données projet'!$A$218,'Données projet'!$B$218,FE37+FD38-FM37)))</f>
        <v>168.99999999999991</v>
      </c>
      <c r="FF38" s="17">
        <f>FE38*VLOOKUP('Données projet'!$B$16,Paramètres!$A$1:$I$89,3,0)*VLOOKUP('Données projet'!$B$16,Paramètres!$A$1:$I$89,5,0)</f>
        <v>134.45639999999995</v>
      </c>
      <c r="FG38" s="13">
        <f t="shared" si="47"/>
        <v>35.024073835162383</v>
      </c>
      <c r="FH38" s="20">
        <f t="shared" si="22"/>
        <v>295.17849192957436</v>
      </c>
      <c r="FI38" s="59">
        <f t="shared" si="23"/>
        <v>588.51182526290768</v>
      </c>
      <c r="FJ38" s="59">
        <f ca="1">AVERAGE(OFFSET($FI$3,0,0,'Données projet'!$E$16+1,1))-AVERAGE(OFFSET($H$3,0,0,'Données projet'!$E$16+1,1))</f>
        <v>199.58763537752952</v>
      </c>
      <c r="FK38" s="59">
        <f t="shared" si="48"/>
        <v>242.62852778451929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8.9518509578072489</v>
      </c>
      <c r="FS38" s="21">
        <f>EXP(-LN(2)/2)*FS37+(1-EXP(-LN(2)/2))/(LN(2)/2)*FM38*FP38*VLOOKUP('Données projet'!$B$16,Paramètres!$A$1:$I$89,3,0)*0.475*44/12</f>
        <v>1.902392728995254</v>
      </c>
      <c r="FT38" s="22">
        <f t="shared" si="24"/>
        <v>10.854243686802503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10.199999999999999</v>
      </c>
      <c r="FZ38" s="12">
        <f>IF('Données projet'!$A$244&gt;35,FZ37+FY38-GH37,IF(A38&lt;'Données projet'!$A$244,$FW$205^A38,IF(A38='Données projet'!$A$244,'Données projet'!$B$244,FZ37+FY38-GH37)))</f>
        <v>168.99999999999991</v>
      </c>
      <c r="GA38" s="17">
        <f>FZ38*VLOOKUP('Données projet'!$B$17,Paramètres!$A$1:$I$89,3,0)*VLOOKUP('Données projet'!$B$17,Paramètres!$A$1:$I$89,5,0)</f>
        <v>123.91079999999992</v>
      </c>
      <c r="GB38" s="13">
        <f t="shared" si="49"/>
        <v>32.585419727488834</v>
      </c>
      <c r="GC38" s="20">
        <f t="shared" si="25"/>
        <v>272.56424935870956</v>
      </c>
      <c r="GD38" s="59">
        <f t="shared" si="26"/>
        <v>565.89758269204287</v>
      </c>
      <c r="GE38" s="59">
        <f ca="1">AVERAGE(OFFSET($GD$3,0,0,'Données projet'!$E$17+1,1))-AVERAGE(OFFSET($H$3,0,0,'Données projet'!$E$17+1,1))</f>
        <v>178.12968684094687</v>
      </c>
      <c r="GF38" s="59">
        <f t="shared" si="50"/>
        <v>219.36004077210373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6.6931893398921387</v>
      </c>
      <c r="GN38" s="21">
        <f>EXP(-LN(2)/2)*GN37+(1-EXP(-LN(2)/2))/(LN(2)/2)*GH38*GK38*VLOOKUP('Données projet'!$B$17,Paramètres!$A$1:$I$89,3,0)*0.475*44/12</f>
        <v>1.7531854561328812</v>
      </c>
      <c r="GO38" s="21">
        <f t="shared" si="27"/>
        <v>8.4463747960250206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10.199999999999999</v>
      </c>
      <c r="GU38" s="12">
        <f>IF('Données projet'!$A$270&gt;35,GU37+GT38-HC37,IF(A38&lt;'Données projet'!$A$270,$GR$205^A38,IF(A38='Données projet'!$A$270,'Données projet'!$B$270,GU37+GT38-HC37)))</f>
        <v>168.99999999999991</v>
      </c>
      <c r="GV38" s="17">
        <f>GU38*VLOOKUP('Données projet'!$B$18,Paramètres!$A$1:$I$89,3,0)*VLOOKUP('Données projet'!$B$18,Paramètres!$A$1:$I$89,5,0)</f>
        <v>134.45639999999995</v>
      </c>
      <c r="GW38" s="13">
        <f t="shared" si="51"/>
        <v>35.024073835162383</v>
      </c>
      <c r="GX38" s="20">
        <f t="shared" si="28"/>
        <v>295.17849192957436</v>
      </c>
      <c r="GY38" s="59">
        <f t="shared" si="29"/>
        <v>588.51182526290768</v>
      </c>
      <c r="GZ38" s="59">
        <f ca="1">AVERAGE(OFFSET($GY$3,0,0,'Données projet'!$E$18+1,1))-AVERAGE(OFFSET($H$3,0,0,'Données projet'!$E$18+1,1))</f>
        <v>199.58763537752952</v>
      </c>
      <c r="HA38" s="59">
        <f t="shared" si="52"/>
        <v>242.62852778451929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8.9518509578072489</v>
      </c>
      <c r="HI38" s="21">
        <f>EXP(-LN(2)/2)*HI37+(1-EXP(-LN(2)/2))/(LN(2)/2)*HC38*HF38*VLOOKUP('Données projet'!$B$18,Paramètres!$A$1:$I$89,3,0)*0.475*44/12</f>
        <v>1.902392728995254</v>
      </c>
      <c r="HJ38" s="22">
        <f t="shared" si="30"/>
        <v>10.854243686802503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9.8108974358974379</v>
      </c>
      <c r="N39" s="13">
        <f>IF('Données projet'!$A$36&gt;35,N38+M39-V38,IF(A39&lt;'Données projet'!$A$36,$K$205^A39,IF(A39='Données projet'!$A$36,'Données projet'!$B$36,N38+M39-V38)))</f>
        <v>129.7948717948718</v>
      </c>
      <c r="O39" s="13">
        <f>N39*VLOOKUP('Données projet'!$B$9,Paramètres!$A$1:$I$89,3,0)*VLOOKUP('Données projet'!$B$9,Paramètres!$A$1:$I$89,5,0)</f>
        <v>117.4384</v>
      </c>
      <c r="P39" s="13">
        <f t="shared" si="33"/>
        <v>31.076799937563745</v>
      </c>
      <c r="Q39" s="20">
        <f t="shared" si="53"/>
        <v>258.66397322459017</v>
      </c>
      <c r="R39" s="59">
        <f t="shared" si="0"/>
        <v>551.99730655792348</v>
      </c>
      <c r="S39" s="59">
        <f ca="1">AVERAGE(OFFSET($R$3,0,0,'Données projet'!$E$9+1,1))-AVERAGE(OFFSET($H$3,0,0,'Données projet'!$E$9+1,1))</f>
        <v>309.07357540707869</v>
      </c>
      <c r="T39" s="59">
        <f t="shared" si="34"/>
        <v>155.9593924683299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5.4791666666666652</v>
      </c>
      <c r="AI39" s="13">
        <f>IF('Données projet'!$A$62&gt;35,AI38+AH39-AQ38,IF(A39&lt;'Données projet'!$A$62,$AF$205^A39,IF(A39='Données projet'!$A$62,'Données projet'!$B$62,AI38+AH39-AQ38)))</f>
        <v>108.22115384615388</v>
      </c>
      <c r="AJ39" s="13">
        <f>AI39*VLOOKUP('Données projet'!$B$10,Paramètres!$A$1:$I$89,3,0)*VLOOKUP('Données projet'!$B$10,Paramètres!$A$1:$I$89,5,0)</f>
        <v>97.918500000000037</v>
      </c>
      <c r="AK39" s="13">
        <f t="shared" si="35"/>
        <v>26.465503435437213</v>
      </c>
      <c r="AL39" s="20">
        <f t="shared" si="4"/>
        <v>216.6354726500532</v>
      </c>
      <c r="AM39" s="59">
        <f t="shared" si="5"/>
        <v>509.96880598338652</v>
      </c>
      <c r="AN39" s="59">
        <f ca="1">AVERAGE(OFFSET($AM$3,0,0,'Données projet'!$E$10+1,1))-AVERAGE(OFFSET($H$3,0,0,'Données projet'!$E$10+1,1))</f>
        <v>234.30804102916278</v>
      </c>
      <c r="AO39" s="59">
        <f t="shared" si="36"/>
        <v>91.137993288782411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16.131410256410259</v>
      </c>
      <c r="BD39" s="12">
        <f>IF('Données projet'!$A$88&gt;35,BD38+BC39-BL38,IF(A39&lt;'Données projet'!$A$88,$BA$205^A39,IF(A39='Données projet'!$A$88,'Données projet'!$B$88,BD38+BC39-BL38)))</f>
        <v>313.58076923076925</v>
      </c>
      <c r="BE39" s="13">
        <f>BD39*VLOOKUP('Données projet'!$B$11,Paramètres!$A$1:$I$89,3,0)*VLOOKUP('Données projet'!$B$11,Paramètres!$A$1:$I$89,5,0)</f>
        <v>146.75580000000002</v>
      </c>
      <c r="BF39" s="13">
        <f t="shared" si="37"/>
        <v>37.840393952855997</v>
      </c>
      <c r="BG39" s="20">
        <f t="shared" si="7"/>
        <v>321.5050378012242</v>
      </c>
      <c r="BH39" s="59">
        <f t="shared" si="8"/>
        <v>614.83837113455752</v>
      </c>
      <c r="BI39" s="59">
        <f ca="1">AVERAGE(OFFSET($BH$3,0,0,'Données projet'!$E$11+1,1))-AVERAGE(OFFSET($H$3,0,0,'Données projet'!$E$11+1,1))</f>
        <v>158.58786357608489</v>
      </c>
      <c r="BJ39" s="59">
        <f t="shared" si="38"/>
        <v>163.20074068819849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11.443589743589742</v>
      </c>
      <c r="BY39" s="12">
        <f>IF('Données projet'!$A$114&gt;35,BY38+BX39-CG38,IF(A39&lt;'Données projet'!$A$114,$BV$205^A39,IF(A39='Données projet'!$A$114,'Données projet'!$B$114,BY38+BX39-CG38)))</f>
        <v>215.9153846153846</v>
      </c>
      <c r="BZ39" s="13">
        <f>BY39*VLOOKUP('Données projet'!$B$12,Paramètres!$A$1:$I$89,3,0)*VLOOKUP('Données projet'!$B$12,Paramètres!$A$1:$I$89,5,0)</f>
        <v>101.04839999999999</v>
      </c>
      <c r="CA39" s="13">
        <f t="shared" si="39"/>
        <v>27.21161258263702</v>
      </c>
      <c r="CB39" s="20">
        <f t="shared" si="10"/>
        <v>223.38618858142613</v>
      </c>
      <c r="CC39" s="59">
        <f t="shared" si="11"/>
        <v>516.71952191475941</v>
      </c>
      <c r="CD39" s="59">
        <f ca="1">AVERAGE(OFFSET($CC$3,0,0,'Données projet'!$E$12+1,1))-AVERAGE(OFFSET($H$3,0,0,'Données projet'!$E$12+1,1))</f>
        <v>123.2823358462245</v>
      </c>
      <c r="CE39" s="59">
        <f t="shared" si="40"/>
        <v>92.75115399786057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12.74038461538462</v>
      </c>
      <c r="CT39" s="12">
        <f>IF('Données projet'!$A$140&gt;35,CT38+CS39-DB38,IF(A39&lt;'Données projet'!$A$140,$CQ$205^A39,IF(A39='Données projet'!$A$140,'Données projet'!$B$140,CT38+CS39-DB38)))</f>
        <v>179.11346153846156</v>
      </c>
      <c r="CU39" s="17">
        <f>CT39*VLOOKUP('Données projet'!$B$13,Paramètres!$A$1:$I$89,3,0)*VLOOKUP('Données projet'!$B$13,Paramètres!$A$1:$I$89,5,0)</f>
        <v>107.10985000000002</v>
      </c>
      <c r="CV39" s="13">
        <f t="shared" si="41"/>
        <v>28.64899110170736</v>
      </c>
      <c r="CW39" s="20">
        <f t="shared" si="13"/>
        <v>236.44664825214033</v>
      </c>
      <c r="CX39" s="59">
        <f t="shared" si="14"/>
        <v>529.77998158547371</v>
      </c>
      <c r="CY39" s="59">
        <f ca="1">AVERAGE(OFFSET($CX$3,0,0,'Données projet'!$E$13+1,1))-AVERAGE(OFFSET($H$3,0,0,'Données projet'!$E$13+1,1))</f>
        <v>179.32848817523677</v>
      </c>
      <c r="CZ39" s="59">
        <f t="shared" si="42"/>
        <v>131.3292389103035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11.160169676375231</v>
      </c>
      <c r="DH39" s="21">
        <f>EXP(-LN(2)/2)*DH38+(1-EXP(-LN(2)/2))/(LN(2)/2)*DB39*DE39*VLOOKUP('Données projet'!$B$13,Paramètres!$A$1:$I$89,3,0)*0.475*44/12</f>
        <v>0.65785867215567895</v>
      </c>
      <c r="DI39" s="22">
        <f t="shared" si="15"/>
        <v>11.818028348530911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9.8108974358974379</v>
      </c>
      <c r="DO39" s="12">
        <f>IF('Données projet'!$A$166&gt;35,DO38+DN39-DW38,IF(A39&lt;'Données projet'!$A$166,$DL$205^A39,IF(A39='Données projet'!$A$166,'Données projet'!$B$166,DO38+DN39-DW38)))</f>
        <v>129.7948717948718</v>
      </c>
      <c r="DP39" s="17">
        <f>DO39*VLOOKUP('Données projet'!$B$14,Paramètres!$A$1:$I$89,3,0)*VLOOKUP('Données projet'!$B$14,Paramètres!$A$1:$I$89,5,0)</f>
        <v>125.53760000000001</v>
      </c>
      <c r="DQ39" s="13">
        <f t="shared" si="43"/>
        <v>32.96314293700641</v>
      </c>
      <c r="DR39" s="20">
        <f t="shared" si="16"/>
        <v>276.05546061528617</v>
      </c>
      <c r="DS39" s="59">
        <f t="shared" si="17"/>
        <v>569.38879394861942</v>
      </c>
      <c r="DT39" s="59">
        <f ca="1">AVERAGE(OFFSET($DS$3,0,0,'Données projet'!$E$14+1,1))-AVERAGE(OFFSET($H$3,0,0,'Données projet'!$E$14+1,1))</f>
        <v>340.4659523898373</v>
      </c>
      <c r="DU39" s="59">
        <f t="shared" si="44"/>
        <v>170.54530785680572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5.4791666666666652</v>
      </c>
      <c r="EJ39" s="12">
        <f>IF('Données projet'!$A$192&gt;35,EJ38+EI39-ER38,IF(A39&lt;'Données projet'!$A$192,$EG$205^A39,IF(A39='Données projet'!$A$192,'Données projet'!$B$192,EJ38+EI39-ER38)))</f>
        <v>108.22115384615388</v>
      </c>
      <c r="EK39" s="17">
        <f>EJ39*VLOOKUP('Données projet'!$B$15,Paramètres!$A$1:$I$89,3,0)*VLOOKUP('Données projet'!$B$15,Paramètres!$A$1:$I$89,5,0)</f>
        <v>104.67150000000004</v>
      </c>
      <c r="EL39" s="13">
        <f t="shared" si="45"/>
        <v>28.071943520402939</v>
      </c>
      <c r="EM39" s="20">
        <f t="shared" si="19"/>
        <v>231.19483079803521</v>
      </c>
      <c r="EN39" s="59">
        <f t="shared" si="20"/>
        <v>524.5281641313685</v>
      </c>
      <c r="EO39" s="59">
        <f ca="1">AVERAGE(OFFSET($EN$3,0,0,'Données projet'!$E$15+1,1))-AVERAGE(OFFSET($H$3,0,0,'Données projet'!$E$15+1,1))</f>
        <v>262.20955982183017</v>
      </c>
      <c r="EP39" s="59">
        <f t="shared" si="46"/>
        <v>101.35842063036193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10.199999999999999</v>
      </c>
      <c r="FE39" s="12">
        <f>IF('Données projet'!$A$218&gt;35,FE38+FD39-FM38,IF(A39&lt;'Données projet'!$A$218,$FB$205^A39,IF(A39='Données projet'!$A$218,'Données projet'!$B$218,FE38+FD39-FM38)))</f>
        <v>179.1999999999999</v>
      </c>
      <c r="FF39" s="17">
        <f>FE39*VLOOKUP('Données projet'!$B$16,Paramètres!$A$1:$I$89,3,0)*VLOOKUP('Données projet'!$B$16,Paramètres!$A$1:$I$89,5,0)</f>
        <v>142.57151999999994</v>
      </c>
      <c r="FG39" s="13">
        <f t="shared" si="47"/>
        <v>36.88547912245555</v>
      </c>
      <c r="FH39" s="20">
        <f t="shared" si="22"/>
        <v>312.55427347160997</v>
      </c>
      <c r="FI39" s="59">
        <f t="shared" si="23"/>
        <v>605.88760680494329</v>
      </c>
      <c r="FJ39" s="59">
        <f ca="1">AVERAGE(OFFSET($FI$3,0,0,'Données projet'!$E$16+1,1))-AVERAGE(OFFSET($H$3,0,0,'Données projet'!$E$16+1,1))</f>
        <v>199.58763537752952</v>
      </c>
      <c r="FK39" s="59">
        <f t="shared" si="48"/>
        <v>242.62852778451929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8.7070621226086278</v>
      </c>
      <c r="FS39" s="21">
        <f>EXP(-LN(2)/2)*FS38+(1-EXP(-LN(2)/2))/(LN(2)/2)*FM39*FP39*VLOOKUP('Données projet'!$B$16,Paramètres!$A$1:$I$89,3,0)*0.475*44/12</f>
        <v>1.3451947991525262</v>
      </c>
      <c r="FT39" s="22">
        <f t="shared" si="24"/>
        <v>10.052256921761154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10.199999999999999</v>
      </c>
      <c r="FZ39" s="12">
        <f>IF('Données projet'!$A$244&gt;35,FZ38+FY39-GH38,IF(A39&lt;'Données projet'!$A$244,$FW$205^A39,IF(A39='Données projet'!$A$244,'Données projet'!$B$244,FZ38+FY39-GH38)))</f>
        <v>179.1999999999999</v>
      </c>
      <c r="GA39" s="17">
        <f>FZ39*VLOOKUP('Données projet'!$B$17,Paramètres!$A$1:$I$89,3,0)*VLOOKUP('Données projet'!$B$17,Paramètres!$A$1:$I$89,5,0)</f>
        <v>131.38943999999992</v>
      </c>
      <c r="GB39" s="13">
        <f t="shared" si="49"/>
        <v>34.317219199328726</v>
      </c>
      <c r="GC39" s="20">
        <f t="shared" si="25"/>
        <v>288.60576477216404</v>
      </c>
      <c r="GD39" s="59">
        <f t="shared" si="26"/>
        <v>581.93909810549735</v>
      </c>
      <c r="GE39" s="59">
        <f ca="1">AVERAGE(OFFSET($GD$3,0,0,'Données projet'!$E$17+1,1))-AVERAGE(OFFSET($H$3,0,0,'Données projet'!$E$17+1,1))</f>
        <v>178.12968684094687</v>
      </c>
      <c r="GF39" s="59">
        <f t="shared" si="50"/>
        <v>219.36004077210373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6.5101637254132587</v>
      </c>
      <c r="GN39" s="21">
        <f>EXP(-LN(2)/2)*GN38+(1-EXP(-LN(2)/2))/(LN(2)/2)*GH39*GK39*VLOOKUP('Données projet'!$B$17,Paramètres!$A$1:$I$89,3,0)*0.475*44/12</f>
        <v>1.2396893247091909</v>
      </c>
      <c r="GO39" s="21">
        <f t="shared" si="27"/>
        <v>7.7498530501224501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10.199999999999999</v>
      </c>
      <c r="GU39" s="12">
        <f>IF('Données projet'!$A$270&gt;35,GU38+GT39-HC38,IF(A39&lt;'Données projet'!$A$270,$GR$205^A39,IF(A39='Données projet'!$A$270,'Données projet'!$B$270,GU38+GT39-HC38)))</f>
        <v>179.1999999999999</v>
      </c>
      <c r="GV39" s="17">
        <f>GU39*VLOOKUP('Données projet'!$B$18,Paramètres!$A$1:$I$89,3,0)*VLOOKUP('Données projet'!$B$18,Paramètres!$A$1:$I$89,5,0)</f>
        <v>142.57151999999994</v>
      </c>
      <c r="GW39" s="13">
        <f t="shared" si="51"/>
        <v>36.88547912245555</v>
      </c>
      <c r="GX39" s="20">
        <f t="shared" si="28"/>
        <v>312.55427347160997</v>
      </c>
      <c r="GY39" s="59">
        <f t="shared" si="29"/>
        <v>605.88760680494329</v>
      </c>
      <c r="GZ39" s="59">
        <f ca="1">AVERAGE(OFFSET($GY$3,0,0,'Données projet'!$E$18+1,1))-AVERAGE(OFFSET($H$3,0,0,'Données projet'!$E$18+1,1))</f>
        <v>199.58763537752952</v>
      </c>
      <c r="HA39" s="59">
        <f t="shared" si="52"/>
        <v>242.62852778451929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8.7070621226086278</v>
      </c>
      <c r="HI39" s="21">
        <f>EXP(-LN(2)/2)*HI38+(1-EXP(-LN(2)/2))/(LN(2)/2)*HC39*HF39*VLOOKUP('Données projet'!$B$18,Paramètres!$A$1:$I$89,3,0)*0.475*44/12</f>
        <v>1.3451947991525262</v>
      </c>
      <c r="HJ39" s="22">
        <f t="shared" si="30"/>
        <v>10.052256921761154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9.8108974358974379</v>
      </c>
      <c r="N40" s="13">
        <f>IF('Données projet'!$A$36&gt;35,N39+M40-V39,IF(A40&lt;'Données projet'!$A$36,$K$205^A40,IF(A40='Données projet'!$A$36,'Données projet'!$B$36,N39+M40-V39)))</f>
        <v>139.60576923076923</v>
      </c>
      <c r="O40" s="13">
        <f>N40*VLOOKUP('Données projet'!$B$9,Paramètres!$A$1:$I$89,3,0)*VLOOKUP('Données projet'!$B$9,Paramètres!$A$1:$I$89,5,0)</f>
        <v>126.31529999999998</v>
      </c>
      <c r="P40" s="13">
        <f t="shared" si="33"/>
        <v>33.143513784775976</v>
      </c>
      <c r="Q40" s="20">
        <f t="shared" si="53"/>
        <v>277.72410067515142</v>
      </c>
      <c r="R40" s="59">
        <f t="shared" si="0"/>
        <v>571.05743400848473</v>
      </c>
      <c r="S40" s="59">
        <f ca="1">AVERAGE(OFFSET($R$3,0,0,'Données projet'!$E$9+1,1))-AVERAGE(OFFSET($H$3,0,0,'Données projet'!$E$9+1,1))</f>
        <v>309.07357540707869</v>
      </c>
      <c r="T40" s="59">
        <f t="shared" si="34"/>
        <v>155.9593924683299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5.4791666666666652</v>
      </c>
      <c r="AI40" s="13">
        <f>IF('Données projet'!$A$62&gt;35,AI39+AH40-AQ39,IF(A40&lt;'Données projet'!$A$62,$AF$205^A40,IF(A40='Données projet'!$A$62,'Données projet'!$B$62,AI39+AH40-AQ39)))</f>
        <v>113.70032051282055</v>
      </c>
      <c r="AJ40" s="13">
        <f>AI40*VLOOKUP('Données projet'!$B$10,Paramètres!$A$1:$I$89,3,0)*VLOOKUP('Données projet'!$B$10,Paramètres!$A$1:$I$89,5,0)</f>
        <v>102.87605000000002</v>
      </c>
      <c r="AK40" s="13">
        <f t="shared" si="35"/>
        <v>27.646041997606424</v>
      </c>
      <c r="AL40" s="20">
        <f t="shared" si="4"/>
        <v>227.32597689583122</v>
      </c>
      <c r="AM40" s="59">
        <f t="shared" si="5"/>
        <v>520.65931022916448</v>
      </c>
      <c r="AN40" s="59">
        <f ca="1">AVERAGE(OFFSET($AM$3,0,0,'Données projet'!$E$10+1,1))-AVERAGE(OFFSET($H$3,0,0,'Données projet'!$E$10+1,1))</f>
        <v>234.30804102916278</v>
      </c>
      <c r="AO40" s="59">
        <f t="shared" si="36"/>
        <v>91.137993288782411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16.131410256410259</v>
      </c>
      <c r="BD40" s="12">
        <f>IF('Données projet'!$A$88&gt;35,BD39+BC40-BL39,IF(A40&lt;'Données projet'!$A$88,$BA$205^A40,IF(A40='Données projet'!$A$88,'Données projet'!$B$88,BD39+BC40-BL39)))</f>
        <v>329.71217948717953</v>
      </c>
      <c r="BE40" s="13">
        <f>BD40*VLOOKUP('Données projet'!$B$11,Paramètres!$A$1:$I$89,3,0)*VLOOKUP('Données projet'!$B$11,Paramètres!$A$1:$I$89,5,0)</f>
        <v>154.30530000000002</v>
      </c>
      <c r="BF40" s="13">
        <f t="shared" si="37"/>
        <v>39.555363325024224</v>
      </c>
      <c r="BG40" s="20">
        <f t="shared" si="7"/>
        <v>337.64065529108387</v>
      </c>
      <c r="BH40" s="59">
        <f t="shared" si="8"/>
        <v>630.97398862441719</v>
      </c>
      <c r="BI40" s="59">
        <f ca="1">AVERAGE(OFFSET($BH$3,0,0,'Données projet'!$E$11+1,1))-AVERAGE(OFFSET($H$3,0,0,'Données projet'!$E$11+1,1))</f>
        <v>158.58786357608489</v>
      </c>
      <c r="BJ40" s="59">
        <f t="shared" si="38"/>
        <v>163.20074068819849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11.443589743589742</v>
      </c>
      <c r="BY40" s="12">
        <f>IF('Données projet'!$A$114&gt;35,BY39+BX40-CG39,IF(A40&lt;'Données projet'!$A$114,$BV$205^A40,IF(A40='Données projet'!$A$114,'Données projet'!$B$114,BY39+BX40-CG39)))</f>
        <v>227.35897435897434</v>
      </c>
      <c r="BZ40" s="13">
        <f>BY40*VLOOKUP('Données projet'!$B$12,Paramètres!$A$1:$I$89,3,0)*VLOOKUP('Données projet'!$B$12,Paramètres!$A$1:$I$89,5,0)</f>
        <v>106.40399999999998</v>
      </c>
      <c r="CA40" s="13">
        <f t="shared" si="39"/>
        <v>28.482106989387589</v>
      </c>
      <c r="CB40" s="20">
        <f t="shared" si="10"/>
        <v>234.92663633985001</v>
      </c>
      <c r="CC40" s="59">
        <f t="shared" si="11"/>
        <v>528.25996967318338</v>
      </c>
      <c r="CD40" s="59">
        <f ca="1">AVERAGE(OFFSET($CC$3,0,0,'Données projet'!$E$12+1,1))-AVERAGE(OFFSET($H$3,0,0,'Données projet'!$E$12+1,1))</f>
        <v>123.2823358462245</v>
      </c>
      <c r="CE40" s="59">
        <f t="shared" si="40"/>
        <v>92.75115399786057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12.74038461538462</v>
      </c>
      <c r="CT40" s="12">
        <f>IF('Données projet'!$A$140&gt;35,CT39+CS40-DB39,IF(A40&lt;'Données projet'!$A$140,$CQ$205^A40,IF(A40='Données projet'!$A$140,'Données projet'!$B$140,CT39+CS40-DB39)))</f>
        <v>191.85384615384618</v>
      </c>
      <c r="CU40" s="17">
        <f>CT40*VLOOKUP('Données projet'!$B$13,Paramètres!$A$1:$I$89,3,0)*VLOOKUP('Données projet'!$B$13,Paramètres!$A$1:$I$89,5,0)</f>
        <v>114.72860000000003</v>
      </c>
      <c r="CV40" s="13">
        <f t="shared" si="41"/>
        <v>30.442335906087649</v>
      </c>
      <c r="CW40" s="20">
        <f t="shared" si="13"/>
        <v>252.83938003643598</v>
      </c>
      <c r="CX40" s="59">
        <f t="shared" si="14"/>
        <v>546.17271336976933</v>
      </c>
      <c r="CY40" s="59">
        <f ca="1">AVERAGE(OFFSET($CX$3,0,0,'Données projet'!$E$13+1,1))-AVERAGE(OFFSET($H$3,0,0,'Données projet'!$E$13+1,1))</f>
        <v>179.32848817523677</v>
      </c>
      <c r="CZ40" s="59">
        <f t="shared" si="42"/>
        <v>131.3292389103035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10.854994249686934</v>
      </c>
      <c r="DH40" s="21">
        <f>EXP(-LN(2)/2)*DH39+(1-EXP(-LN(2)/2))/(LN(2)/2)*DB40*DE40*VLOOKUP('Données projet'!$B$13,Paramètres!$A$1:$I$89,3,0)*0.475*44/12</f>
        <v>0.46517632814365839</v>
      </c>
      <c r="DI40" s="22">
        <f t="shared" si="15"/>
        <v>11.320170577830591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9.8108974358974379</v>
      </c>
      <c r="DO40" s="12">
        <f>IF('Données projet'!$A$166&gt;35,DO39+DN40-DW39,IF(A40&lt;'Données projet'!$A$166,$DL$205^A40,IF(A40='Données projet'!$A$166,'Données projet'!$B$166,DO39+DN40-DW39)))</f>
        <v>139.60576923076923</v>
      </c>
      <c r="DP40" s="17">
        <f>DO40*VLOOKUP('Données projet'!$B$14,Paramètres!$A$1:$I$89,3,0)*VLOOKUP('Données projet'!$B$14,Paramètres!$A$1:$I$89,5,0)</f>
        <v>135.02669999999998</v>
      </c>
      <c r="DQ40" s="13">
        <f t="shared" si="43"/>
        <v>35.155305067355044</v>
      </c>
      <c r="DR40" s="20">
        <f t="shared" si="16"/>
        <v>296.40032549230995</v>
      </c>
      <c r="DS40" s="59">
        <f t="shared" si="17"/>
        <v>589.73365882564326</v>
      </c>
      <c r="DT40" s="59">
        <f ca="1">AVERAGE(OFFSET($DS$3,0,0,'Données projet'!$E$14+1,1))-AVERAGE(OFFSET($H$3,0,0,'Données projet'!$E$14+1,1))</f>
        <v>340.4659523898373</v>
      </c>
      <c r="DU40" s="59">
        <f t="shared" si="44"/>
        <v>170.54530785680572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5.4791666666666652</v>
      </c>
      <c r="EJ40" s="12">
        <f>IF('Données projet'!$A$192&gt;35,EJ39+EI40-ER39,IF(A40&lt;'Données projet'!$A$192,$EG$205^A40,IF(A40='Données projet'!$A$192,'Données projet'!$B$192,EJ39+EI40-ER39)))</f>
        <v>113.70032051282055</v>
      </c>
      <c r="EK40" s="17">
        <f>EJ40*VLOOKUP('Données projet'!$B$15,Paramètres!$A$1:$I$89,3,0)*VLOOKUP('Données projet'!$B$15,Paramètres!$A$1:$I$89,5,0)</f>
        <v>109.97095000000004</v>
      </c>
      <c r="EL40" s="13">
        <f t="shared" si="45"/>
        <v>29.324140060767938</v>
      </c>
      <c r="EM40" s="20">
        <f t="shared" si="19"/>
        <v>242.60561518917095</v>
      </c>
      <c r="EN40" s="59">
        <f t="shared" si="20"/>
        <v>535.93894852250423</v>
      </c>
      <c r="EO40" s="59">
        <f ca="1">AVERAGE(OFFSET($EN$3,0,0,'Données projet'!$E$15+1,1))-AVERAGE(OFFSET($H$3,0,0,'Données projet'!$E$15+1,1))</f>
        <v>262.20955982183017</v>
      </c>
      <c r="EP40" s="59">
        <f t="shared" si="46"/>
        <v>101.35842063036193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10.199999999999999</v>
      </c>
      <c r="FE40" s="12">
        <f>IF('Données projet'!$A$218&gt;35,FE39+FD40-FM39,IF(A40&lt;'Données projet'!$A$218,$FB$205^A40,IF(A40='Données projet'!$A$218,'Données projet'!$B$218,FE39+FD40-FM39)))</f>
        <v>189.39999999999989</v>
      </c>
      <c r="FF40" s="17">
        <f>FE40*VLOOKUP('Données projet'!$B$16,Paramètres!$A$1:$I$89,3,0)*VLOOKUP('Données projet'!$B$16,Paramètres!$A$1:$I$89,5,0)</f>
        <v>150.68663999999993</v>
      </c>
      <c r="FG40" s="13">
        <f t="shared" si="47"/>
        <v>38.734585523437175</v>
      </c>
      <c r="FH40" s="20">
        <f t="shared" si="22"/>
        <v>329.90863445331962</v>
      </c>
      <c r="FI40" s="59">
        <f t="shared" si="23"/>
        <v>623.24196778665294</v>
      </c>
      <c r="FJ40" s="59">
        <f ca="1">AVERAGE(OFFSET($FI$3,0,0,'Données projet'!$E$16+1,1))-AVERAGE(OFFSET($H$3,0,0,'Données projet'!$E$16+1,1))</f>
        <v>199.58763537752952</v>
      </c>
      <c r="FK40" s="59">
        <f t="shared" si="48"/>
        <v>242.62852778451929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8.4689670509813979</v>
      </c>
      <c r="FS40" s="21">
        <f>EXP(-LN(2)/2)*FS39+(1-EXP(-LN(2)/2))/(LN(2)/2)*FM40*FP40*VLOOKUP('Données projet'!$B$16,Paramètres!$A$1:$I$89,3,0)*0.475*44/12</f>
        <v>0.95119636449762712</v>
      </c>
      <c r="FT40" s="22">
        <f t="shared" si="24"/>
        <v>9.4201634154790241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10.199999999999999</v>
      </c>
      <c r="FZ40" s="12">
        <f>IF('Données projet'!$A$244&gt;35,FZ39+FY40-GH39,IF(A40&lt;'Données projet'!$A$244,$FW$205^A40,IF(A40='Données projet'!$A$244,'Données projet'!$B$244,FZ39+FY40-GH39)))</f>
        <v>189.39999999999989</v>
      </c>
      <c r="GA40" s="17">
        <f>FZ40*VLOOKUP('Données projet'!$B$17,Paramètres!$A$1:$I$89,3,0)*VLOOKUP('Données projet'!$B$17,Paramètres!$A$1:$I$89,5,0)</f>
        <v>138.86807999999991</v>
      </c>
      <c r="GB40" s="13">
        <f t="shared" si="49"/>
        <v>36.037576130973861</v>
      </c>
      <c r="GC40" s="20">
        <f t="shared" si="25"/>
        <v>304.62735109477933</v>
      </c>
      <c r="GD40" s="59">
        <f t="shared" si="26"/>
        <v>597.9606844281127</v>
      </c>
      <c r="GE40" s="59">
        <f ca="1">AVERAGE(OFFSET($GD$3,0,0,'Données projet'!$E$17+1,1))-AVERAGE(OFFSET($H$3,0,0,'Données projet'!$E$17+1,1))</f>
        <v>178.12968684094687</v>
      </c>
      <c r="GF40" s="59">
        <f t="shared" si="50"/>
        <v>219.36004077210373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6.3321429559872024</v>
      </c>
      <c r="GN40" s="21">
        <f>EXP(-LN(2)/2)*GN39+(1-EXP(-LN(2)/2))/(LN(2)/2)*GH40*GK40*VLOOKUP('Données projet'!$B$17,Paramètres!$A$1:$I$89,3,0)*0.475*44/12</f>
        <v>0.87659272806644073</v>
      </c>
      <c r="GO40" s="21">
        <f t="shared" si="27"/>
        <v>7.208735684053643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10.199999999999999</v>
      </c>
      <c r="GU40" s="12">
        <f>IF('Données projet'!$A$270&gt;35,GU39+GT40-HC39,IF(A40&lt;'Données projet'!$A$270,$GR$205^A40,IF(A40='Données projet'!$A$270,'Données projet'!$B$270,GU39+GT40-HC39)))</f>
        <v>189.39999999999989</v>
      </c>
      <c r="GV40" s="17">
        <f>GU40*VLOOKUP('Données projet'!$B$18,Paramètres!$A$1:$I$89,3,0)*VLOOKUP('Données projet'!$B$18,Paramètres!$A$1:$I$89,5,0)</f>
        <v>150.68663999999993</v>
      </c>
      <c r="GW40" s="13">
        <f t="shared" si="51"/>
        <v>38.734585523437175</v>
      </c>
      <c r="GX40" s="20">
        <f t="shared" si="28"/>
        <v>329.90863445331962</v>
      </c>
      <c r="GY40" s="59">
        <f t="shared" si="29"/>
        <v>623.24196778665294</v>
      </c>
      <c r="GZ40" s="59">
        <f ca="1">AVERAGE(OFFSET($GY$3,0,0,'Données projet'!$E$18+1,1))-AVERAGE(OFFSET($H$3,0,0,'Données projet'!$E$18+1,1))</f>
        <v>199.58763537752952</v>
      </c>
      <c r="HA40" s="59">
        <f t="shared" si="52"/>
        <v>242.62852778451929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8.4689670509813979</v>
      </c>
      <c r="HI40" s="21">
        <f>EXP(-LN(2)/2)*HI39+(1-EXP(-LN(2)/2))/(LN(2)/2)*HC40*HF40*VLOOKUP('Données projet'!$B$18,Paramètres!$A$1:$I$89,3,0)*0.475*44/12</f>
        <v>0.95119636449762712</v>
      </c>
      <c r="HJ40" s="22">
        <f t="shared" si="30"/>
        <v>9.4201634154790241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9.8108974358974379</v>
      </c>
      <c r="N41" s="13">
        <f>IF('Données projet'!$A$36&gt;35,N40+M41-V40,IF(A41&lt;'Données projet'!$A$36,$K$205^A41,IF(A41='Données projet'!$A$36,'Données projet'!$B$36,N40+M41-V40)))</f>
        <v>149.41666666666666</v>
      </c>
      <c r="O41" s="13">
        <f>N41*VLOOKUP('Données projet'!$B$9,Paramètres!$A$1:$I$89,3,0)*VLOOKUP('Données projet'!$B$9,Paramètres!$A$1:$I$89,5,0)</f>
        <v>135.19219999999999</v>
      </c>
      <c r="P41" s="13">
        <f t="shared" si="33"/>
        <v>35.193376038491699</v>
      </c>
      <c r="Q41" s="20">
        <f t="shared" si="53"/>
        <v>296.75487826703966</v>
      </c>
      <c r="R41" s="59">
        <f t="shared" si="0"/>
        <v>590.08821160037292</v>
      </c>
      <c r="S41" s="59">
        <f ca="1">AVERAGE(OFFSET($R$3,0,0,'Données projet'!$E$9+1,1))-AVERAGE(OFFSET($H$3,0,0,'Données projet'!$E$9+1,1))</f>
        <v>309.07357540707869</v>
      </c>
      <c r="T41" s="59">
        <f t="shared" si="34"/>
        <v>155.9593924683299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5.4791666666666652</v>
      </c>
      <c r="AI41" s="13">
        <f>IF('Données projet'!$A$62&gt;35,AI40+AH41-AQ40,IF(A41&lt;'Données projet'!$A$62,$AF$205^A41,IF(A41='Données projet'!$A$62,'Données projet'!$B$62,AI40+AH41-AQ40)))</f>
        <v>119.17948717948723</v>
      </c>
      <c r="AJ41" s="13">
        <f>AI41*VLOOKUP('Données projet'!$B$10,Paramètres!$A$1:$I$89,3,0)*VLOOKUP('Données projet'!$B$10,Paramètres!$A$1:$I$89,5,0)</f>
        <v>107.83360000000003</v>
      </c>
      <c r="AK41" s="13">
        <f t="shared" si="35"/>
        <v>28.819974446397296</v>
      </c>
      <c r="AL41" s="20">
        <f t="shared" si="4"/>
        <v>238.00497549414197</v>
      </c>
      <c r="AM41" s="59">
        <f t="shared" si="5"/>
        <v>531.33830882747532</v>
      </c>
      <c r="AN41" s="59">
        <f ca="1">AVERAGE(OFFSET($AM$3,0,0,'Données projet'!$E$10+1,1))-AVERAGE(OFFSET($H$3,0,0,'Données projet'!$E$10+1,1))</f>
        <v>234.30804102916278</v>
      </c>
      <c r="AO41" s="59">
        <f t="shared" si="36"/>
        <v>91.137993288782411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16.131410256410259</v>
      </c>
      <c r="BD41" s="12">
        <f>IF('Données projet'!$A$88&gt;35,BD40+BC41-BL40,IF(A41&lt;'Données projet'!$A$88,$BA$205^A41,IF(A41='Données projet'!$A$88,'Données projet'!$B$88,BD40+BC41-BL40)))</f>
        <v>345.8435897435898</v>
      </c>
      <c r="BE41" s="13">
        <f>BD41*VLOOKUP('Données projet'!$B$11,Paramètres!$A$1:$I$89,3,0)*VLOOKUP('Données projet'!$B$11,Paramètres!$A$1:$I$89,5,0)</f>
        <v>161.85480000000001</v>
      </c>
      <c r="BF41" s="13">
        <f t="shared" si="37"/>
        <v>41.260589676862445</v>
      </c>
      <c r="BG41" s="20">
        <f t="shared" si="7"/>
        <v>353.75930368720213</v>
      </c>
      <c r="BH41" s="59">
        <f t="shared" si="8"/>
        <v>647.09263702053545</v>
      </c>
      <c r="BI41" s="59">
        <f ca="1">AVERAGE(OFFSET($BH$3,0,0,'Données projet'!$E$11+1,1))-AVERAGE(OFFSET($H$3,0,0,'Données projet'!$E$11+1,1))</f>
        <v>158.58786357608489</v>
      </c>
      <c r="BJ41" s="59">
        <f t="shared" si="38"/>
        <v>163.20074068819849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11.443589743589742</v>
      </c>
      <c r="BY41" s="12">
        <f>IF('Données projet'!$A$114&gt;35,BY40+BX41-CG40,IF(A41&lt;'Données projet'!$A$114,$BV$205^A41,IF(A41='Données projet'!$A$114,'Données projet'!$B$114,BY40+BX41-CG40)))</f>
        <v>238.80256410256408</v>
      </c>
      <c r="BZ41" s="13">
        <f>BY41*VLOOKUP('Données projet'!$B$12,Paramètres!$A$1:$I$89,3,0)*VLOOKUP('Données projet'!$B$12,Paramètres!$A$1:$I$89,5,0)</f>
        <v>111.75959999999998</v>
      </c>
      <c r="CA41" s="13">
        <f t="shared" si="39"/>
        <v>29.745176370290782</v>
      </c>
      <c r="CB41" s="20">
        <f t="shared" si="10"/>
        <v>246.45415217825635</v>
      </c>
      <c r="CC41" s="59">
        <f t="shared" si="11"/>
        <v>539.78748551158969</v>
      </c>
      <c r="CD41" s="59">
        <f ca="1">AVERAGE(OFFSET($CC$3,0,0,'Données projet'!$E$12+1,1))-AVERAGE(OFFSET($H$3,0,0,'Données projet'!$E$12+1,1))</f>
        <v>123.2823358462245</v>
      </c>
      <c r="CE41" s="59">
        <f t="shared" si="40"/>
        <v>92.75115399786057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12.74038461538462</v>
      </c>
      <c r="CT41" s="12">
        <f>IF('Données projet'!$A$140&gt;35,CT40+CS41-DB40,IF(A41&lt;'Données projet'!$A$140,$CQ$205^A41,IF(A41='Données projet'!$A$140,'Données projet'!$B$140,CT40+CS41-DB40)))</f>
        <v>204.59423076923079</v>
      </c>
      <c r="CU41" s="17">
        <f>CT41*VLOOKUP('Données projet'!$B$13,Paramètres!$A$1:$I$89,3,0)*VLOOKUP('Données projet'!$B$13,Paramètres!$A$1:$I$89,5,0)</f>
        <v>122.34735000000002</v>
      </c>
      <c r="CV41" s="13">
        <f t="shared" si="41"/>
        <v>32.221861336884544</v>
      </c>
      <c r="CW41" s="20">
        <f t="shared" si="13"/>
        <v>269.20804307840729</v>
      </c>
      <c r="CX41" s="59">
        <f t="shared" si="14"/>
        <v>562.54137641174066</v>
      </c>
      <c r="CY41" s="59">
        <f ca="1">AVERAGE(OFFSET($CX$3,0,0,'Données projet'!$E$13+1,1))-AVERAGE(OFFSET($H$3,0,0,'Données projet'!$E$13+1,1))</f>
        <v>179.32848817523677</v>
      </c>
      <c r="CZ41" s="59">
        <f t="shared" si="42"/>
        <v>131.3292389103035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10.558163861089907</v>
      </c>
      <c r="DH41" s="21">
        <f>EXP(-LN(2)/2)*DH40+(1-EXP(-LN(2)/2))/(LN(2)/2)*DB41*DE41*VLOOKUP('Données projet'!$B$13,Paramètres!$A$1:$I$89,3,0)*0.475*44/12</f>
        <v>0.32892933607783953</v>
      </c>
      <c r="DI41" s="22">
        <f t="shared" si="15"/>
        <v>10.887093197167747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9.8108974358974379</v>
      </c>
      <c r="DO41" s="12">
        <f>IF('Données projet'!$A$166&gt;35,DO40+DN41-DW40,IF(A41&lt;'Données projet'!$A$166,$DL$205^A41,IF(A41='Données projet'!$A$166,'Données projet'!$B$166,DO40+DN41-DW40)))</f>
        <v>149.41666666666666</v>
      </c>
      <c r="DP41" s="17">
        <f>DO41*VLOOKUP('Données projet'!$B$14,Paramètres!$A$1:$I$89,3,0)*VLOOKUP('Données projet'!$B$14,Paramètres!$A$1:$I$89,5,0)</f>
        <v>144.51579999999998</v>
      </c>
      <c r="DQ41" s="13">
        <f t="shared" si="43"/>
        <v>37.329592722652883</v>
      </c>
      <c r="DR41" s="20">
        <f t="shared" si="16"/>
        <v>316.71405899195372</v>
      </c>
      <c r="DS41" s="59">
        <f t="shared" si="17"/>
        <v>610.04739232528709</v>
      </c>
      <c r="DT41" s="59">
        <f ca="1">AVERAGE(OFFSET($DS$3,0,0,'Données projet'!$E$14+1,1))-AVERAGE(OFFSET($H$3,0,0,'Données projet'!$E$14+1,1))</f>
        <v>340.4659523898373</v>
      </c>
      <c r="DU41" s="59">
        <f t="shared" si="44"/>
        <v>170.54530785680572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5.4791666666666652</v>
      </c>
      <c r="EJ41" s="12">
        <f>IF('Données projet'!$A$192&gt;35,EJ40+EI41-ER40,IF(A41&lt;'Données projet'!$A$192,$EG$205^A41,IF(A41='Données projet'!$A$192,'Données projet'!$B$192,EJ40+EI41-ER40)))</f>
        <v>119.17948717948723</v>
      </c>
      <c r="EK41" s="17">
        <f>EJ41*VLOOKUP('Données projet'!$B$15,Paramètres!$A$1:$I$89,3,0)*VLOOKUP('Données projet'!$B$15,Paramètres!$A$1:$I$89,5,0)</f>
        <v>115.27040000000004</v>
      </c>
      <c r="EL41" s="13">
        <f t="shared" si="45"/>
        <v>30.569329500659681</v>
      </c>
      <c r="EM41" s="20">
        <f t="shared" si="19"/>
        <v>254.00419554698237</v>
      </c>
      <c r="EN41" s="59">
        <f t="shared" si="20"/>
        <v>547.33752888031563</v>
      </c>
      <c r="EO41" s="59">
        <f ca="1">AVERAGE(OFFSET($EN$3,0,0,'Données projet'!$E$15+1,1))-AVERAGE(OFFSET($H$3,0,0,'Données projet'!$E$15+1,1))</f>
        <v>262.20955982183017</v>
      </c>
      <c r="EP41" s="59">
        <f t="shared" si="46"/>
        <v>101.35842063036193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10.199999999999999</v>
      </c>
      <c r="FE41" s="12">
        <f>IF('Données projet'!$A$218&gt;35,FE40+FD41-FM40,IF(A41&lt;'Données projet'!$A$218,$FB$205^A41,IF(A41='Données projet'!$A$218,'Données projet'!$B$218,FE40+FD41-FM40)))</f>
        <v>199.59999999999988</v>
      </c>
      <c r="FF41" s="17">
        <f>FE41*VLOOKUP('Données projet'!$B$16,Paramètres!$A$1:$I$89,3,0)*VLOOKUP('Données projet'!$B$16,Paramètres!$A$1:$I$89,5,0)</f>
        <v>158.80175999999992</v>
      </c>
      <c r="FG41" s="13">
        <f t="shared" si="47"/>
        <v>40.572130902159856</v>
      </c>
      <c r="FH41" s="20">
        <f t="shared" si="22"/>
        <v>347.24285998792817</v>
      </c>
      <c r="FI41" s="59">
        <f t="shared" si="23"/>
        <v>640.57619332126148</v>
      </c>
      <c r="FJ41" s="59">
        <f ca="1">AVERAGE(OFFSET($FI$3,0,0,'Données projet'!$E$16+1,1))-AVERAGE(OFFSET($H$3,0,0,'Données projet'!$E$16+1,1))</f>
        <v>199.58763537752952</v>
      </c>
      <c r="FK41" s="59">
        <f t="shared" si="48"/>
        <v>242.62852778451929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8.2373827016086896</v>
      </c>
      <c r="FS41" s="21">
        <f>EXP(-LN(2)/2)*FS40+(1-EXP(-LN(2)/2))/(LN(2)/2)*FM41*FP41*VLOOKUP('Données projet'!$B$16,Paramètres!$A$1:$I$89,3,0)*0.475*44/12</f>
        <v>0.67259739957626319</v>
      </c>
      <c r="FT41" s="22">
        <f t="shared" si="24"/>
        <v>8.9099801011849529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10.199999999999999</v>
      </c>
      <c r="FZ41" s="12">
        <f>IF('Données projet'!$A$244&gt;35,FZ40+FY41-GH40,IF(A41&lt;'Données projet'!$A$244,$FW$205^A41,IF(A41='Données projet'!$A$244,'Données projet'!$B$244,FZ40+FY41-GH40)))</f>
        <v>199.59999999999988</v>
      </c>
      <c r="GA41" s="17">
        <f>FZ41*VLOOKUP('Données projet'!$B$17,Paramètres!$A$1:$I$89,3,0)*VLOOKUP('Données projet'!$B$17,Paramètres!$A$1:$I$89,5,0)</f>
        <v>146.34671999999992</v>
      </c>
      <c r="GB41" s="13">
        <f t="shared" si="49"/>
        <v>37.747177010522925</v>
      </c>
      <c r="GC41" s="20">
        <f t="shared" si="25"/>
        <v>320.63020395999393</v>
      </c>
      <c r="GD41" s="59">
        <f t="shared" si="26"/>
        <v>613.96353729332725</v>
      </c>
      <c r="GE41" s="59">
        <f ca="1">AVERAGE(OFFSET($GD$3,0,0,'Données projet'!$E$17+1,1))-AVERAGE(OFFSET($H$3,0,0,'Données projet'!$E$17+1,1))</f>
        <v>178.12968684094687</v>
      </c>
      <c r="GF41" s="59">
        <f t="shared" si="50"/>
        <v>219.36004077210373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6.158990173862807</v>
      </c>
      <c r="GN41" s="21">
        <f>EXP(-LN(2)/2)*GN40+(1-EXP(-LN(2)/2))/(LN(2)/2)*GH41*GK41*VLOOKUP('Données projet'!$B$17,Paramètres!$A$1:$I$89,3,0)*0.475*44/12</f>
        <v>0.61984466235459545</v>
      </c>
      <c r="GO41" s="21">
        <f t="shared" si="27"/>
        <v>6.7788348362174027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10.199999999999999</v>
      </c>
      <c r="GU41" s="12">
        <f>IF('Données projet'!$A$270&gt;35,GU40+GT41-HC40,IF(A41&lt;'Données projet'!$A$270,$GR$205^A41,IF(A41='Données projet'!$A$270,'Données projet'!$B$270,GU40+GT41-HC40)))</f>
        <v>199.59999999999988</v>
      </c>
      <c r="GV41" s="17">
        <f>GU41*VLOOKUP('Données projet'!$B$18,Paramètres!$A$1:$I$89,3,0)*VLOOKUP('Données projet'!$B$18,Paramètres!$A$1:$I$89,5,0)</f>
        <v>158.80175999999992</v>
      </c>
      <c r="GW41" s="13">
        <f t="shared" si="51"/>
        <v>40.572130902159856</v>
      </c>
      <c r="GX41" s="20">
        <f t="shared" si="28"/>
        <v>347.24285998792817</v>
      </c>
      <c r="GY41" s="59">
        <f t="shared" si="29"/>
        <v>640.57619332126148</v>
      </c>
      <c r="GZ41" s="59">
        <f ca="1">AVERAGE(OFFSET($GY$3,0,0,'Données projet'!$E$18+1,1))-AVERAGE(OFFSET($H$3,0,0,'Données projet'!$E$18+1,1))</f>
        <v>199.58763537752952</v>
      </c>
      <c r="HA41" s="59">
        <f t="shared" si="52"/>
        <v>242.62852778451929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8.2373827016086896</v>
      </c>
      <c r="HI41" s="21">
        <f>EXP(-LN(2)/2)*HI40+(1-EXP(-LN(2)/2))/(LN(2)/2)*HC41*HF41*VLOOKUP('Données projet'!$B$18,Paramètres!$A$1:$I$89,3,0)*0.475*44/12</f>
        <v>0.67259739957626319</v>
      </c>
      <c r="HJ41" s="22">
        <f t="shared" si="30"/>
        <v>8.9099801011849529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9.8108974358974379</v>
      </c>
      <c r="N42" s="13">
        <f>IF('Données projet'!$A$36&gt;35,N41+M42-V41,IF(A42&lt;'Données projet'!$A$36,$K$205^A42,IF(A42='Données projet'!$A$36,'Données projet'!$B$36,N41+M42-V41)))</f>
        <v>159.22756410256409</v>
      </c>
      <c r="O42" s="13">
        <f>N42*VLOOKUP('Données projet'!$B$9,Paramètres!$A$1:$I$89,3,0)*VLOOKUP('Données projet'!$B$9,Paramètres!$A$1:$I$89,5,0)</f>
        <v>144.06909999999999</v>
      </c>
      <c r="P42" s="13">
        <f t="shared" si="33"/>
        <v>37.227619113359864</v>
      </c>
      <c r="Q42" s="20">
        <f t="shared" si="53"/>
        <v>315.75845245576846</v>
      </c>
      <c r="R42" s="59">
        <f t="shared" si="0"/>
        <v>609.09178578910178</v>
      </c>
      <c r="S42" s="59">
        <f ca="1">AVERAGE(OFFSET($R$3,0,0,'Données projet'!$E$9+1,1))-AVERAGE(OFFSET($H$3,0,0,'Données projet'!$E$9+1,1))</f>
        <v>309.07357540707869</v>
      </c>
      <c r="T42" s="59">
        <f t="shared" si="34"/>
        <v>155.9593924683299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5.4791666666666652</v>
      </c>
      <c r="AI42" s="13">
        <f>IF('Données projet'!$A$62&gt;35,AI41+AH42-AQ41,IF(A42&lt;'Données projet'!$A$62,$AF$205^A42,IF(A42='Données projet'!$A$62,'Données projet'!$B$62,AI41+AH42-AQ41)))</f>
        <v>124.6586538461539</v>
      </c>
      <c r="AJ42" s="13">
        <f>AI42*VLOOKUP('Données projet'!$B$10,Paramètres!$A$1:$I$89,3,0)*VLOOKUP('Données projet'!$B$10,Paramètres!$A$1:$I$89,5,0)</f>
        <v>112.79115000000004</v>
      </c>
      <c r="AK42" s="13">
        <f t="shared" si="35"/>
        <v>29.987639181649424</v>
      </c>
      <c r="AL42" s="20">
        <f t="shared" si="4"/>
        <v>248.67305782470615</v>
      </c>
      <c r="AM42" s="59">
        <f t="shared" si="5"/>
        <v>542.00639115803949</v>
      </c>
      <c r="AN42" s="59">
        <f ca="1">AVERAGE(OFFSET($AM$3,0,0,'Données projet'!$E$10+1,1))-AVERAGE(OFFSET($H$3,0,0,'Données projet'!$E$10+1,1))</f>
        <v>234.30804102916278</v>
      </c>
      <c r="AO42" s="59">
        <f t="shared" si="36"/>
        <v>91.137993288782411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16.131410256410259</v>
      </c>
      <c r="BD42" s="12">
        <f>IF('Données projet'!$A$88&gt;35,BD41+BC42-BL41,IF(A42&lt;'Données projet'!$A$88,$BA$205^A42,IF(A42='Données projet'!$A$88,'Données projet'!$B$88,BD41+BC42-BL41)))</f>
        <v>361.97500000000008</v>
      </c>
      <c r="BE42" s="13">
        <f>BD42*VLOOKUP('Données projet'!$B$11,Paramètres!$A$1:$I$89,3,0)*VLOOKUP('Données projet'!$B$11,Paramètres!$A$1:$I$89,5,0)</f>
        <v>169.40430000000006</v>
      </c>
      <c r="BF42" s="13">
        <f t="shared" si="37"/>
        <v>42.956579357099159</v>
      </c>
      <c r="BG42" s="20">
        <f t="shared" si="7"/>
        <v>369.86186488028119</v>
      </c>
      <c r="BH42" s="59">
        <f t="shared" si="8"/>
        <v>663.1951982136145</v>
      </c>
      <c r="BI42" s="59">
        <f ca="1">AVERAGE(OFFSET($BH$3,0,0,'Données projet'!$E$11+1,1))-AVERAGE(OFFSET($H$3,0,0,'Données projet'!$E$11+1,1))</f>
        <v>158.58786357608489</v>
      </c>
      <c r="BJ42" s="59">
        <f t="shared" si="38"/>
        <v>163.20074068819849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11.443589743589742</v>
      </c>
      <c r="BY42" s="12">
        <f>IF('Données projet'!$A$114&gt;35,BY41+BX42-CG41,IF(A42&lt;'Données projet'!$A$114,$BV$205^A42,IF(A42='Données projet'!$A$114,'Données projet'!$B$114,BY41+BX42-CG41)))</f>
        <v>250.24615384615382</v>
      </c>
      <c r="BZ42" s="13">
        <f>BY42*VLOOKUP('Données projet'!$B$12,Paramètres!$A$1:$I$89,3,0)*VLOOKUP('Données projet'!$B$12,Paramètres!$A$1:$I$89,5,0)</f>
        <v>117.11519999999997</v>
      </c>
      <c r="CA42" s="13">
        <f t="shared" si="39"/>
        <v>31.001217159106822</v>
      </c>
      <c r="CB42" s="20">
        <f t="shared" si="10"/>
        <v>257.96942655211097</v>
      </c>
      <c r="CC42" s="59">
        <f t="shared" si="11"/>
        <v>551.30275988544429</v>
      </c>
      <c r="CD42" s="59">
        <f ca="1">AVERAGE(OFFSET($CC$3,0,0,'Données projet'!$E$12+1,1))-AVERAGE(OFFSET($H$3,0,0,'Données projet'!$E$12+1,1))</f>
        <v>123.2823358462245</v>
      </c>
      <c r="CE42" s="59">
        <f t="shared" si="40"/>
        <v>92.75115399786057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12.74038461538462</v>
      </c>
      <c r="CT42" s="12">
        <f>IF('Données projet'!$A$140&gt;35,CT41+CS42-DB41,IF(A42&lt;'Données projet'!$A$140,$CQ$205^A42,IF(A42='Données projet'!$A$140,'Données projet'!$B$140,CT41+CS42-DB41)))</f>
        <v>217.3346153846154</v>
      </c>
      <c r="CU42" s="17">
        <f>CT42*VLOOKUP('Données projet'!$B$13,Paramètres!$A$1:$I$89,3,0)*VLOOKUP('Données projet'!$B$13,Paramètres!$A$1:$I$89,5,0)</f>
        <v>129.96610000000001</v>
      </c>
      <c r="CV42" s="13">
        <f t="shared" si="41"/>
        <v>33.988525918782614</v>
      </c>
      <c r="CW42" s="20">
        <f t="shared" si="13"/>
        <v>285.55430680854636</v>
      </c>
      <c r="CX42" s="59">
        <f t="shared" si="14"/>
        <v>578.88764014187973</v>
      </c>
      <c r="CY42" s="59">
        <f ca="1">AVERAGE(OFFSET($CX$3,0,0,'Données projet'!$E$13+1,1))-AVERAGE(OFFSET($H$3,0,0,'Données projet'!$E$13+1,1))</f>
        <v>179.32848817523677</v>
      </c>
      <c r="CZ42" s="59">
        <f t="shared" si="42"/>
        <v>131.3292389103035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10.269450315078698</v>
      </c>
      <c r="DH42" s="21">
        <f>EXP(-LN(2)/2)*DH41+(1-EXP(-LN(2)/2))/(LN(2)/2)*DB42*DE42*VLOOKUP('Données projet'!$B$13,Paramètres!$A$1:$I$89,3,0)*0.475*44/12</f>
        <v>0.23258816407182925</v>
      </c>
      <c r="DI42" s="22">
        <f t="shared" si="15"/>
        <v>10.502038479150528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9.8108974358974379</v>
      </c>
      <c r="DO42" s="12">
        <f>IF('Données projet'!$A$166&gt;35,DO41+DN42-DW41,IF(A42&lt;'Données projet'!$A$166,$DL$205^A42,IF(A42='Données projet'!$A$166,'Données projet'!$B$166,DO41+DN42-DW41)))</f>
        <v>159.22756410256409</v>
      </c>
      <c r="DP42" s="17">
        <f>DO42*VLOOKUP('Données projet'!$B$14,Paramètres!$A$1:$I$89,3,0)*VLOOKUP('Données projet'!$B$14,Paramètres!$A$1:$I$89,5,0)</f>
        <v>154.00489999999999</v>
      </c>
      <c r="DQ42" s="13">
        <f t="shared" si="43"/>
        <v>39.487313124374232</v>
      </c>
      <c r="DR42" s="20">
        <f t="shared" si="16"/>
        <v>336.99893785828505</v>
      </c>
      <c r="DS42" s="59">
        <f t="shared" si="17"/>
        <v>630.33227119161836</v>
      </c>
      <c r="DT42" s="59">
        <f ca="1">AVERAGE(OFFSET($DS$3,0,0,'Données projet'!$E$14+1,1))-AVERAGE(OFFSET($H$3,0,0,'Données projet'!$E$14+1,1))</f>
        <v>340.4659523898373</v>
      </c>
      <c r="DU42" s="59">
        <f t="shared" si="44"/>
        <v>170.54530785680572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5.4791666666666652</v>
      </c>
      <c r="EJ42" s="12">
        <f>IF('Données projet'!$A$192&gt;35,EJ41+EI42-ER41,IF(A42&lt;'Données projet'!$A$192,$EG$205^A42,IF(A42='Données projet'!$A$192,'Données projet'!$B$192,EJ41+EI42-ER41)))</f>
        <v>124.6586538461539</v>
      </c>
      <c r="EK42" s="17">
        <f>EJ42*VLOOKUP('Données projet'!$B$15,Paramètres!$A$1:$I$89,3,0)*VLOOKUP('Données projet'!$B$15,Paramètres!$A$1:$I$89,5,0)</f>
        <v>120.56985000000006</v>
      </c>
      <c r="EL42" s="13">
        <f t="shared" si="45"/>
        <v>31.807870780583851</v>
      </c>
      <c r="EM42" s="20">
        <f t="shared" si="19"/>
        <v>265.39119702618359</v>
      </c>
      <c r="EN42" s="59">
        <f t="shared" si="20"/>
        <v>558.72453035951685</v>
      </c>
      <c r="EO42" s="59">
        <f ca="1">AVERAGE(OFFSET($EN$3,0,0,'Données projet'!$E$15+1,1))-AVERAGE(OFFSET($H$3,0,0,'Données projet'!$E$15+1,1))</f>
        <v>262.20955982183017</v>
      </c>
      <c r="EP42" s="59">
        <f t="shared" si="46"/>
        <v>101.35842063036193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10.199999999999999</v>
      </c>
      <c r="FE42" s="12">
        <f>IF('Données projet'!$A$218&gt;35,FE41+FD42-FM41,IF(A42&lt;'Données projet'!$A$218,$FB$205^A42,IF(A42='Données projet'!$A$218,'Données projet'!$B$218,FE41+FD42-FM41)))</f>
        <v>209.79999999999987</v>
      </c>
      <c r="FF42" s="17">
        <f>FE42*VLOOKUP('Données projet'!$B$16,Paramètres!$A$1:$I$89,3,0)*VLOOKUP('Données projet'!$B$16,Paramètres!$A$1:$I$89,5,0)</f>
        <v>166.91687999999991</v>
      </c>
      <c r="FG42" s="13">
        <f t="shared" si="47"/>
        <v>42.398773450063487</v>
      </c>
      <c r="FH42" s="20">
        <f t="shared" si="22"/>
        <v>364.55809642552708</v>
      </c>
      <c r="FI42" s="59">
        <f t="shared" si="23"/>
        <v>657.89142975886034</v>
      </c>
      <c r="FJ42" s="59">
        <f ca="1">AVERAGE(OFFSET($FI$3,0,0,'Données projet'!$E$16+1,1))-AVERAGE(OFFSET($H$3,0,0,'Données projet'!$E$16+1,1))</f>
        <v>199.58763537752952</v>
      </c>
      <c r="FK42" s="59">
        <f t="shared" si="48"/>
        <v>242.62852778451929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8.0121310384480697</v>
      </c>
      <c r="FS42" s="21">
        <f>EXP(-LN(2)/2)*FS41+(1-EXP(-LN(2)/2))/(LN(2)/2)*FM42*FP42*VLOOKUP('Données projet'!$B$16,Paramètres!$A$1:$I$89,3,0)*0.475*44/12</f>
        <v>0.47559818224881362</v>
      </c>
      <c r="FT42" s="22">
        <f t="shared" si="24"/>
        <v>8.4877292206968828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10.199999999999999</v>
      </c>
      <c r="FZ42" s="12">
        <f>IF('Données projet'!$A$244&gt;35,FZ41+FY42-GH41,IF(A42&lt;'Données projet'!$A$244,$FW$205^A42,IF(A42='Données projet'!$A$244,'Données projet'!$B$244,FZ41+FY42-GH41)))</f>
        <v>209.79999999999987</v>
      </c>
      <c r="GA42" s="17">
        <f>FZ42*VLOOKUP('Données projet'!$B$17,Paramètres!$A$1:$I$89,3,0)*VLOOKUP('Données projet'!$B$17,Paramètres!$A$1:$I$89,5,0)</f>
        <v>153.8253599999999</v>
      </c>
      <c r="GB42" s="13">
        <f t="shared" si="49"/>
        <v>39.446634200901897</v>
      </c>
      <c r="GC42" s="20">
        <f t="shared" si="25"/>
        <v>336.61538989990396</v>
      </c>
      <c r="GD42" s="59">
        <f t="shared" si="26"/>
        <v>629.94872323323727</v>
      </c>
      <c r="GE42" s="59">
        <f ca="1">AVERAGE(OFFSET($GD$3,0,0,'Données projet'!$E$17+1,1))-AVERAGE(OFFSET($H$3,0,0,'Données projet'!$E$17+1,1))</f>
        <v>178.12968684094687</v>
      </c>
      <c r="GF42" s="59">
        <f t="shared" si="50"/>
        <v>219.36004077210373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5.9905722636713117</v>
      </c>
      <c r="GN42" s="21">
        <f>EXP(-LN(2)/2)*GN41+(1-EXP(-LN(2)/2))/(LN(2)/2)*GH42*GK42*VLOOKUP('Données projet'!$B$17,Paramètres!$A$1:$I$89,3,0)*0.475*44/12</f>
        <v>0.43829636403322036</v>
      </c>
      <c r="GO42" s="21">
        <f t="shared" si="27"/>
        <v>6.4288686277045324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10.199999999999999</v>
      </c>
      <c r="GU42" s="12">
        <f>IF('Données projet'!$A$270&gt;35,GU41+GT42-HC41,IF(A42&lt;'Données projet'!$A$270,$GR$205^A42,IF(A42='Données projet'!$A$270,'Données projet'!$B$270,GU41+GT42-HC41)))</f>
        <v>209.79999999999987</v>
      </c>
      <c r="GV42" s="17">
        <f>GU42*VLOOKUP('Données projet'!$B$18,Paramètres!$A$1:$I$89,3,0)*VLOOKUP('Données projet'!$B$18,Paramètres!$A$1:$I$89,5,0)</f>
        <v>166.91687999999991</v>
      </c>
      <c r="GW42" s="13">
        <f t="shared" si="51"/>
        <v>42.398773450063487</v>
      </c>
      <c r="GX42" s="20">
        <f t="shared" si="28"/>
        <v>364.55809642552708</v>
      </c>
      <c r="GY42" s="59">
        <f t="shared" si="29"/>
        <v>657.89142975886034</v>
      </c>
      <c r="GZ42" s="59">
        <f ca="1">AVERAGE(OFFSET($GY$3,0,0,'Données projet'!$E$18+1,1))-AVERAGE(OFFSET($H$3,0,0,'Données projet'!$E$18+1,1))</f>
        <v>199.58763537752952</v>
      </c>
      <c r="HA42" s="59">
        <f t="shared" si="52"/>
        <v>242.62852778451929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8.0121310384480697</v>
      </c>
      <c r="HI42" s="21">
        <f>EXP(-LN(2)/2)*HI41+(1-EXP(-LN(2)/2))/(LN(2)/2)*HC42*HF42*VLOOKUP('Données projet'!$B$18,Paramètres!$A$1:$I$89,3,0)*0.475*44/12</f>
        <v>0.47559818224881362</v>
      </c>
      <c r="HJ42" s="22">
        <f t="shared" si="30"/>
        <v>8.4877292206968828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9.8108974358974379</v>
      </c>
      <c r="N43" s="13">
        <f>IF('Données projet'!$A$36&gt;35,N42+M43-V42,IF(A43&lt;'Données projet'!$A$36,$K$205^A43,IF(A43='Données projet'!$A$36,'Données projet'!$B$36,N42+M43-V42)))</f>
        <v>169.03846153846152</v>
      </c>
      <c r="O43" s="13">
        <f>N43*VLOOKUP('Données projet'!$B$9,Paramètres!$A$1:$I$89,3,0)*VLOOKUP('Données projet'!$B$9,Paramètres!$A$1:$I$89,5,0)</f>
        <v>152.94599999999997</v>
      </c>
      <c r="P43" s="13">
        <f t="shared" si="33"/>
        <v>39.247314969652741</v>
      </c>
      <c r="Q43" s="20">
        <f t="shared" si="53"/>
        <v>334.73669023881172</v>
      </c>
      <c r="R43" s="59">
        <f t="shared" si="0"/>
        <v>628.07002357214503</v>
      </c>
      <c r="S43" s="59">
        <f ca="1">AVERAGE(OFFSET($R$3,0,0,'Données projet'!$E$9+1,1))-AVERAGE(OFFSET($H$3,0,0,'Données projet'!$E$9+1,1))</f>
        <v>309.07357540707869</v>
      </c>
      <c r="T43" s="59">
        <f t="shared" si="34"/>
        <v>155.9593924683299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5.4791666666666652</v>
      </c>
      <c r="AI43" s="13">
        <f>IF('Données projet'!$A$62&gt;35,AI42+AH43-AQ42,IF(A43&lt;'Données projet'!$A$62,$AF$205^A43,IF(A43='Données projet'!$A$62,'Données projet'!$B$62,AI42+AH43-AQ42)))</f>
        <v>130.13782051282055</v>
      </c>
      <c r="AJ43" s="13">
        <f>AI43*VLOOKUP('Données projet'!$B$10,Paramètres!$A$1:$I$89,3,0)*VLOOKUP('Données projet'!$B$10,Paramètres!$A$1:$I$89,5,0)</f>
        <v>117.74870000000004</v>
      </c>
      <c r="AK43" s="13">
        <f t="shared" si="35"/>
        <v>31.149343173536209</v>
      </c>
      <c r="AL43" s="20">
        <f t="shared" si="4"/>
        <v>259.33075852724227</v>
      </c>
      <c r="AM43" s="59">
        <f t="shared" si="5"/>
        <v>552.66409186057558</v>
      </c>
      <c r="AN43" s="59">
        <f ca="1">AVERAGE(OFFSET($AM$3,0,0,'Données projet'!$E$10+1,1))-AVERAGE(OFFSET($H$3,0,0,'Données projet'!$E$10+1,1))</f>
        <v>234.30804102916278</v>
      </c>
      <c r="AO43" s="59">
        <f t="shared" si="36"/>
        <v>91.137993288782411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16.131410256410259</v>
      </c>
      <c r="BD43" s="12">
        <f>IF('Données projet'!$A$88&gt;35,BD42+BC43-BL42,IF(A43&lt;'Données projet'!$A$88,$BA$205^A43,IF(A43='Données projet'!$A$88,'Données projet'!$B$88,BD42+BC43-BL42)))</f>
        <v>378.10641025641036</v>
      </c>
      <c r="BE43" s="13">
        <f>BD43*VLOOKUP('Données projet'!$B$11,Paramètres!$A$1:$I$89,3,0)*VLOOKUP('Données projet'!$B$11,Paramètres!$A$1:$I$89,5,0)</f>
        <v>176.95380000000006</v>
      </c>
      <c r="BF43" s="13">
        <f t="shared" si="37"/>
        <v>44.643791032081154</v>
      </c>
      <c r="BG43" s="20">
        <f t="shared" si="7"/>
        <v>385.94913771420806</v>
      </c>
      <c r="BH43" s="59">
        <f t="shared" si="8"/>
        <v>679.28247104754132</v>
      </c>
      <c r="BI43" s="59">
        <f ca="1">AVERAGE(OFFSET($BH$3,0,0,'Données projet'!$E$11+1,1))-AVERAGE(OFFSET($H$3,0,0,'Données projet'!$E$11+1,1))</f>
        <v>158.58786357608489</v>
      </c>
      <c r="BJ43" s="59">
        <f t="shared" si="38"/>
        <v>163.20074068819849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11.443589743589742</v>
      </c>
      <c r="BY43" s="12">
        <f>IF('Données projet'!$A$114&gt;35,BY42+BX43-CG42,IF(A43&lt;'Données projet'!$A$114,$BV$205^A43,IF(A43='Données projet'!$A$114,'Données projet'!$B$114,BY42+BX43-CG42)))</f>
        <v>261.68974358974356</v>
      </c>
      <c r="BZ43" s="13">
        <f>BY43*VLOOKUP('Données projet'!$B$12,Paramètres!$A$1:$I$89,3,0)*VLOOKUP('Données projet'!$B$12,Paramètres!$A$1:$I$89,5,0)</f>
        <v>122.47079999999997</v>
      </c>
      <c r="CA43" s="13">
        <f t="shared" si="39"/>
        <v>32.25058748290914</v>
      </c>
      <c r="CB43" s="20">
        <f t="shared" si="10"/>
        <v>269.47308319939998</v>
      </c>
      <c r="CC43" s="59">
        <f t="shared" si="11"/>
        <v>562.80641653273324</v>
      </c>
      <c r="CD43" s="59">
        <f ca="1">AVERAGE(OFFSET($CC$3,0,0,'Données projet'!$E$12+1,1))-AVERAGE(OFFSET($H$3,0,0,'Données projet'!$E$12+1,1))</f>
        <v>123.2823358462245</v>
      </c>
      <c r="CE43" s="59">
        <f t="shared" si="40"/>
        <v>92.75115399786057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12.74038461538462</v>
      </c>
      <c r="CT43" s="12">
        <f>IF('Données projet'!$A$140&gt;35,CT42+CS43-DB42,IF(A43&lt;'Données projet'!$A$140,$CQ$205^A43,IF(A43='Données projet'!$A$140,'Données projet'!$B$140,CT42+CS43-DB42)))</f>
        <v>230.07500000000002</v>
      </c>
      <c r="CU43" s="17">
        <f>CT43*VLOOKUP('Données projet'!$B$13,Paramètres!$A$1:$I$89,3,0)*VLOOKUP('Données projet'!$B$13,Paramètres!$A$1:$I$89,5,0)</f>
        <v>137.58485000000002</v>
      </c>
      <c r="CV43" s="13">
        <f t="shared" si="41"/>
        <v>35.743169448737028</v>
      </c>
      <c r="CW43" s="20">
        <f t="shared" si="13"/>
        <v>301.87963387321702</v>
      </c>
      <c r="CX43" s="59">
        <f t="shared" si="14"/>
        <v>595.21296720655027</v>
      </c>
      <c r="CY43" s="59">
        <f ca="1">AVERAGE(OFFSET($CX$3,0,0,'Données projet'!$E$13+1,1))-AVERAGE(OFFSET($H$3,0,0,'Données projet'!$E$13+1,1))</f>
        <v>179.32848817523677</v>
      </c>
      <c r="CZ43" s="59">
        <f t="shared" si="42"/>
        <v>131.3292389103035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9.9886316561659498</v>
      </c>
      <c r="DH43" s="21">
        <f>EXP(-LN(2)/2)*DH42+(1-EXP(-LN(2)/2))/(LN(2)/2)*DB43*DE43*VLOOKUP('Données projet'!$B$13,Paramètres!$A$1:$I$89,3,0)*0.475*44/12</f>
        <v>0.16446466803891979</v>
      </c>
      <c r="DI43" s="22">
        <f t="shared" si="15"/>
        <v>10.153096324204869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9.8108974358974379</v>
      </c>
      <c r="DO43" s="12">
        <f>IF('Données projet'!$A$166&gt;35,DO42+DN43-DW42,IF(A43&lt;'Données projet'!$A$166,$DL$205^A43,IF(A43='Données projet'!$A$166,'Données projet'!$B$166,DO42+DN43-DW42)))</f>
        <v>169.03846153846152</v>
      </c>
      <c r="DP43" s="17">
        <f>DO43*VLOOKUP('Données projet'!$B$14,Paramètres!$A$1:$I$89,3,0)*VLOOKUP('Données projet'!$B$14,Paramètres!$A$1:$I$89,5,0)</f>
        <v>163.49399999999997</v>
      </c>
      <c r="DQ43" s="13">
        <f t="shared" si="43"/>
        <v>41.629603300132899</v>
      </c>
      <c r="DR43" s="20">
        <f t="shared" si="16"/>
        <v>357.25694241439805</v>
      </c>
      <c r="DS43" s="59">
        <f t="shared" si="17"/>
        <v>650.59027574773131</v>
      </c>
      <c r="DT43" s="59">
        <f ca="1">AVERAGE(OFFSET($DS$3,0,0,'Données projet'!$E$14+1,1))-AVERAGE(OFFSET($H$3,0,0,'Données projet'!$E$14+1,1))</f>
        <v>340.4659523898373</v>
      </c>
      <c r="DU43" s="59">
        <f t="shared" si="44"/>
        <v>170.54530785680572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5.4791666666666652</v>
      </c>
      <c r="EJ43" s="12">
        <f>IF('Données projet'!$A$192&gt;35,EJ42+EI43-ER42,IF(A43&lt;'Données projet'!$A$192,$EG$205^A43,IF(A43='Données projet'!$A$192,'Données projet'!$B$192,EJ42+EI43-ER42)))</f>
        <v>130.13782051282055</v>
      </c>
      <c r="EK43" s="17">
        <f>EJ43*VLOOKUP('Données projet'!$B$15,Paramètres!$A$1:$I$89,3,0)*VLOOKUP('Données projet'!$B$15,Paramètres!$A$1:$I$89,5,0)</f>
        <v>125.86930000000005</v>
      </c>
      <c r="EL43" s="13">
        <f t="shared" si="45"/>
        <v>33.040089503618077</v>
      </c>
      <c r="EM43" s="20">
        <f t="shared" si="19"/>
        <v>276.7671867188015</v>
      </c>
      <c r="EN43" s="59">
        <f t="shared" si="20"/>
        <v>570.10052005213481</v>
      </c>
      <c r="EO43" s="59">
        <f ca="1">AVERAGE(OFFSET($EN$3,0,0,'Données projet'!$E$15+1,1))-AVERAGE(OFFSET($H$3,0,0,'Données projet'!$E$15+1,1))</f>
        <v>262.20955982183017</v>
      </c>
      <c r="EP43" s="59">
        <f t="shared" si="46"/>
        <v>101.35842063036193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220</v>
      </c>
      <c r="FC43" s="12">
        <f>VLOOKUP(A43,'Données projet'!$A$217:$I$237,9,0)</f>
        <v>10.199999999999999</v>
      </c>
      <c r="FD43" s="12">
        <f t="array" ref="FD43">INDEX(FC:FC,MIN(IF(ISNUMBER(FC43:FC239),ROW(FC43:FC239),"")))</f>
        <v>10.199999999999999</v>
      </c>
      <c r="FE43" s="12">
        <f>IF('Données projet'!$A$218&gt;35,FE42+FD43-FM42,IF(A43&lt;'Données projet'!$A$218,$FB$205^A43,IF(A43='Données projet'!$A$218,'Données projet'!$B$218,FE42+FD43-FM42)))</f>
        <v>219.99999999999986</v>
      </c>
      <c r="FF43" s="17">
        <f>FE43*VLOOKUP('Données projet'!$B$16,Paramètres!$A$1:$I$89,3,0)*VLOOKUP('Données projet'!$B$16,Paramètres!$A$1:$I$89,5,0)</f>
        <v>175.0319999999999</v>
      </c>
      <c r="FG43" s="13">
        <f t="shared" si="47"/>
        <v>44.215103743190973</v>
      </c>
      <c r="FH43" s="20">
        <f t="shared" si="22"/>
        <v>381.85537235272409</v>
      </c>
      <c r="FI43" s="59">
        <f t="shared" si="23"/>
        <v>675.18870568605735</v>
      </c>
      <c r="FJ43" s="59">
        <f ca="1">AVERAGE(OFFSET($FI$3,0,0,'Données projet'!$E$16+1,1))-AVERAGE(OFFSET($H$3,0,0,'Données projet'!$E$16+1,1))</f>
        <v>199.58763537752952</v>
      </c>
      <c r="FK43" s="59">
        <f t="shared" si="48"/>
        <v>242.62852778451929</v>
      </c>
      <c r="FL43" s="15">
        <f>IF(ISNA(VLOOKUP(A43,'Données projet'!$A$217:$I$237,3,0)),0,VLOOKUP(A43,'Données projet'!$A$217:$I$237,3,0))</f>
        <v>3</v>
      </c>
      <c r="FM43" s="15">
        <f>IF(ISNA(VLOOKUP(A43,'Données projet'!$A$217:$I$237,4,0)),0,VLOOKUP(A43,'Données projet'!$A$217:$I$237,4,0))</f>
        <v>56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7.7930388938620476</v>
      </c>
      <c r="FS43" s="21">
        <f>EXP(-LN(2)/2)*FS42+(1-EXP(-LN(2)/2))/(LN(2)/2)*FM43*FP43*VLOOKUP('Données projet'!$B$16,Paramètres!$A$1:$I$89,3,0)*0.475*44/12</f>
        <v>0.33629869978813165</v>
      </c>
      <c r="FT43" s="22">
        <f t="shared" si="24"/>
        <v>8.1293375936501793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220</v>
      </c>
      <c r="FX43" s="12">
        <f>VLOOKUP(A43,'Données projet'!$A$243:$I$263,9,0)</f>
        <v>10.199999999999999</v>
      </c>
      <c r="FY43" s="12">
        <f t="array" ref="FY43">INDEX(FX:FX,MIN(IF(ISNUMBER(FX43:FX239),ROW(FX43:FX239),"")))</f>
        <v>10.199999999999999</v>
      </c>
      <c r="FZ43" s="12">
        <f>IF('Données projet'!$A$244&gt;35,FZ42+FY43-GH42,IF(A43&lt;'Données projet'!$A$244,$FW$205^A43,IF(A43='Données projet'!$A$244,'Données projet'!$B$244,FZ42+FY43-GH42)))</f>
        <v>219.99999999999986</v>
      </c>
      <c r="GA43" s="17">
        <f>FZ43*VLOOKUP('Données projet'!$B$17,Paramètres!$A$1:$I$89,3,0)*VLOOKUP('Données projet'!$B$17,Paramètres!$A$1:$I$89,5,0)</f>
        <v>161.30399999999989</v>
      </c>
      <c r="GB43" s="13">
        <f t="shared" si="49"/>
        <v>41.136497157560363</v>
      </c>
      <c r="GC43" s="20">
        <f t="shared" si="25"/>
        <v>352.58386588275079</v>
      </c>
      <c r="GD43" s="59">
        <f t="shared" si="26"/>
        <v>645.9171992160841</v>
      </c>
      <c r="GE43" s="59">
        <f ca="1">AVERAGE(OFFSET($GD$3,0,0,'Données projet'!$E$17+1,1))-AVERAGE(OFFSET($H$3,0,0,'Données projet'!$E$17+1,1))</f>
        <v>178.12968684094687</v>
      </c>
      <c r="GF43" s="59">
        <f t="shared" si="50"/>
        <v>219.36004077210373</v>
      </c>
      <c r="GG43" s="15">
        <f>IF(ISNA(VLOOKUP(A43,'Données projet'!$A$243:$I$263,3,0)),0,VLOOKUP(A43,'Données projet'!$A$243:$I$263,3,0))</f>
        <v>3</v>
      </c>
      <c r="GH43" s="15">
        <f>IF(ISNA(VLOOKUP(A43,'Données projet'!$A$243:$I$263,4,0)),0,VLOOKUP(A43,'Données projet'!$A$243:$I$263,4,0))</f>
        <v>56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5.8267597500907158</v>
      </c>
      <c r="GN43" s="21">
        <f>EXP(-LN(2)/2)*GN42+(1-EXP(-LN(2)/2))/(LN(2)/2)*GH43*GK43*VLOOKUP('Données projet'!$B$17,Paramètres!$A$1:$I$89,3,0)*0.475*44/12</f>
        <v>0.30992233117729773</v>
      </c>
      <c r="GO43" s="21">
        <f t="shared" si="27"/>
        <v>6.1366820812680132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220</v>
      </c>
      <c r="GS43" s="12">
        <f>VLOOKUP(A43,'Données projet'!$A$269:$I$289,9,0)</f>
        <v>10.199999999999999</v>
      </c>
      <c r="GT43" s="12">
        <f t="array" ref="GT43">INDEX(GS:GS,MIN(IF(ISNUMBER(GS43:GS239),ROW(GS43:GS239),"")))</f>
        <v>10.199999999999999</v>
      </c>
      <c r="GU43" s="12">
        <f>IF('Données projet'!$A$270&gt;35,GU42+GT43-HC42,IF(A43&lt;'Données projet'!$A$270,$GR$205^A43,IF(A43='Données projet'!$A$270,'Données projet'!$B$270,GU42+GT43-HC42)))</f>
        <v>219.99999999999986</v>
      </c>
      <c r="GV43" s="17">
        <f>GU43*VLOOKUP('Données projet'!$B$18,Paramètres!$A$1:$I$89,3,0)*VLOOKUP('Données projet'!$B$18,Paramètres!$A$1:$I$89,5,0)</f>
        <v>175.0319999999999</v>
      </c>
      <c r="GW43" s="13">
        <f t="shared" si="51"/>
        <v>44.215103743190973</v>
      </c>
      <c r="GX43" s="20">
        <f t="shared" si="28"/>
        <v>381.85537235272409</v>
      </c>
      <c r="GY43" s="59">
        <f t="shared" si="29"/>
        <v>675.18870568605735</v>
      </c>
      <c r="GZ43" s="59">
        <f ca="1">AVERAGE(OFFSET($GY$3,0,0,'Données projet'!$E$18+1,1))-AVERAGE(OFFSET($H$3,0,0,'Données projet'!$E$18+1,1))</f>
        <v>199.58763537752952</v>
      </c>
      <c r="HA43" s="59">
        <f t="shared" si="52"/>
        <v>242.62852778451929</v>
      </c>
      <c r="HB43" s="15">
        <f>IF(ISNA(VLOOKUP(A43,'Données projet'!$A$269:$I$289,3,0)),0,VLOOKUP(A43,'Données projet'!$A$269:$I$289,3,0))</f>
        <v>3</v>
      </c>
      <c r="HC43" s="15">
        <f>IF(ISNA(VLOOKUP(A43,'Données projet'!$A$269:$I$289,4,0)),0,VLOOKUP(A43,'Données projet'!$A$269:$I$289,4,0))</f>
        <v>56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7.7930388938620476</v>
      </c>
      <c r="HI43" s="21">
        <f>EXP(-LN(2)/2)*HI42+(1-EXP(-LN(2)/2))/(LN(2)/2)*HC43*HF43*VLOOKUP('Données projet'!$B$18,Paramètres!$A$1:$I$89,3,0)*0.475*44/12</f>
        <v>0.33629869978813165</v>
      </c>
      <c r="HJ43" s="22">
        <f t="shared" si="30"/>
        <v>8.1293375936501793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9.8108974358974379</v>
      </c>
      <c r="N44" s="13">
        <f>IF('Données projet'!$A$36&gt;35,N43+M44-V43,IF(A44&lt;'Données projet'!$A$36,$K$205^A44,IF(A44='Données projet'!$A$36,'Données projet'!$B$36,N43+M44-V43)))</f>
        <v>178.84935897435895</v>
      </c>
      <c r="O44" s="13">
        <f>N44*VLOOKUP('Données projet'!$B$9,Paramètres!$A$1:$I$89,3,0)*VLOOKUP('Données projet'!$B$9,Paramètres!$A$1:$I$89,5,0)</f>
        <v>161.82289999999998</v>
      </c>
      <c r="P44" s="13">
        <f t="shared" si="33"/>
        <v>41.253404106950768</v>
      </c>
      <c r="Q44" s="20">
        <f t="shared" si="53"/>
        <v>353.69122965293923</v>
      </c>
      <c r="R44" s="59">
        <f t="shared" si="0"/>
        <v>647.02456298627249</v>
      </c>
      <c r="S44" s="59">
        <f ca="1">AVERAGE(OFFSET($R$3,0,0,'Données projet'!$E$9+1,1))-AVERAGE(OFFSET($H$3,0,0,'Données projet'!$E$9+1,1))</f>
        <v>309.07357540707869</v>
      </c>
      <c r="T44" s="59">
        <f t="shared" si="34"/>
        <v>155.9593924683299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5.4791666666666652</v>
      </c>
      <c r="AI44" s="13">
        <f>IF('Données projet'!$A$62&gt;35,AI43+AH44-AQ43,IF(A44&lt;'Données projet'!$A$62,$AF$205^A44,IF(A44='Données projet'!$A$62,'Données projet'!$B$62,AI43+AH44-AQ43)))</f>
        <v>135.61698717948721</v>
      </c>
      <c r="AJ44" s="13">
        <f>AI44*VLOOKUP('Données projet'!$B$10,Paramètres!$A$1:$I$89,3,0)*VLOOKUP('Données projet'!$B$10,Paramètres!$A$1:$I$89,5,0)</f>
        <v>122.70625000000004</v>
      </c>
      <c r="AK44" s="13">
        <f t="shared" si="35"/>
        <v>32.305366081384335</v>
      </c>
      <c r="AL44" s="20">
        <f t="shared" si="4"/>
        <v>269.97856467507779</v>
      </c>
      <c r="AM44" s="59">
        <f t="shared" si="5"/>
        <v>563.31189800841116</v>
      </c>
      <c r="AN44" s="59">
        <f ca="1">AVERAGE(OFFSET($AM$3,0,0,'Données projet'!$E$10+1,1))-AVERAGE(OFFSET($H$3,0,0,'Données projet'!$E$10+1,1))</f>
        <v>234.30804102916278</v>
      </c>
      <c r="AO44" s="59">
        <f t="shared" si="36"/>
        <v>91.137993288782411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16.131410256410259</v>
      </c>
      <c r="BD44" s="12">
        <f>IF('Données projet'!$A$88&gt;35,BD43+BC44-BL43,IF(A44&lt;'Données projet'!$A$88,$BA$205^A44,IF(A44='Données projet'!$A$88,'Données projet'!$B$88,BD43+BC44-BL43)))</f>
        <v>394.23782051282063</v>
      </c>
      <c r="BE44" s="13">
        <f>BD44*VLOOKUP('Données projet'!$B$11,Paramètres!$A$1:$I$89,3,0)*VLOOKUP('Données projet'!$B$11,Paramètres!$A$1:$I$89,5,0)</f>
        <v>184.50330000000005</v>
      </c>
      <c r="BF44" s="13">
        <f t="shared" si="37"/>
        <v>46.32264201774467</v>
      </c>
      <c r="BG44" s="20">
        <f t="shared" si="7"/>
        <v>402.02184901423874</v>
      </c>
      <c r="BH44" s="59">
        <f t="shared" si="8"/>
        <v>695.35518234757205</v>
      </c>
      <c r="BI44" s="59">
        <f ca="1">AVERAGE(OFFSET($BH$3,0,0,'Données projet'!$E$11+1,1))-AVERAGE(OFFSET($H$3,0,0,'Données projet'!$E$11+1,1))</f>
        <v>158.58786357608489</v>
      </c>
      <c r="BJ44" s="59">
        <f t="shared" si="38"/>
        <v>163.20074068819849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11.443589743589742</v>
      </c>
      <c r="BY44" s="12">
        <f>IF('Données projet'!$A$114&gt;35,BY43+BX44-CG43,IF(A44&lt;'Données projet'!$A$114,$BV$205^A44,IF(A44='Données projet'!$A$114,'Données projet'!$B$114,BY43+BX44-CG43)))</f>
        <v>273.13333333333333</v>
      </c>
      <c r="BZ44" s="13">
        <f>BY44*VLOOKUP('Données projet'!$B$12,Paramètres!$A$1:$I$89,3,0)*VLOOKUP('Données projet'!$B$12,Paramètres!$A$1:$I$89,5,0)</f>
        <v>127.82639999999999</v>
      </c>
      <c r="CA44" s="13">
        <f t="shared" si="39"/>
        <v>33.493612376128482</v>
      </c>
      <c r="CB44" s="20">
        <f t="shared" si="10"/>
        <v>280.96568822175709</v>
      </c>
      <c r="CC44" s="59">
        <f t="shared" si="11"/>
        <v>574.29902155509035</v>
      </c>
      <c r="CD44" s="59">
        <f ca="1">AVERAGE(OFFSET($CC$3,0,0,'Données projet'!$E$12+1,1))-AVERAGE(OFFSET($H$3,0,0,'Données projet'!$E$12+1,1))</f>
        <v>123.2823358462245</v>
      </c>
      <c r="CE44" s="59">
        <f t="shared" si="40"/>
        <v>92.75115399786057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242.81538461538463</v>
      </c>
      <c r="CR44" s="12">
        <f>VLOOKUP(A44,'Données projet'!$A$139:$I$159,9,0)</f>
        <v>12.74038461538462</v>
      </c>
      <c r="CS44" s="12">
        <f t="array" ref="CS44">INDEX(CR:CR,MIN(IF(ISNUMBER(CR44:CR240),ROW(CR44:CR240),"")))</f>
        <v>12.74038461538462</v>
      </c>
      <c r="CT44" s="12">
        <f>IF('Données projet'!$A$140&gt;35,CT43+CS44-DB43,IF(A44&lt;'Données projet'!$A$140,$CQ$205^A44,IF(A44='Données projet'!$A$140,'Données projet'!$B$140,CT43+CS44-DB43)))</f>
        <v>242.81538461538463</v>
      </c>
      <c r="CU44" s="17">
        <f>CT44*VLOOKUP('Données projet'!$B$13,Paramètres!$A$1:$I$89,3,0)*VLOOKUP('Données projet'!$B$13,Paramètres!$A$1:$I$89,5,0)</f>
        <v>145.20360000000002</v>
      </c>
      <c r="CV44" s="13">
        <f t="shared" si="41"/>
        <v>37.486533463390735</v>
      </c>
      <c r="CW44" s="20">
        <f t="shared" si="13"/>
        <v>318.18531578207222</v>
      </c>
      <c r="CX44" s="59">
        <f t="shared" si="14"/>
        <v>611.51864911540554</v>
      </c>
      <c r="CY44" s="59">
        <f ca="1">AVERAGE(OFFSET($CX$3,0,0,'Données projet'!$E$13+1,1))-AVERAGE(OFFSET($H$3,0,0,'Données projet'!$E$13+1,1))</f>
        <v>179.32848817523677</v>
      </c>
      <c r="CZ44" s="59">
        <f t="shared" si="42"/>
        <v>131.3292389103035</v>
      </c>
      <c r="DA44" s="15">
        <f>IF(ISNA(VLOOKUP(A44,'Données projet'!$A$139:$I$159,3,0)),0,VLOOKUP(A44,'Données projet'!$A$139:$I$159,3,0))</f>
        <v>4</v>
      </c>
      <c r="DB44" s="15">
        <f>IF(ISNA(VLOOKUP(A44,'Données projet'!$A$139:$I$159,4,0)),0,VLOOKUP(A44,'Données projet'!$A$139:$I$159,4,0))</f>
        <v>58.484615384615381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9.7154919982487833</v>
      </c>
      <c r="DH44" s="21">
        <f>EXP(-LN(2)/2)*DH43+(1-EXP(-LN(2)/2))/(LN(2)/2)*DB44*DE44*VLOOKUP('Données projet'!$B$13,Paramètres!$A$1:$I$89,3,0)*0.475*44/12</f>
        <v>0.11629408203591464</v>
      </c>
      <c r="DI44" s="22">
        <f t="shared" si="15"/>
        <v>9.8317860802846972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9.8108974358974379</v>
      </c>
      <c r="DO44" s="12">
        <f>IF('Données projet'!$A$166&gt;35,DO43+DN44-DW43,IF(A44&lt;'Données projet'!$A$166,$DL$205^A44,IF(A44='Données projet'!$A$166,'Données projet'!$B$166,DO43+DN44-DW43)))</f>
        <v>178.84935897435895</v>
      </c>
      <c r="DP44" s="17">
        <f>DO44*VLOOKUP('Données projet'!$B$14,Paramètres!$A$1:$I$89,3,0)*VLOOKUP('Données projet'!$B$14,Paramètres!$A$1:$I$89,5,0)</f>
        <v>172.98309999999998</v>
      </c>
      <c r="DQ44" s="13">
        <f t="shared" si="43"/>
        <v>43.757460837266301</v>
      </c>
      <c r="DR44" s="20">
        <f t="shared" si="16"/>
        <v>377.48981012490543</v>
      </c>
      <c r="DS44" s="59">
        <f t="shared" si="17"/>
        <v>670.82314345823875</v>
      </c>
      <c r="DT44" s="59">
        <f ca="1">AVERAGE(OFFSET($DS$3,0,0,'Données projet'!$E$14+1,1))-AVERAGE(OFFSET($H$3,0,0,'Données projet'!$E$14+1,1))</f>
        <v>340.4659523898373</v>
      </c>
      <c r="DU44" s="59">
        <f t="shared" si="44"/>
        <v>170.54530785680572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5.4791666666666652</v>
      </c>
      <c r="EJ44" s="12">
        <f>IF('Données projet'!$A$192&gt;35,EJ43+EI44-ER43,IF(A44&lt;'Données projet'!$A$192,$EG$205^A44,IF(A44='Données projet'!$A$192,'Données projet'!$B$192,EJ43+EI44-ER43)))</f>
        <v>135.61698717948721</v>
      </c>
      <c r="EK44" s="17">
        <f>EJ44*VLOOKUP('Données projet'!$B$15,Paramètres!$A$1:$I$89,3,0)*VLOOKUP('Données projet'!$B$15,Paramètres!$A$1:$I$89,5,0)</f>
        <v>131.16875000000005</v>
      </c>
      <c r="EL44" s="13">
        <f t="shared" si="45"/>
        <v>34.266282304241386</v>
      </c>
      <c r="EM44" s="20">
        <f t="shared" si="19"/>
        <v>288.13268126322043</v>
      </c>
      <c r="EN44" s="59">
        <f t="shared" si="20"/>
        <v>581.4660145965538</v>
      </c>
      <c r="EO44" s="59">
        <f ca="1">AVERAGE(OFFSET($EN$3,0,0,'Données projet'!$E$15+1,1))-AVERAGE(OFFSET($H$3,0,0,'Données projet'!$E$15+1,1))</f>
        <v>262.20955982183017</v>
      </c>
      <c r="EP44" s="59">
        <f t="shared" si="46"/>
        <v>101.35842063036193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7.7</v>
      </c>
      <c r="FE44" s="12">
        <f>IF('Données projet'!$A$218&gt;35,FE43+FD44-FM43,IF(A44&lt;'Données projet'!$A$218,$FB$205^A44,IF(A44='Données projet'!$A$218,'Données projet'!$B$218,FE43+FD44-FM43)))</f>
        <v>171.69999999999985</v>
      </c>
      <c r="FF44" s="17">
        <f>FE44*VLOOKUP('Données projet'!$B$16,Paramètres!$A$1:$I$89,3,0)*VLOOKUP('Données projet'!$B$16,Paramètres!$A$1:$I$89,5,0)</f>
        <v>136.60451999999989</v>
      </c>
      <c r="FG44" s="13">
        <f t="shared" si="47"/>
        <v>35.518040685530593</v>
      </c>
      <c r="FH44" s="20">
        <f t="shared" si="22"/>
        <v>299.78012652729893</v>
      </c>
      <c r="FI44" s="59">
        <f t="shared" si="23"/>
        <v>593.11345986063225</v>
      </c>
      <c r="FJ44" s="59">
        <f ca="1">AVERAGE(OFFSET($FI$3,0,0,'Données projet'!$E$16+1,1))-AVERAGE(OFFSET($H$3,0,0,'Données projet'!$E$16+1,1))</f>
        <v>199.58763537752952</v>
      </c>
      <c r="FK44" s="59">
        <f t="shared" si="48"/>
        <v>242.62852778451929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7.5799378354912861</v>
      </c>
      <c r="FS44" s="21">
        <f>EXP(-LN(2)/2)*FS43+(1-EXP(-LN(2)/2))/(LN(2)/2)*FM44*FP44*VLOOKUP('Données projet'!$B$16,Paramètres!$A$1:$I$89,3,0)*0.475*44/12</f>
        <v>0.23779909112440686</v>
      </c>
      <c r="FT44" s="22">
        <f t="shared" si="24"/>
        <v>7.8177369266156926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7.7</v>
      </c>
      <c r="FZ44" s="12">
        <f>IF('Données projet'!$A$244&gt;35,FZ43+FY44-GH43,IF(A44&lt;'Données projet'!$A$244,$FW$205^A44,IF(A44='Données projet'!$A$244,'Données projet'!$B$244,FZ43+FY44-GH43)))</f>
        <v>171.69999999999985</v>
      </c>
      <c r="GA44" s="17">
        <f>FZ44*VLOOKUP('Données projet'!$B$17,Paramètres!$A$1:$I$89,3,0)*VLOOKUP('Données projet'!$B$17,Paramètres!$A$1:$I$89,5,0)</f>
        <v>125.89043999999988</v>
      </c>
      <c r="GB44" s="13">
        <f t="shared" si="49"/>
        <v>33.044992683692321</v>
      </c>
      <c r="GC44" s="20">
        <f t="shared" si="25"/>
        <v>276.8125452574306</v>
      </c>
      <c r="GD44" s="59">
        <f t="shared" si="26"/>
        <v>570.14587859076391</v>
      </c>
      <c r="GE44" s="59">
        <f ca="1">AVERAGE(OFFSET($GD$3,0,0,'Données projet'!$E$17+1,1))-AVERAGE(OFFSET($H$3,0,0,'Données projet'!$E$17+1,1))</f>
        <v>178.12968684094687</v>
      </c>
      <c r="GF44" s="59">
        <f t="shared" si="50"/>
        <v>219.36004077210373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5.6674266983085069</v>
      </c>
      <c r="GN44" s="21">
        <f>EXP(-LN(2)/2)*GN43+(1-EXP(-LN(2)/2))/(LN(2)/2)*GH44*GK44*VLOOKUP('Données projet'!$B$17,Paramètres!$A$1:$I$89,3,0)*0.475*44/12</f>
        <v>0.21914818201661018</v>
      </c>
      <c r="GO44" s="21">
        <f t="shared" si="27"/>
        <v>5.8865748803251172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7.7</v>
      </c>
      <c r="GU44" s="12">
        <f>IF('Données projet'!$A$270&gt;35,GU43+GT44-HC43,IF(A44&lt;'Données projet'!$A$270,$GR$205^A44,IF(A44='Données projet'!$A$270,'Données projet'!$B$270,GU43+GT44-HC43)))</f>
        <v>171.69999999999985</v>
      </c>
      <c r="GV44" s="17">
        <f>GU44*VLOOKUP('Données projet'!$B$18,Paramètres!$A$1:$I$89,3,0)*VLOOKUP('Données projet'!$B$18,Paramètres!$A$1:$I$89,5,0)</f>
        <v>136.60451999999989</v>
      </c>
      <c r="GW44" s="13">
        <f t="shared" si="51"/>
        <v>35.518040685530593</v>
      </c>
      <c r="GX44" s="20">
        <f t="shared" si="28"/>
        <v>299.78012652729893</v>
      </c>
      <c r="GY44" s="59">
        <f t="shared" si="29"/>
        <v>593.11345986063225</v>
      </c>
      <c r="GZ44" s="59">
        <f ca="1">AVERAGE(OFFSET($GY$3,0,0,'Données projet'!$E$18+1,1))-AVERAGE(OFFSET($H$3,0,0,'Données projet'!$E$18+1,1))</f>
        <v>199.58763537752952</v>
      </c>
      <c r="HA44" s="59">
        <f t="shared" si="52"/>
        <v>242.62852778451929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7.5799378354912861</v>
      </c>
      <c r="HI44" s="21">
        <f>EXP(-LN(2)/2)*HI43+(1-EXP(-LN(2)/2))/(LN(2)/2)*HC44*HF44*VLOOKUP('Données projet'!$B$18,Paramètres!$A$1:$I$89,3,0)*0.475*44/12</f>
        <v>0.23779909112440686</v>
      </c>
      <c r="HJ44" s="22">
        <f t="shared" si="30"/>
        <v>7.8177369266156926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188.66025641025641</v>
      </c>
      <c r="L45" s="12">
        <f>VLOOKUP(A45,'Données projet'!$A$35:$I$55,9,0)</f>
        <v>9.8108974358974379</v>
      </c>
      <c r="M45" s="12">
        <f t="array" ref="M45">INDEX(L:L,MIN(IF(ISNUMBER(L45:L241),ROW(L45:L241),"")))</f>
        <v>9.8108974358974379</v>
      </c>
      <c r="N45" s="13">
        <f>IF('Données projet'!$A$36&gt;35,N44+M45-V44,IF(A45&lt;'Données projet'!$A$36,$K$205^A45,IF(A45='Données projet'!$A$36,'Données projet'!$B$36,N44+M45-V44)))</f>
        <v>188.66025641025638</v>
      </c>
      <c r="O45" s="13">
        <f>N45*VLOOKUP('Données projet'!$B$9,Paramètres!$A$1:$I$89,3,0)*VLOOKUP('Données projet'!$B$9,Paramètres!$A$1:$I$89,5,0)</f>
        <v>170.69979999999998</v>
      </c>
      <c r="P45" s="13">
        <f t="shared" si="33"/>
        <v>43.246718013796333</v>
      </c>
      <c r="Q45" s="20">
        <f t="shared" si="53"/>
        <v>372.62351887402855</v>
      </c>
      <c r="R45" s="59">
        <f t="shared" si="0"/>
        <v>665.95685220736186</v>
      </c>
      <c r="S45" s="59">
        <f ca="1">AVERAGE(OFFSET($R$3,0,0,'Données projet'!$E$9+1,1))-AVERAGE(OFFSET($H$3,0,0,'Données projet'!$E$9+1,1))</f>
        <v>309.07357540707869</v>
      </c>
      <c r="T45" s="59">
        <f t="shared" si="34"/>
        <v>155.9593924683299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45.198717948717949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141.09615384615384</v>
      </c>
      <c r="AG45" s="12">
        <f>VLOOKUP(A45,'Données projet'!$A$61:$I$81,9,0)</f>
        <v>5.4791666666666652</v>
      </c>
      <c r="AH45" s="12">
        <f t="array" ref="AH45">INDEX(AG:AG,MIN(IF(ISNUMBER(AG45:AG241),ROW(AG45:AG241),"")))</f>
        <v>5.4791666666666652</v>
      </c>
      <c r="AI45" s="13">
        <f>IF('Données projet'!$A$62&gt;35,AI44+AH45-AQ44,IF(A45&lt;'Données projet'!$A$62,$AF$205^A45,IF(A45='Données projet'!$A$62,'Données projet'!$B$62,AI44+AH45-AQ44)))</f>
        <v>141.09615384615387</v>
      </c>
      <c r="AJ45" s="13">
        <f>AI45*VLOOKUP('Données projet'!$B$10,Paramètres!$A$1:$I$89,3,0)*VLOOKUP('Données projet'!$B$10,Paramètres!$A$1:$I$89,5,0)</f>
        <v>127.66380000000002</v>
      </c>
      <c r="AK45" s="13">
        <f t="shared" si="35"/>
        <v>33.455963688122218</v>
      </c>
      <c r="AL45" s="20">
        <f t="shared" si="4"/>
        <v>280.61692175681293</v>
      </c>
      <c r="AM45" s="59">
        <f t="shared" si="5"/>
        <v>573.95025509014624</v>
      </c>
      <c r="AN45" s="59">
        <f ca="1">AVERAGE(OFFSET($AM$3,0,0,'Données projet'!$E$10+1,1))-AVERAGE(OFFSET($H$3,0,0,'Données projet'!$E$10+1,1))</f>
        <v>234.30804102916278</v>
      </c>
      <c r="AO45" s="59">
        <f t="shared" si="36"/>
        <v>91.137993288782411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38.685897435897438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410.3692307692308</v>
      </c>
      <c r="BB45" s="12">
        <f>VLOOKUP(A45,'Données projet'!$A$87:$I$107,9,0)</f>
        <v>16.131410256410259</v>
      </c>
      <c r="BC45" s="12">
        <f t="array" ref="BC45">INDEX(BB:BB,MIN(IF(ISNUMBER(BB45:BB241),ROW(BB45:BB241),"")))</f>
        <v>16.131410256410259</v>
      </c>
      <c r="BD45" s="12">
        <f>IF('Données projet'!$A$88&gt;35,BD44+BC45-BL44,IF(A45&lt;'Données projet'!$A$88,$BA$205^A45,IF(A45='Données projet'!$A$88,'Données projet'!$B$88,BD44+BC45-BL44)))</f>
        <v>410.36923076923091</v>
      </c>
      <c r="BE45" s="13">
        <f>BD45*VLOOKUP('Données projet'!$B$11,Paramètres!$A$1:$I$89,3,0)*VLOOKUP('Données projet'!$B$11,Paramètres!$A$1:$I$89,5,0)</f>
        <v>192.05280000000008</v>
      </c>
      <c r="BF45" s="13">
        <f t="shared" si="37"/>
        <v>47.993513546032311</v>
      </c>
      <c r="BG45" s="20">
        <f t="shared" si="7"/>
        <v>418.08066275933976</v>
      </c>
      <c r="BH45" s="59">
        <f t="shared" si="8"/>
        <v>711.41399609267307</v>
      </c>
      <c r="BI45" s="59">
        <f ca="1">AVERAGE(OFFSET($BH$3,0,0,'Données projet'!$E$11+1,1))-AVERAGE(OFFSET($H$3,0,0,'Données projet'!$E$11+1,1))</f>
        <v>158.58786357608489</v>
      </c>
      <c r="BJ45" s="59">
        <f t="shared" si="38"/>
        <v>163.20074068819849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179.84615384615384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11.443589743589742</v>
      </c>
      <c r="BY45" s="12">
        <f>IF('Données projet'!$A$114&gt;35,BY44+BX45-CG44,IF(A45&lt;'Données projet'!$A$114,$BV$205^A45,IF(A45='Données projet'!$A$114,'Données projet'!$B$114,BY44+BX45-CG44)))</f>
        <v>284.57692307692309</v>
      </c>
      <c r="BZ45" s="13">
        <f>BY45*VLOOKUP('Données projet'!$B$12,Paramètres!$A$1:$I$89,3,0)*VLOOKUP('Données projet'!$B$12,Paramètres!$A$1:$I$89,5,0)</f>
        <v>133.18200000000002</v>
      </c>
      <c r="CA45" s="13">
        <f t="shared" si="39"/>
        <v>34.730588096149795</v>
      </c>
      <c r="CB45" s="20">
        <f t="shared" si="10"/>
        <v>292.44775760079426</v>
      </c>
      <c r="CC45" s="59">
        <f t="shared" si="11"/>
        <v>585.78109093412763</v>
      </c>
      <c r="CD45" s="59">
        <f ca="1">AVERAGE(OFFSET($CC$3,0,0,'Données projet'!$E$12+1,1))-AVERAGE(OFFSET($H$3,0,0,'Données projet'!$E$12+1,1))</f>
        <v>123.2823358462245</v>
      </c>
      <c r="CE45" s="59">
        <f t="shared" si="40"/>
        <v>92.75115399786057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11.861538461538462</v>
      </c>
      <c r="CT45" s="12">
        <f>IF('Données projet'!$A$140&gt;35,CT44+CS45-DB44,IF(A45&lt;'Données projet'!$A$140,$CQ$205^A45,IF(A45='Données projet'!$A$140,'Données projet'!$B$140,CT44+CS45-DB44)))</f>
        <v>196.19230769230771</v>
      </c>
      <c r="CU45" s="17">
        <f>CT45*VLOOKUP('Données projet'!$B$13,Paramètres!$A$1:$I$89,3,0)*VLOOKUP('Données projet'!$B$13,Paramètres!$A$1:$I$89,5,0)</f>
        <v>117.32300000000002</v>
      </c>
      <c r="CV45" s="13">
        <f t="shared" si="41"/>
        <v>31.049815552357138</v>
      </c>
      <c r="CW45" s="20">
        <f t="shared" si="13"/>
        <v>258.41598708702207</v>
      </c>
      <c r="CX45" s="59">
        <f t="shared" si="14"/>
        <v>551.74932042035539</v>
      </c>
      <c r="CY45" s="59">
        <f ca="1">AVERAGE(OFFSET($CX$3,0,0,'Données projet'!$E$13+1,1))-AVERAGE(OFFSET($H$3,0,0,'Données projet'!$E$13+1,1))</f>
        <v>179.32848817523677</v>
      </c>
      <c r="CZ45" s="59">
        <f t="shared" si="42"/>
        <v>131.3292389103035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9.4498213586411506</v>
      </c>
      <c r="DH45" s="21">
        <f>EXP(-LN(2)/2)*DH44+(1-EXP(-LN(2)/2))/(LN(2)/2)*DB45*DE45*VLOOKUP('Données projet'!$B$13,Paramètres!$A$1:$I$89,3,0)*0.475*44/12</f>
        <v>8.223233401945991E-2</v>
      </c>
      <c r="DI45" s="22">
        <f t="shared" si="15"/>
        <v>9.532053692660611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188.66025641025641</v>
      </c>
      <c r="DM45" s="12">
        <f>VLOOKUP(A45,'Données projet'!$A$165:$I$185,9,0)</f>
        <v>9.8108974358974379</v>
      </c>
      <c r="DN45" s="12">
        <f t="array" ref="DN45">INDEX(DM:DM,MIN(IF(ISNUMBER(DM45:DM241),ROW(DM45:DM241),"")))</f>
        <v>9.8108974358974379</v>
      </c>
      <c r="DO45" s="12">
        <f>IF('Données projet'!$A$166&gt;35,DO44+DN45-DW44,IF(A45&lt;'Données projet'!$A$166,$DL$205^A45,IF(A45='Données projet'!$A$166,'Données projet'!$B$166,DO44+DN45-DW44)))</f>
        <v>188.66025641025638</v>
      </c>
      <c r="DP45" s="17">
        <f>DO45*VLOOKUP('Données projet'!$B$14,Paramètres!$A$1:$I$89,3,0)*VLOOKUP('Données projet'!$B$14,Paramètres!$A$1:$I$89,5,0)</f>
        <v>182.47219999999999</v>
      </c>
      <c r="DQ45" s="13">
        <f t="shared" si="43"/>
        <v>45.871767695169382</v>
      </c>
      <c r="DR45" s="20">
        <f t="shared" si="16"/>
        <v>397.69907706908663</v>
      </c>
      <c r="DS45" s="59">
        <f t="shared" si="17"/>
        <v>691.03241040241994</v>
      </c>
      <c r="DT45" s="59">
        <f ca="1">AVERAGE(OFFSET($DS$3,0,0,'Données projet'!$E$14+1,1))-AVERAGE(OFFSET($H$3,0,0,'Données projet'!$E$14+1,1))</f>
        <v>340.4659523898373</v>
      </c>
      <c r="DU45" s="59">
        <f t="shared" si="44"/>
        <v>170.54530785680572</v>
      </c>
      <c r="DV45" s="15">
        <f>IF(ISNA(VLOOKUP(A45,'Données projet'!$A$165:$I$185,3,0)),0,VLOOKUP(A45,'Données projet'!$A$165:$I$185,3,0))</f>
        <v>2</v>
      </c>
      <c r="DW45" s="15">
        <f>IF(ISNA(VLOOKUP(A45,'Données projet'!$A$165:$I$185,4,0)),0,VLOOKUP(A45,'Données projet'!$A$165:$I$185,4,0))</f>
        <v>45.198717948717949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141.09615384615384</v>
      </c>
      <c r="EH45" s="12">
        <f>VLOOKUP(A45,'Données projet'!$A$191:$I$211,9,0)</f>
        <v>5.4791666666666652</v>
      </c>
      <c r="EI45" s="12">
        <f t="array" ref="EI45">INDEX(EH:EH,MIN(IF(ISNUMBER(EH45:EH241),ROW(EH45:EH241),"")))</f>
        <v>5.4791666666666652</v>
      </c>
      <c r="EJ45" s="12">
        <f>IF('Données projet'!$A$192&gt;35,EJ44+EI45-ER44,IF(A45&lt;'Données projet'!$A$192,$EG$205^A45,IF(A45='Données projet'!$A$192,'Données projet'!$B$192,EJ44+EI45-ER44)))</f>
        <v>141.09615384615387</v>
      </c>
      <c r="EK45" s="17">
        <f>EJ45*VLOOKUP('Données projet'!$B$15,Paramètres!$A$1:$I$89,3,0)*VLOOKUP('Données projet'!$B$15,Paramètres!$A$1:$I$89,5,0)</f>
        <v>136.46820000000002</v>
      </c>
      <c r="EL45" s="13">
        <f t="shared" si="45"/>
        <v>35.486720491251567</v>
      </c>
      <c r="EM45" s="20">
        <f t="shared" si="19"/>
        <v>299.48815318892986</v>
      </c>
      <c r="EN45" s="59">
        <f t="shared" si="20"/>
        <v>592.82148652226317</v>
      </c>
      <c r="EO45" s="59">
        <f ca="1">AVERAGE(OFFSET($EN$3,0,0,'Données projet'!$E$15+1,1))-AVERAGE(OFFSET($H$3,0,0,'Données projet'!$E$15+1,1))</f>
        <v>262.20955982183017</v>
      </c>
      <c r="EP45" s="59">
        <f t="shared" si="46"/>
        <v>101.35842063036193</v>
      </c>
      <c r="EQ45" s="15">
        <f>IF(ISNA(VLOOKUP(A45,'Données projet'!$A$191:$I$211,3,0)),0,VLOOKUP(A45,'Données projet'!$A$191:$I$211,3,0))</f>
        <v>1</v>
      </c>
      <c r="ER45" s="15">
        <f>IF(ISNA(VLOOKUP(A45,'Données projet'!$A$191:$I$211,4,0)),0,VLOOKUP(A45,'Données projet'!$A$191:$I$211,4,0))</f>
        <v>38.685897435897438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7.7</v>
      </c>
      <c r="FE45" s="12">
        <f>IF('Données projet'!$A$218&gt;35,FE44+FD45-FM44,IF(A45&lt;'Données projet'!$A$218,$FB$205^A45,IF(A45='Données projet'!$A$218,'Données projet'!$B$218,FE44+FD45-FM44)))</f>
        <v>179.39999999999984</v>
      </c>
      <c r="FF45" s="17">
        <f>FE45*VLOOKUP('Données projet'!$B$16,Paramètres!$A$1:$I$89,3,0)*VLOOKUP('Données projet'!$B$16,Paramètres!$A$1:$I$89,5,0)</f>
        <v>142.73063999999988</v>
      </c>
      <c r="FG45" s="13">
        <f t="shared" si="47"/>
        <v>36.921851771122689</v>
      </c>
      <c r="FH45" s="20">
        <f t="shared" si="22"/>
        <v>312.89475650137177</v>
      </c>
      <c r="FI45" s="59">
        <f t="shared" si="23"/>
        <v>606.22808983470509</v>
      </c>
      <c r="FJ45" s="59">
        <f ca="1">AVERAGE(OFFSET($FI$3,0,0,'Données projet'!$E$16+1,1))-AVERAGE(OFFSET($H$3,0,0,'Données projet'!$E$16+1,1))</f>
        <v>199.58763537752952</v>
      </c>
      <c r="FK45" s="59">
        <f t="shared" si="48"/>
        <v>242.62852778451929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7.3726640367681702</v>
      </c>
      <c r="FS45" s="21">
        <f>EXP(-LN(2)/2)*FS44+(1-EXP(-LN(2)/2))/(LN(2)/2)*FM45*FP45*VLOOKUP('Données projet'!$B$16,Paramètres!$A$1:$I$89,3,0)*0.475*44/12</f>
        <v>0.16814934989406585</v>
      </c>
      <c r="FT45" s="22">
        <f t="shared" si="24"/>
        <v>7.5408133866622364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7.7</v>
      </c>
      <c r="FZ45" s="12">
        <f>IF('Données projet'!$A$244&gt;35,FZ44+FY45-GH44,IF(A45&lt;'Données projet'!$A$244,$FW$205^A45,IF(A45='Données projet'!$A$244,'Données projet'!$B$244,FZ44+FY45-GH44)))</f>
        <v>179.39999999999984</v>
      </c>
      <c r="GA45" s="17">
        <f>FZ45*VLOOKUP('Données projet'!$B$17,Paramètres!$A$1:$I$89,3,0)*VLOOKUP('Données projet'!$B$17,Paramètres!$A$1:$I$89,5,0)</f>
        <v>131.53607999999986</v>
      </c>
      <c r="GB45" s="13">
        <f t="shared" si="49"/>
        <v>34.35105929540083</v>
      </c>
      <c r="GC45" s="20">
        <f t="shared" si="25"/>
        <v>288.92010093948954</v>
      </c>
      <c r="GD45" s="59">
        <f t="shared" si="26"/>
        <v>582.25343427282291</v>
      </c>
      <c r="GE45" s="59">
        <f ca="1">AVERAGE(OFFSET($GD$3,0,0,'Données projet'!$E$17+1,1))-AVERAGE(OFFSET($H$3,0,0,'Données projet'!$E$17+1,1))</f>
        <v>178.12968684094687</v>
      </c>
      <c r="GF45" s="59">
        <f t="shared" si="50"/>
        <v>219.36004077210373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5.5124506172062437</v>
      </c>
      <c r="GN45" s="21">
        <f>EXP(-LN(2)/2)*GN44+(1-EXP(-LN(2)/2))/(LN(2)/2)*GH45*GK45*VLOOKUP('Données projet'!$B$17,Paramètres!$A$1:$I$89,3,0)*0.475*44/12</f>
        <v>0.15496116558864886</v>
      </c>
      <c r="GO45" s="21">
        <f t="shared" si="27"/>
        <v>5.6674117827948924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7.7</v>
      </c>
      <c r="GU45" s="12">
        <f>IF('Données projet'!$A$270&gt;35,GU44+GT45-HC44,IF(A45&lt;'Données projet'!$A$270,$GR$205^A45,IF(A45='Données projet'!$A$270,'Données projet'!$B$270,GU44+GT45-HC44)))</f>
        <v>179.39999999999984</v>
      </c>
      <c r="GV45" s="17">
        <f>GU45*VLOOKUP('Données projet'!$B$18,Paramètres!$A$1:$I$89,3,0)*VLOOKUP('Données projet'!$B$18,Paramètres!$A$1:$I$89,5,0)</f>
        <v>142.73063999999988</v>
      </c>
      <c r="GW45" s="13">
        <f t="shared" si="51"/>
        <v>36.921851771122689</v>
      </c>
      <c r="GX45" s="20">
        <f t="shared" si="28"/>
        <v>312.89475650137177</v>
      </c>
      <c r="GY45" s="59">
        <f t="shared" si="29"/>
        <v>606.22808983470509</v>
      </c>
      <c r="GZ45" s="59">
        <f ca="1">AVERAGE(OFFSET($GY$3,0,0,'Données projet'!$E$18+1,1))-AVERAGE(OFFSET($H$3,0,0,'Données projet'!$E$18+1,1))</f>
        <v>199.58763537752952</v>
      </c>
      <c r="HA45" s="59">
        <f t="shared" si="52"/>
        <v>242.62852778451929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7.3726640367681702</v>
      </c>
      <c r="HI45" s="21">
        <f>EXP(-LN(2)/2)*HI44+(1-EXP(-LN(2)/2))/(LN(2)/2)*HC45*HF45*VLOOKUP('Données projet'!$B$18,Paramètres!$A$1:$I$89,3,0)*0.475*44/12</f>
        <v>0.16814934989406585</v>
      </c>
      <c r="HJ45" s="22">
        <f t="shared" si="30"/>
        <v>7.5408133866622364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9.9423076923076934</v>
      </c>
      <c r="N46" s="13">
        <f>IF('Données projet'!$A$36&gt;35,N45+M46-V45,IF(A46&lt;'Données projet'!$A$36,$K$205^A46,IF(A46='Données projet'!$A$36,'Données projet'!$B$36,N45+M46-V45)))</f>
        <v>153.40384615384613</v>
      </c>
      <c r="O46" s="13">
        <f>N46*VLOOKUP('Données projet'!$B$9,Paramètres!$A$1:$I$89,3,0)*VLOOKUP('Données projet'!$B$9,Paramètres!$A$1:$I$89,5,0)</f>
        <v>138.79979999999998</v>
      </c>
      <c r="P46" s="13">
        <f t="shared" si="33"/>
        <v>36.021918906010839</v>
      </c>
      <c r="Q46" s="20">
        <f t="shared" si="53"/>
        <v>304.4811604279688</v>
      </c>
      <c r="R46" s="59">
        <f t="shared" si="0"/>
        <v>597.81449376130217</v>
      </c>
      <c r="S46" s="59">
        <f ca="1">AVERAGE(OFFSET($R$3,0,0,'Données projet'!$E$9+1,1))-AVERAGE(OFFSET($H$3,0,0,'Données projet'!$E$9+1,1))</f>
        <v>309.07357540707869</v>
      </c>
      <c r="T46" s="59">
        <f t="shared" si="34"/>
        <v>155.9593924683299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7.1434294871794854</v>
      </c>
      <c r="AI46" s="13">
        <f>IF('Données projet'!$A$62&gt;35,AI45+AH46-AQ45,IF(A46&lt;'Données projet'!$A$62,$AF$205^A46,IF(A46='Données projet'!$A$62,'Données projet'!$B$62,AI45+AH46-AQ45)))</f>
        <v>109.55368589743591</v>
      </c>
      <c r="AJ46" s="13">
        <f>AI46*VLOOKUP('Données projet'!$B$10,Paramètres!$A$1:$I$89,3,0)*VLOOKUP('Données projet'!$B$10,Paramètres!$A$1:$I$89,5,0)</f>
        <v>99.124175000000008</v>
      </c>
      <c r="AK46" s="13">
        <f t="shared" si="35"/>
        <v>26.753237614333433</v>
      </c>
      <c r="AL46" s="20">
        <f t="shared" si="4"/>
        <v>219.23649363663071</v>
      </c>
      <c r="AM46" s="59">
        <f t="shared" si="5"/>
        <v>512.56982696996397</v>
      </c>
      <c r="AN46" s="59">
        <f ca="1">AVERAGE(OFFSET($AM$3,0,0,'Données projet'!$E$10+1,1))-AVERAGE(OFFSET($H$3,0,0,'Données projet'!$E$10+1,1))</f>
        <v>234.30804102916278</v>
      </c>
      <c r="AO46" s="59">
        <f t="shared" si="36"/>
        <v>91.137993288782411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15.618681318681309</v>
      </c>
      <c r="BD46" s="12">
        <f>IF('Données projet'!$A$88&gt;35,BD45+BC46-BL45,IF(A46&lt;'Données projet'!$A$88,$BA$205^A46,IF(A46='Données projet'!$A$88,'Données projet'!$B$88,BD45+BC46-BL45)))</f>
        <v>246.14175824175837</v>
      </c>
      <c r="BE46" s="13">
        <f>BD46*VLOOKUP('Données projet'!$B$11,Paramètres!$A$1:$I$89,3,0)*VLOOKUP('Données projet'!$B$11,Paramètres!$A$1:$I$89,5,0)</f>
        <v>115.19434285714291</v>
      </c>
      <c r="BF46" s="13">
        <f t="shared" si="37"/>
        <v>30.5515065129288</v>
      </c>
      <c r="BG46" s="20">
        <f t="shared" si="7"/>
        <v>253.84068765287489</v>
      </c>
      <c r="BH46" s="59">
        <f t="shared" si="8"/>
        <v>547.17402098620823</v>
      </c>
      <c r="BI46" s="59">
        <f ca="1">AVERAGE(OFFSET($BH$3,0,0,'Données projet'!$E$11+1,1))-AVERAGE(OFFSET($H$3,0,0,'Données projet'!$E$11+1,1))</f>
        <v>158.58786357608489</v>
      </c>
      <c r="BJ46" s="59">
        <f t="shared" si="38"/>
        <v>163.20074068819849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11.443589743589742</v>
      </c>
      <c r="BY46" s="12">
        <f>IF('Données projet'!$A$114&gt;35,BY45+BX46-CG45,IF(A46&lt;'Données projet'!$A$114,$BV$205^A46,IF(A46='Données projet'!$A$114,'Données projet'!$B$114,BY45+BX46-CG45)))</f>
        <v>296.02051282051286</v>
      </c>
      <c r="BZ46" s="13">
        <f>BY46*VLOOKUP('Données projet'!$B$12,Paramètres!$A$1:$I$89,3,0)*VLOOKUP('Données projet'!$B$12,Paramètres!$A$1:$I$89,5,0)</f>
        <v>138.53760000000003</v>
      </c>
      <c r="CA46" s="13">
        <f t="shared" si="39"/>
        <v>35.9617857252005</v>
      </c>
      <c r="CB46" s="20">
        <f t="shared" si="10"/>
        <v>303.91976347139087</v>
      </c>
      <c r="CC46" s="59">
        <f t="shared" si="11"/>
        <v>597.25309680472424</v>
      </c>
      <c r="CD46" s="59">
        <f ca="1">AVERAGE(OFFSET($CC$3,0,0,'Données projet'!$E$12+1,1))-AVERAGE(OFFSET($H$3,0,0,'Données projet'!$E$12+1,1))</f>
        <v>123.2823358462245</v>
      </c>
      <c r="CE46" s="59">
        <f t="shared" si="40"/>
        <v>92.75115399786057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11.861538461538462</v>
      </c>
      <c r="CT46" s="12">
        <f>IF('Données projet'!$A$140&gt;35,CT45+CS46-DB45,IF(A46&lt;'Données projet'!$A$140,$CQ$205^A46,IF(A46='Données projet'!$A$140,'Données projet'!$B$140,CT45+CS46-DB45)))</f>
        <v>208.05384615384617</v>
      </c>
      <c r="CU46" s="17">
        <f>CT46*VLOOKUP('Données projet'!$B$13,Paramètres!$A$1:$I$89,3,0)*VLOOKUP('Données projet'!$B$13,Paramètres!$A$1:$I$89,5,0)</f>
        <v>124.41620000000002</v>
      </c>
      <c r="CV46" s="13">
        <f t="shared" si="41"/>
        <v>32.702828934083335</v>
      </c>
      <c r="CW46" s="20">
        <f t="shared" si="13"/>
        <v>273.64897539352847</v>
      </c>
      <c r="CX46" s="59">
        <f t="shared" si="14"/>
        <v>566.98230872686179</v>
      </c>
      <c r="CY46" s="59">
        <f ca="1">AVERAGE(OFFSET($CX$3,0,0,'Données projet'!$E$13+1,1))-AVERAGE(OFFSET($H$3,0,0,'Données projet'!$E$13+1,1))</f>
        <v>179.32848817523677</v>
      </c>
      <c r="CZ46" s="59">
        <f t="shared" si="42"/>
        <v>131.3292389103035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9.1914154966446002</v>
      </c>
      <c r="DH46" s="21">
        <f>EXP(-LN(2)/2)*DH45+(1-EXP(-LN(2)/2))/(LN(2)/2)*DB46*DE46*VLOOKUP('Données projet'!$B$13,Paramètres!$A$1:$I$89,3,0)*0.475*44/12</f>
        <v>5.8147041017957334E-2</v>
      </c>
      <c r="DI46" s="22">
        <f t="shared" si="15"/>
        <v>9.2495625376625572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9.9423076923076934</v>
      </c>
      <c r="DO46" s="12">
        <f>IF('Données projet'!$A$166&gt;35,DO45+DN46-DW45,IF(A46&lt;'Données projet'!$A$166,$DL$205^A46,IF(A46='Données projet'!$A$166,'Données projet'!$B$166,DO45+DN46-DW45)))</f>
        <v>153.40384615384613</v>
      </c>
      <c r="DP46" s="17">
        <f>DO46*VLOOKUP('Données projet'!$B$14,Paramètres!$A$1:$I$89,3,0)*VLOOKUP('Données projet'!$B$14,Paramètres!$A$1:$I$89,5,0)</f>
        <v>148.37219999999999</v>
      </c>
      <c r="DQ46" s="13">
        <f t="shared" si="43"/>
        <v>38.208427642153666</v>
      </c>
      <c r="DR46" s="20">
        <f t="shared" si="16"/>
        <v>324.9612598100843</v>
      </c>
      <c r="DS46" s="59">
        <f t="shared" si="17"/>
        <v>618.29459314341761</v>
      </c>
      <c r="DT46" s="59">
        <f ca="1">AVERAGE(OFFSET($DS$3,0,0,'Données projet'!$E$14+1,1))-AVERAGE(OFFSET($H$3,0,0,'Données projet'!$E$14+1,1))</f>
        <v>340.4659523898373</v>
      </c>
      <c r="DU46" s="59">
        <f t="shared" si="44"/>
        <v>170.54530785680572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7.1434294871794854</v>
      </c>
      <c r="EJ46" s="12">
        <f>IF('Données projet'!$A$192&gt;35,EJ45+EI46-ER45,IF(A46&lt;'Données projet'!$A$192,$EG$205^A46,IF(A46='Données projet'!$A$192,'Données projet'!$B$192,EJ45+EI46-ER45)))</f>
        <v>109.55368589743591</v>
      </c>
      <c r="EK46" s="17">
        <f>EJ46*VLOOKUP('Données projet'!$B$15,Paramètres!$A$1:$I$89,3,0)*VLOOKUP('Données projet'!$B$15,Paramètres!$A$1:$I$89,5,0)</f>
        <v>105.96032500000003</v>
      </c>
      <c r="EL46" s="13">
        <f t="shared" si="45"/>
        <v>28.377142990292818</v>
      </c>
      <c r="EM46" s="20">
        <f t="shared" si="19"/>
        <v>233.97109008309337</v>
      </c>
      <c r="EN46" s="59">
        <f t="shared" si="20"/>
        <v>527.30442341642674</v>
      </c>
      <c r="EO46" s="59">
        <f ca="1">AVERAGE(OFFSET($EN$3,0,0,'Données projet'!$E$15+1,1))-AVERAGE(OFFSET($H$3,0,0,'Données projet'!$E$15+1,1))</f>
        <v>262.20955982183017</v>
      </c>
      <c r="EP46" s="59">
        <f t="shared" si="46"/>
        <v>101.35842063036193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7.7</v>
      </c>
      <c r="FE46" s="12">
        <f>IF('Données projet'!$A$218&gt;35,FE45+FD46-FM45,IF(A46&lt;'Données projet'!$A$218,$FB$205^A46,IF(A46='Données projet'!$A$218,'Données projet'!$B$218,FE45+FD46-FM45)))</f>
        <v>187.09999999999982</v>
      </c>
      <c r="FF46" s="17">
        <f>FE46*VLOOKUP('Données projet'!$B$16,Paramètres!$A$1:$I$89,3,0)*VLOOKUP('Données projet'!$B$16,Paramètres!$A$1:$I$89,5,0)</f>
        <v>148.85675999999987</v>
      </c>
      <c r="FG46" s="13">
        <f t="shared" si="47"/>
        <v>38.318664656580218</v>
      </c>
      <c r="FH46" s="20">
        <f t="shared" si="22"/>
        <v>325.9971979435436</v>
      </c>
      <c r="FI46" s="59">
        <f t="shared" si="23"/>
        <v>619.33053127687685</v>
      </c>
      <c r="FJ46" s="59">
        <f ca="1">AVERAGE(OFFSET($FI$3,0,0,'Données projet'!$E$16+1,1))-AVERAGE(OFFSET($H$3,0,0,'Données projet'!$E$16+1,1))</f>
        <v>199.58763537752952</v>
      </c>
      <c r="FK46" s="59">
        <f t="shared" si="48"/>
        <v>242.62852778451929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7.1710581509711933</v>
      </c>
      <c r="FS46" s="21">
        <f>EXP(-LN(2)/2)*FS45+(1-EXP(-LN(2)/2))/(LN(2)/2)*FM46*FP46*VLOOKUP('Données projet'!$B$16,Paramètres!$A$1:$I$89,3,0)*0.475*44/12</f>
        <v>0.11889954556220345</v>
      </c>
      <c r="FT46" s="22">
        <f t="shared" si="24"/>
        <v>7.2899576965333965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7.7</v>
      </c>
      <c r="FZ46" s="12">
        <f>IF('Données projet'!$A$244&gt;35,FZ45+FY46-GH45,IF(A46&lt;'Données projet'!$A$244,$FW$205^A46,IF(A46='Données projet'!$A$244,'Données projet'!$B$244,FZ45+FY46-GH45)))</f>
        <v>187.09999999999982</v>
      </c>
      <c r="GA46" s="17">
        <f>FZ46*VLOOKUP('Données projet'!$B$17,Paramètres!$A$1:$I$89,3,0)*VLOOKUP('Données projet'!$B$17,Paramètres!$A$1:$I$89,5,0)</f>
        <v>137.18171999999987</v>
      </c>
      <c r="GB46" s="13">
        <f t="shared" si="49"/>
        <v>35.650614977233133</v>
      </c>
      <c r="GC46" s="20">
        <f t="shared" si="25"/>
        <v>301.01631675201418</v>
      </c>
      <c r="GD46" s="59">
        <f t="shared" si="26"/>
        <v>594.34965008534755</v>
      </c>
      <c r="GE46" s="59">
        <f ca="1">AVERAGE(OFFSET($GD$3,0,0,'Données projet'!$E$17+1,1))-AVERAGE(OFFSET($H$3,0,0,'Données projet'!$E$17+1,1))</f>
        <v>178.12968684094687</v>
      </c>
      <c r="GF46" s="59">
        <f t="shared" si="50"/>
        <v>219.36004077210373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5.3617123651915604</v>
      </c>
      <c r="GN46" s="21">
        <f>EXP(-LN(2)/2)*GN45+(1-EXP(-LN(2)/2))/(LN(2)/2)*GH46*GK46*VLOOKUP('Données projet'!$B$17,Paramètres!$A$1:$I$89,3,0)*0.475*44/12</f>
        <v>0.10957409100830509</v>
      </c>
      <c r="GO46" s="21">
        <f t="shared" si="27"/>
        <v>5.4712864561998655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7.7</v>
      </c>
      <c r="GU46" s="12">
        <f>IF('Données projet'!$A$270&gt;35,GU45+GT46-HC45,IF(A46&lt;'Données projet'!$A$270,$GR$205^A46,IF(A46='Données projet'!$A$270,'Données projet'!$B$270,GU45+GT46-HC45)))</f>
        <v>187.09999999999982</v>
      </c>
      <c r="GV46" s="17">
        <f>GU46*VLOOKUP('Données projet'!$B$18,Paramètres!$A$1:$I$89,3,0)*VLOOKUP('Données projet'!$B$18,Paramètres!$A$1:$I$89,5,0)</f>
        <v>148.85675999999987</v>
      </c>
      <c r="GW46" s="13">
        <f t="shared" si="51"/>
        <v>38.318664656580218</v>
      </c>
      <c r="GX46" s="20">
        <f t="shared" si="28"/>
        <v>325.9971979435436</v>
      </c>
      <c r="GY46" s="59">
        <f t="shared" si="29"/>
        <v>619.33053127687685</v>
      </c>
      <c r="GZ46" s="59">
        <f ca="1">AVERAGE(OFFSET($GY$3,0,0,'Données projet'!$E$18+1,1))-AVERAGE(OFFSET($H$3,0,0,'Données projet'!$E$18+1,1))</f>
        <v>199.58763537752952</v>
      </c>
      <c r="HA46" s="59">
        <f t="shared" si="52"/>
        <v>242.62852778451929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7.1710581509711933</v>
      </c>
      <c r="HI46" s="21">
        <f>EXP(-LN(2)/2)*HI45+(1-EXP(-LN(2)/2))/(LN(2)/2)*HC46*HF46*VLOOKUP('Données projet'!$B$18,Paramètres!$A$1:$I$89,3,0)*0.475*44/12</f>
        <v>0.11889954556220345</v>
      </c>
      <c r="HJ46" s="22">
        <f t="shared" si="30"/>
        <v>7.2899576965333965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9.9423076923076934</v>
      </c>
      <c r="N47" s="13">
        <f>IF('Données projet'!$A$36&gt;35,N46+M47-V46,IF(A47&lt;'Données projet'!$A$36,$K$205^A47,IF(A47='Données projet'!$A$36,'Données projet'!$B$36,N46+M47-V46)))</f>
        <v>163.34615384615381</v>
      </c>
      <c r="O47" s="13">
        <f>N47*VLOOKUP('Données projet'!$B$9,Paramètres!$A$1:$I$89,3,0)*VLOOKUP('Données projet'!$B$9,Paramètres!$A$1:$I$89,5,0)</f>
        <v>147.79559999999995</v>
      </c>
      <c r="P47" s="13">
        <f t="shared" si="33"/>
        <v>38.077196976190542</v>
      </c>
      <c r="Q47" s="20">
        <f t="shared" si="53"/>
        <v>323.72845473353181</v>
      </c>
      <c r="R47" s="59">
        <f t="shared" si="0"/>
        <v>617.06178806686512</v>
      </c>
      <c r="S47" s="59">
        <f ca="1">AVERAGE(OFFSET($R$3,0,0,'Données projet'!$E$9+1,1))-AVERAGE(OFFSET($H$3,0,0,'Données projet'!$E$9+1,1))</f>
        <v>309.07357540707869</v>
      </c>
      <c r="T47" s="59">
        <f t="shared" si="34"/>
        <v>155.9593924683299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7.1434294871794854</v>
      </c>
      <c r="AI47" s="13">
        <f>IF('Données projet'!$A$62&gt;35,AI46+AH47-AQ46,IF(A47&lt;'Données projet'!$A$62,$AF$205^A47,IF(A47='Données projet'!$A$62,'Données projet'!$B$62,AI46+AH47-AQ46)))</f>
        <v>116.6971153846154</v>
      </c>
      <c r="AJ47" s="13">
        <f>AI47*VLOOKUP('Données projet'!$B$10,Paramètres!$A$1:$I$89,3,0)*VLOOKUP('Données projet'!$B$10,Paramètres!$A$1:$I$89,5,0)</f>
        <v>105.58755000000001</v>
      </c>
      <c r="AK47" s="13">
        <f t="shared" si="35"/>
        <v>28.288912863611564</v>
      </c>
      <c r="AL47" s="20">
        <f t="shared" si="4"/>
        <v>233.16817282079015</v>
      </c>
      <c r="AM47" s="59">
        <f t="shared" si="5"/>
        <v>526.50150615412349</v>
      </c>
      <c r="AN47" s="59">
        <f ca="1">AVERAGE(OFFSET($AM$3,0,0,'Données projet'!$E$10+1,1))-AVERAGE(OFFSET($H$3,0,0,'Données projet'!$E$10+1,1))</f>
        <v>234.30804102916278</v>
      </c>
      <c r="AO47" s="59">
        <f t="shared" si="36"/>
        <v>91.137993288782411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15.618681318681309</v>
      </c>
      <c r="BD47" s="12">
        <f>IF('Données projet'!$A$88&gt;35,BD46+BC47-BL46,IF(A47&lt;'Données projet'!$A$88,$BA$205^A47,IF(A47='Données projet'!$A$88,'Données projet'!$B$88,BD46+BC47-BL46)))</f>
        <v>261.76043956043969</v>
      </c>
      <c r="BE47" s="13">
        <f>BD47*VLOOKUP('Données projet'!$B$11,Paramètres!$A$1:$I$89,3,0)*VLOOKUP('Données projet'!$B$11,Paramètres!$A$1:$I$89,5,0)</f>
        <v>122.50388571428577</v>
      </c>
      <c r="BF47" s="13">
        <f t="shared" si="37"/>
        <v>32.258285776503719</v>
      </c>
      <c r="BG47" s="20">
        <f t="shared" si="7"/>
        <v>269.54411534645834</v>
      </c>
      <c r="BH47" s="59">
        <f t="shared" si="8"/>
        <v>562.87744867979166</v>
      </c>
      <c r="BI47" s="59">
        <f ca="1">AVERAGE(OFFSET($BH$3,0,0,'Données projet'!$E$11+1,1))-AVERAGE(OFFSET($H$3,0,0,'Données projet'!$E$11+1,1))</f>
        <v>158.58786357608489</v>
      </c>
      <c r="BJ47" s="59">
        <f t="shared" si="38"/>
        <v>163.20074068819849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11.443589743589742</v>
      </c>
      <c r="BY47" s="12">
        <f>IF('Données projet'!$A$114&gt;35,BY46+BX47-CG46,IF(A47&lt;'Données projet'!$A$114,$BV$205^A47,IF(A47='Données projet'!$A$114,'Données projet'!$B$114,BY46+BX47-CG46)))</f>
        <v>307.46410256410263</v>
      </c>
      <c r="BZ47" s="13">
        <f>BY47*VLOOKUP('Données projet'!$B$12,Paramètres!$A$1:$I$89,3,0)*VLOOKUP('Données projet'!$B$12,Paramètres!$A$1:$I$89,5,0)</f>
        <v>143.89320000000004</v>
      </c>
      <c r="CA47" s="13">
        <f t="shared" si="39"/>
        <v>37.187454199603145</v>
      </c>
      <c r="CB47" s="20">
        <f t="shared" si="10"/>
        <v>315.38213939764222</v>
      </c>
      <c r="CC47" s="59">
        <f t="shared" si="11"/>
        <v>608.71547273097553</v>
      </c>
      <c r="CD47" s="59">
        <f ca="1">AVERAGE(OFFSET($CC$3,0,0,'Données projet'!$E$12+1,1))-AVERAGE(OFFSET($H$3,0,0,'Données projet'!$E$12+1,1))</f>
        <v>123.2823358462245</v>
      </c>
      <c r="CE47" s="59">
        <f t="shared" si="40"/>
        <v>92.75115399786057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11.861538461538462</v>
      </c>
      <c r="CT47" s="12">
        <f>IF('Données projet'!$A$140&gt;35,CT46+CS47-DB46,IF(A47&lt;'Données projet'!$A$140,$CQ$205^A47,IF(A47='Données projet'!$A$140,'Données projet'!$B$140,CT46+CS47-DB46)))</f>
        <v>219.91538461538462</v>
      </c>
      <c r="CU47" s="17">
        <f>CT47*VLOOKUP('Données projet'!$B$13,Paramètres!$A$1:$I$89,3,0)*VLOOKUP('Données projet'!$B$13,Paramètres!$A$1:$I$89,5,0)</f>
        <v>131.50940000000003</v>
      </c>
      <c r="CV47" s="13">
        <f t="shared" si="41"/>
        <v>34.344902681781598</v>
      </c>
      <c r="CW47" s="20">
        <f t="shared" si="13"/>
        <v>288.86291050410301</v>
      </c>
      <c r="CX47" s="59">
        <f t="shared" si="14"/>
        <v>582.19624383743633</v>
      </c>
      <c r="CY47" s="59">
        <f ca="1">AVERAGE(OFFSET($CX$3,0,0,'Données projet'!$E$13+1,1))-AVERAGE(OFFSET($H$3,0,0,'Données projet'!$E$13+1,1))</f>
        <v>179.32848817523677</v>
      </c>
      <c r="CZ47" s="59">
        <f t="shared" si="42"/>
        <v>131.3292389103035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8.9400757565333198</v>
      </c>
      <c r="DH47" s="21">
        <f>EXP(-LN(2)/2)*DH46+(1-EXP(-LN(2)/2))/(LN(2)/2)*DB47*DE47*VLOOKUP('Données projet'!$B$13,Paramètres!$A$1:$I$89,3,0)*0.475*44/12</f>
        <v>4.1116167009729962E-2</v>
      </c>
      <c r="DI47" s="22">
        <f t="shared" si="15"/>
        <v>8.9811919235430491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9.9423076923076934</v>
      </c>
      <c r="DO47" s="12">
        <f>IF('Données projet'!$A$166&gt;35,DO46+DN47-DW46,IF(A47&lt;'Données projet'!$A$166,$DL$205^A47,IF(A47='Données projet'!$A$166,'Données projet'!$B$166,DO46+DN47-DW46)))</f>
        <v>163.34615384615381</v>
      </c>
      <c r="DP47" s="17">
        <f>DO47*VLOOKUP('Données projet'!$B$14,Paramètres!$A$1:$I$89,3,0)*VLOOKUP('Données projet'!$B$14,Paramètres!$A$1:$I$89,5,0)</f>
        <v>157.98839999999996</v>
      </c>
      <c r="DQ47" s="13">
        <f t="shared" si="43"/>
        <v>40.388459850706035</v>
      </c>
      <c r="DR47" s="20">
        <f t="shared" si="16"/>
        <v>345.50636423997958</v>
      </c>
      <c r="DS47" s="59">
        <f t="shared" si="17"/>
        <v>638.83969757331283</v>
      </c>
      <c r="DT47" s="59">
        <f ca="1">AVERAGE(OFFSET($DS$3,0,0,'Données projet'!$E$14+1,1))-AVERAGE(OFFSET($H$3,0,0,'Données projet'!$E$14+1,1))</f>
        <v>340.4659523898373</v>
      </c>
      <c r="DU47" s="59">
        <f t="shared" si="44"/>
        <v>170.54530785680572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7.1434294871794854</v>
      </c>
      <c r="EJ47" s="12">
        <f>IF('Données projet'!$A$192&gt;35,EJ46+EI47-ER46,IF(A47&lt;'Données projet'!$A$192,$EG$205^A47,IF(A47='Données projet'!$A$192,'Données projet'!$B$192,EJ46+EI47-ER46)))</f>
        <v>116.6971153846154</v>
      </c>
      <c r="EK47" s="17">
        <f>EJ47*VLOOKUP('Données projet'!$B$15,Paramètres!$A$1:$I$89,3,0)*VLOOKUP('Données projet'!$B$15,Paramètres!$A$1:$I$89,5,0)</f>
        <v>112.86945000000001</v>
      </c>
      <c r="EL47" s="13">
        <f t="shared" si="45"/>
        <v>30.006032800327333</v>
      </c>
      <c r="EM47" s="20">
        <f t="shared" si="19"/>
        <v>248.8414658772368</v>
      </c>
      <c r="EN47" s="59">
        <f t="shared" si="20"/>
        <v>542.17479921057009</v>
      </c>
      <c r="EO47" s="59">
        <f ca="1">AVERAGE(OFFSET($EN$3,0,0,'Données projet'!$E$15+1,1))-AVERAGE(OFFSET($H$3,0,0,'Données projet'!$E$15+1,1))</f>
        <v>262.20955982183017</v>
      </c>
      <c r="EP47" s="59">
        <f t="shared" si="46"/>
        <v>101.35842063036193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7.7</v>
      </c>
      <c r="FE47" s="12">
        <f>IF('Données projet'!$A$218&gt;35,FE46+FD47-FM46,IF(A47&lt;'Données projet'!$A$218,$FB$205^A47,IF(A47='Données projet'!$A$218,'Données projet'!$B$218,FE46+FD47-FM46)))</f>
        <v>194.79999999999981</v>
      </c>
      <c r="FF47" s="17">
        <f>FE47*VLOOKUP('Données projet'!$B$16,Paramètres!$A$1:$I$89,3,0)*VLOOKUP('Données projet'!$B$16,Paramètres!$A$1:$I$89,5,0)</f>
        <v>154.98287999999985</v>
      </c>
      <c r="FG47" s="13">
        <f t="shared" si="47"/>
        <v>39.708800288935478</v>
      </c>
      <c r="FH47" s="20">
        <f t="shared" si="22"/>
        <v>339.08800983656238</v>
      </c>
      <c r="FI47" s="59">
        <f t="shared" si="23"/>
        <v>632.42134316989564</v>
      </c>
      <c r="FJ47" s="59">
        <f ca="1">AVERAGE(OFFSET($FI$3,0,0,'Données projet'!$E$16+1,1))-AVERAGE(OFFSET($H$3,0,0,'Données projet'!$E$16+1,1))</f>
        <v>199.58763537752952</v>
      </c>
      <c r="FK47" s="59">
        <f t="shared" si="48"/>
        <v>242.62852778451929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6.9749651887233277</v>
      </c>
      <c r="FS47" s="21">
        <f>EXP(-LN(2)/2)*FS46+(1-EXP(-LN(2)/2))/(LN(2)/2)*FM47*FP47*VLOOKUP('Données projet'!$B$16,Paramètres!$A$1:$I$89,3,0)*0.475*44/12</f>
        <v>8.407467494703294E-2</v>
      </c>
      <c r="FT47" s="22">
        <f t="shared" si="24"/>
        <v>7.0590398636703604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7.7</v>
      </c>
      <c r="FZ47" s="12">
        <f>IF('Données projet'!$A$244&gt;35,FZ46+FY47-GH46,IF(A47&lt;'Données projet'!$A$244,$FW$205^A47,IF(A47='Données projet'!$A$244,'Données projet'!$B$244,FZ46+FY47-GH46)))</f>
        <v>194.79999999999981</v>
      </c>
      <c r="GA47" s="17">
        <f>FZ47*VLOOKUP('Données projet'!$B$17,Paramètres!$A$1:$I$89,3,0)*VLOOKUP('Données projet'!$B$17,Paramètres!$A$1:$I$89,5,0)</f>
        <v>142.82735999999986</v>
      </c>
      <c r="GB47" s="13">
        <f t="shared" si="49"/>
        <v>36.943958329340774</v>
      </c>
      <c r="GC47" s="20">
        <f t="shared" si="25"/>
        <v>313.10171275693489</v>
      </c>
      <c r="GD47" s="59">
        <f t="shared" si="26"/>
        <v>606.4350460902682</v>
      </c>
      <c r="GE47" s="59">
        <f ca="1">AVERAGE(OFFSET($GD$3,0,0,'Données projet'!$E$17+1,1))-AVERAGE(OFFSET($H$3,0,0,'Données projet'!$E$17+1,1))</f>
        <v>178.12968684094687</v>
      </c>
      <c r="GF47" s="59">
        <f t="shared" si="50"/>
        <v>219.36004077210373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5.215096058605198</v>
      </c>
      <c r="GN47" s="21">
        <f>EXP(-LN(2)/2)*GN46+(1-EXP(-LN(2)/2))/(LN(2)/2)*GH47*GK47*VLOOKUP('Données projet'!$B$17,Paramètres!$A$1:$I$89,3,0)*0.475*44/12</f>
        <v>7.7480582794324432E-2</v>
      </c>
      <c r="GO47" s="21">
        <f t="shared" si="27"/>
        <v>5.2925766413995223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7.7</v>
      </c>
      <c r="GU47" s="12">
        <f>IF('Données projet'!$A$270&gt;35,GU46+GT47-HC46,IF(A47&lt;'Données projet'!$A$270,$GR$205^A47,IF(A47='Données projet'!$A$270,'Données projet'!$B$270,GU46+GT47-HC46)))</f>
        <v>194.79999999999981</v>
      </c>
      <c r="GV47" s="17">
        <f>GU47*VLOOKUP('Données projet'!$B$18,Paramètres!$A$1:$I$89,3,0)*VLOOKUP('Données projet'!$B$18,Paramètres!$A$1:$I$89,5,0)</f>
        <v>154.98287999999985</v>
      </c>
      <c r="GW47" s="13">
        <f t="shared" si="51"/>
        <v>39.708800288935478</v>
      </c>
      <c r="GX47" s="20">
        <f t="shared" si="28"/>
        <v>339.08800983656238</v>
      </c>
      <c r="GY47" s="59">
        <f t="shared" si="29"/>
        <v>632.42134316989564</v>
      </c>
      <c r="GZ47" s="59">
        <f ca="1">AVERAGE(OFFSET($GY$3,0,0,'Données projet'!$E$18+1,1))-AVERAGE(OFFSET($H$3,0,0,'Données projet'!$E$18+1,1))</f>
        <v>199.58763537752952</v>
      </c>
      <c r="HA47" s="59">
        <f t="shared" si="52"/>
        <v>242.62852778451929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6.9749651887233277</v>
      </c>
      <c r="HI47" s="21">
        <f>EXP(-LN(2)/2)*HI46+(1-EXP(-LN(2)/2))/(LN(2)/2)*HC47*HF47*VLOOKUP('Données projet'!$B$18,Paramètres!$A$1:$I$89,3,0)*0.475*44/12</f>
        <v>8.407467494703294E-2</v>
      </c>
      <c r="HJ47" s="22">
        <f t="shared" si="30"/>
        <v>7.0590398636703604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9.9423076923076934</v>
      </c>
      <c r="N48" s="13">
        <f>IF('Données projet'!$A$36&gt;35,N47+M48-V47,IF(A48&lt;'Données projet'!$A$36,$K$205^A48,IF(A48='Données projet'!$A$36,'Données projet'!$B$36,N47+M48-V47)))</f>
        <v>173.28846153846149</v>
      </c>
      <c r="O48" s="13">
        <f>N48*VLOOKUP('Données projet'!$B$9,Paramètres!$A$1:$I$89,3,0)*VLOOKUP('Données projet'!$B$9,Paramètres!$A$1:$I$89,5,0)</f>
        <v>156.79139999999995</v>
      </c>
      <c r="P48" s="13">
        <f t="shared" si="33"/>
        <v>40.117955688416771</v>
      </c>
      <c r="Q48" s="20">
        <f t="shared" si="53"/>
        <v>342.95046115732583</v>
      </c>
      <c r="R48" s="59">
        <f t="shared" si="0"/>
        <v>636.28379449065915</v>
      </c>
      <c r="S48" s="59">
        <f ca="1">AVERAGE(OFFSET($R$3,0,0,'Données projet'!$E$9+1,1))-AVERAGE(OFFSET($H$3,0,0,'Données projet'!$E$9+1,1))</f>
        <v>309.07357540707869</v>
      </c>
      <c r="T48" s="59">
        <f t="shared" si="34"/>
        <v>155.9593924683299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7.1434294871794854</v>
      </c>
      <c r="AI48" s="13">
        <f>IF('Données projet'!$A$62&gt;35,AI47+AH48-AQ47,IF(A48&lt;'Données projet'!$A$62,$AF$205^A48,IF(A48='Données projet'!$A$62,'Données projet'!$B$62,AI47+AH48-AQ47)))</f>
        <v>123.84054487179489</v>
      </c>
      <c r="AJ48" s="13">
        <f>AI48*VLOOKUP('Données projet'!$B$10,Paramètres!$A$1:$I$89,3,0)*VLOOKUP('Données projet'!$B$10,Paramètres!$A$1:$I$89,5,0)</f>
        <v>112.05092500000001</v>
      </c>
      <c r="AK48" s="13">
        <f t="shared" si="35"/>
        <v>29.813677753924459</v>
      </c>
      <c r="AL48" s="20">
        <f t="shared" si="4"/>
        <v>247.08084979641842</v>
      </c>
      <c r="AM48" s="59">
        <f t="shared" si="5"/>
        <v>540.41418312975179</v>
      </c>
      <c r="AN48" s="59">
        <f ca="1">AVERAGE(OFFSET($AM$3,0,0,'Données projet'!$E$10+1,1))-AVERAGE(OFFSET($H$3,0,0,'Données projet'!$E$10+1,1))</f>
        <v>234.30804102916278</v>
      </c>
      <c r="AO48" s="59">
        <f t="shared" si="36"/>
        <v>91.137993288782411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15.618681318681309</v>
      </c>
      <c r="BD48" s="12">
        <f>IF('Données projet'!$A$88&gt;35,BD47+BC48-BL47,IF(A48&lt;'Données projet'!$A$88,$BA$205^A48,IF(A48='Données projet'!$A$88,'Données projet'!$B$88,BD47+BC48-BL47)))</f>
        <v>277.37912087912099</v>
      </c>
      <c r="BE48" s="13">
        <f>BD48*VLOOKUP('Données projet'!$B$11,Paramètres!$A$1:$I$89,3,0)*VLOOKUP('Données projet'!$B$11,Paramètres!$A$1:$I$89,5,0)</f>
        <v>129.81342857142863</v>
      </c>
      <c r="BF48" s="13">
        <f t="shared" si="37"/>
        <v>33.953244550224326</v>
      </c>
      <c r="BG48" s="20">
        <f t="shared" si="7"/>
        <v>285.22695568687891</v>
      </c>
      <c r="BH48" s="59">
        <f t="shared" si="8"/>
        <v>578.56028902021217</v>
      </c>
      <c r="BI48" s="59">
        <f ca="1">AVERAGE(OFFSET($BH$3,0,0,'Données projet'!$E$11+1,1))-AVERAGE(OFFSET($H$3,0,0,'Données projet'!$E$11+1,1))</f>
        <v>158.58786357608489</v>
      </c>
      <c r="BJ48" s="59">
        <f t="shared" si="38"/>
        <v>163.20074068819849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11.443589743589742</v>
      </c>
      <c r="BY48" s="12">
        <f>IF('Données projet'!$A$114&gt;35,BY47+BX48-CG47,IF(A48&lt;'Données projet'!$A$114,$BV$205^A48,IF(A48='Données projet'!$A$114,'Données projet'!$B$114,BY47+BX48-CG47)))</f>
        <v>318.9076923076924</v>
      </c>
      <c r="BZ48" s="13">
        <f>BY48*VLOOKUP('Données projet'!$B$12,Paramètres!$A$1:$I$89,3,0)*VLOOKUP('Données projet'!$B$12,Paramètres!$A$1:$I$89,5,0)</f>
        <v>149.24880000000005</v>
      </c>
      <c r="CA48" s="13">
        <f t="shared" si="39"/>
        <v>38.40782287536252</v>
      </c>
      <c r="CB48" s="20">
        <f t="shared" si="10"/>
        <v>326.83528484125645</v>
      </c>
      <c r="CC48" s="59">
        <f t="shared" si="11"/>
        <v>620.16861817458971</v>
      </c>
      <c r="CD48" s="59">
        <f ca="1">AVERAGE(OFFSET($CC$3,0,0,'Données projet'!$E$12+1,1))-AVERAGE(OFFSET($H$3,0,0,'Données projet'!$E$12+1,1))</f>
        <v>123.2823358462245</v>
      </c>
      <c r="CE48" s="59">
        <f t="shared" si="40"/>
        <v>92.75115399786057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11.861538461538462</v>
      </c>
      <c r="CT48" s="12">
        <f>IF('Données projet'!$A$140&gt;35,CT47+CS48-DB47,IF(A48&lt;'Données projet'!$A$140,$CQ$205^A48,IF(A48='Données projet'!$A$140,'Données projet'!$B$140,CT47+CS48-DB47)))</f>
        <v>231.77692307692308</v>
      </c>
      <c r="CU48" s="17">
        <f>CT48*VLOOKUP('Données projet'!$B$13,Paramètres!$A$1:$I$89,3,0)*VLOOKUP('Données projet'!$B$13,Paramètres!$A$1:$I$89,5,0)</f>
        <v>138.60260000000002</v>
      </c>
      <c r="CV48" s="13">
        <f t="shared" si="41"/>
        <v>35.976694116938233</v>
      </c>
      <c r="CW48" s="20">
        <f t="shared" si="13"/>
        <v>304.05893725366747</v>
      </c>
      <c r="CX48" s="59">
        <f t="shared" si="14"/>
        <v>597.39227058700078</v>
      </c>
      <c r="CY48" s="59">
        <f ca="1">AVERAGE(OFFSET($CX$3,0,0,'Données projet'!$E$13+1,1))-AVERAGE(OFFSET($H$3,0,0,'Données projet'!$E$13+1,1))</f>
        <v>179.32848817523677</v>
      </c>
      <c r="CZ48" s="59">
        <f t="shared" si="42"/>
        <v>131.3292389103035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8.6956089148327642</v>
      </c>
      <c r="DH48" s="21">
        <f>EXP(-LN(2)/2)*DH47+(1-EXP(-LN(2)/2))/(LN(2)/2)*DB48*DE48*VLOOKUP('Données projet'!$B$13,Paramètres!$A$1:$I$89,3,0)*0.475*44/12</f>
        <v>2.907352050897867E-2</v>
      </c>
      <c r="DI48" s="22">
        <f t="shared" si="15"/>
        <v>8.7246824353417427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9.9423076923076934</v>
      </c>
      <c r="DO48" s="12">
        <f>IF('Données projet'!$A$166&gt;35,DO47+DN48-DW47,IF(A48&lt;'Données projet'!$A$166,$DL$205^A48,IF(A48='Données projet'!$A$166,'Données projet'!$B$166,DO47+DN48-DW47)))</f>
        <v>173.28846153846149</v>
      </c>
      <c r="DP48" s="17">
        <f>DO48*VLOOKUP('Données projet'!$B$14,Paramètres!$A$1:$I$89,3,0)*VLOOKUP('Données projet'!$B$14,Paramètres!$A$1:$I$89,5,0)</f>
        <v>167.60459999999998</v>
      </c>
      <c r="DQ48" s="13">
        <f t="shared" si="43"/>
        <v>42.553091385040481</v>
      </c>
      <c r="DR48" s="20">
        <f t="shared" si="16"/>
        <v>366.02464582894544</v>
      </c>
      <c r="DS48" s="59">
        <f t="shared" si="17"/>
        <v>659.35797916227875</v>
      </c>
      <c r="DT48" s="59">
        <f ca="1">AVERAGE(OFFSET($DS$3,0,0,'Données projet'!$E$14+1,1))-AVERAGE(OFFSET($H$3,0,0,'Données projet'!$E$14+1,1))</f>
        <v>340.4659523898373</v>
      </c>
      <c r="DU48" s="59">
        <f t="shared" si="44"/>
        <v>170.54530785680572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7.1434294871794854</v>
      </c>
      <c r="EJ48" s="12">
        <f>IF('Données projet'!$A$192&gt;35,EJ47+EI48-ER47,IF(A48&lt;'Données projet'!$A$192,$EG$205^A48,IF(A48='Données projet'!$A$192,'Données projet'!$B$192,EJ47+EI48-ER47)))</f>
        <v>123.84054487179489</v>
      </c>
      <c r="EK48" s="17">
        <f>EJ48*VLOOKUP('Données projet'!$B$15,Paramètres!$A$1:$I$89,3,0)*VLOOKUP('Données projet'!$B$15,Paramètres!$A$1:$I$89,5,0)</f>
        <v>119.77857500000002</v>
      </c>
      <c r="EL48" s="13">
        <f t="shared" si="45"/>
        <v>31.62334999919247</v>
      </c>
      <c r="EM48" s="20">
        <f t="shared" si="19"/>
        <v>263.69168604026027</v>
      </c>
      <c r="EN48" s="59">
        <f t="shared" si="20"/>
        <v>557.02501937359352</v>
      </c>
      <c r="EO48" s="59">
        <f ca="1">AVERAGE(OFFSET($EN$3,0,0,'Données projet'!$E$15+1,1))-AVERAGE(OFFSET($H$3,0,0,'Données projet'!$E$15+1,1))</f>
        <v>262.20955982183017</v>
      </c>
      <c r="EP48" s="59">
        <f t="shared" si="46"/>
        <v>101.35842063036193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7.7</v>
      </c>
      <c r="FE48" s="12">
        <f>IF('Données projet'!$A$218&gt;35,FE47+FD48-FM47,IF(A48&lt;'Données projet'!$A$218,$FB$205^A48,IF(A48='Données projet'!$A$218,'Données projet'!$B$218,FE47+FD48-FM47)))</f>
        <v>202.4999999999998</v>
      </c>
      <c r="FF48" s="17">
        <f>FE48*VLOOKUP('Données projet'!$B$16,Paramètres!$A$1:$I$89,3,0)*VLOOKUP('Données projet'!$B$16,Paramètres!$A$1:$I$89,5,0)</f>
        <v>161.10899999999987</v>
      </c>
      <c r="FG48" s="13">
        <f t="shared" si="47"/>
        <v>41.092552806229506</v>
      </c>
      <c r="FH48" s="20">
        <f t="shared" si="22"/>
        <v>352.16770447084946</v>
      </c>
      <c r="FI48" s="59">
        <f t="shared" si="23"/>
        <v>645.50103780418272</v>
      </c>
      <c r="FJ48" s="59">
        <f ca="1">AVERAGE(OFFSET($FI$3,0,0,'Données projet'!$E$16+1,1))-AVERAGE(OFFSET($H$3,0,0,'Données projet'!$E$16+1,1))</f>
        <v>199.58763537752952</v>
      </c>
      <c r="FK48" s="59">
        <f t="shared" si="48"/>
        <v>242.62852778451929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6.7842343988402103</v>
      </c>
      <c r="FS48" s="21">
        <f>EXP(-LN(2)/2)*FS47+(1-EXP(-LN(2)/2))/(LN(2)/2)*FM48*FP48*VLOOKUP('Données projet'!$B$16,Paramètres!$A$1:$I$89,3,0)*0.475*44/12</f>
        <v>5.9449772781101737E-2</v>
      </c>
      <c r="FT48" s="22">
        <f t="shared" si="24"/>
        <v>6.8436841716213124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7.7</v>
      </c>
      <c r="FZ48" s="12">
        <f>IF('Données projet'!$A$244&gt;35,FZ47+FY48-GH47,IF(A48&lt;'Données projet'!$A$244,$FW$205^A48,IF(A48='Données projet'!$A$244,'Données projet'!$B$244,FZ47+FY48-GH47)))</f>
        <v>202.4999999999998</v>
      </c>
      <c r="GA48" s="17">
        <f>FZ48*VLOOKUP('Données projet'!$B$17,Paramètres!$A$1:$I$89,3,0)*VLOOKUP('Données projet'!$B$17,Paramètres!$A$1:$I$89,5,0)</f>
        <v>148.47299999999984</v>
      </c>
      <c r="GB48" s="13">
        <f t="shared" si="49"/>
        <v>38.231363009538931</v>
      </c>
      <c r="GC48" s="20">
        <f t="shared" si="25"/>
        <v>325.17676557494673</v>
      </c>
      <c r="GD48" s="59">
        <f t="shared" si="26"/>
        <v>618.51009890828004</v>
      </c>
      <c r="GE48" s="59">
        <f ca="1">AVERAGE(OFFSET($GD$3,0,0,'Données projet'!$E$17+1,1))-AVERAGE(OFFSET($H$3,0,0,'Données projet'!$E$17+1,1))</f>
        <v>178.12968684094687</v>
      </c>
      <c r="GF48" s="59">
        <f t="shared" si="50"/>
        <v>219.36004077210373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5.072488982632656</v>
      </c>
      <c r="GN48" s="21">
        <f>EXP(-LN(2)/2)*GN47+(1-EXP(-LN(2)/2))/(LN(2)/2)*GH48*GK48*VLOOKUP('Données projet'!$B$17,Paramètres!$A$1:$I$89,3,0)*0.475*44/12</f>
        <v>5.4787045504152546E-2</v>
      </c>
      <c r="GO48" s="21">
        <f t="shared" si="27"/>
        <v>5.1272760281368086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7.7</v>
      </c>
      <c r="GU48" s="12">
        <f>IF('Données projet'!$A$270&gt;35,GU47+GT48-HC47,IF(A48&lt;'Données projet'!$A$270,$GR$205^A48,IF(A48='Données projet'!$A$270,'Données projet'!$B$270,GU47+GT48-HC47)))</f>
        <v>202.4999999999998</v>
      </c>
      <c r="GV48" s="17">
        <f>GU48*VLOOKUP('Données projet'!$B$18,Paramètres!$A$1:$I$89,3,0)*VLOOKUP('Données projet'!$B$18,Paramètres!$A$1:$I$89,5,0)</f>
        <v>161.10899999999987</v>
      </c>
      <c r="GW48" s="13">
        <f t="shared" si="51"/>
        <v>41.092552806229506</v>
      </c>
      <c r="GX48" s="20">
        <f t="shared" si="28"/>
        <v>352.16770447084946</v>
      </c>
      <c r="GY48" s="59">
        <f t="shared" si="29"/>
        <v>645.50103780418272</v>
      </c>
      <c r="GZ48" s="59">
        <f ca="1">AVERAGE(OFFSET($GY$3,0,0,'Données projet'!$E$18+1,1))-AVERAGE(OFFSET($H$3,0,0,'Données projet'!$E$18+1,1))</f>
        <v>199.58763537752952</v>
      </c>
      <c r="HA48" s="59">
        <f t="shared" si="52"/>
        <v>242.62852778451929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6.7842343988402103</v>
      </c>
      <c r="HI48" s="21">
        <f>EXP(-LN(2)/2)*HI47+(1-EXP(-LN(2)/2))/(LN(2)/2)*HC48*HF48*VLOOKUP('Données projet'!$B$18,Paramètres!$A$1:$I$89,3,0)*0.475*44/12</f>
        <v>5.9449772781101737E-2</v>
      </c>
      <c r="HJ48" s="22">
        <f t="shared" si="30"/>
        <v>6.8436841716213124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9.9423076923076934</v>
      </c>
      <c r="N49" s="13">
        <f>IF('Données projet'!$A$36&gt;35,N48+M49-V48,IF(A49&lt;'Données projet'!$A$36,$K$205^A49,IF(A49='Données projet'!$A$36,'Données projet'!$B$36,N48+M49-V48)))</f>
        <v>183.23076923076917</v>
      </c>
      <c r="O49" s="13">
        <f>N49*VLOOKUP('Données projet'!$B$9,Paramètres!$A$1:$I$89,3,0)*VLOOKUP('Données projet'!$B$9,Paramètres!$A$1:$I$89,5,0)</f>
        <v>165.78719999999993</v>
      </c>
      <c r="P49" s="13">
        <f t="shared" si="33"/>
        <v>42.145122994841088</v>
      </c>
      <c r="Q49" s="20">
        <f t="shared" si="53"/>
        <v>362.14879588268133</v>
      </c>
      <c r="R49" s="59">
        <f t="shared" si="0"/>
        <v>655.48212921601464</v>
      </c>
      <c r="S49" s="59">
        <f ca="1">AVERAGE(OFFSET($R$3,0,0,'Données projet'!$E$9+1,1))-AVERAGE(OFFSET($H$3,0,0,'Données projet'!$E$9+1,1))</f>
        <v>309.07357540707869</v>
      </c>
      <c r="T49" s="59">
        <f t="shared" si="34"/>
        <v>155.9593924683299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7.1434294871794854</v>
      </c>
      <c r="AI49" s="13">
        <f>IF('Données projet'!$A$62&gt;35,AI48+AH49-AQ48,IF(A49&lt;'Données projet'!$A$62,$AF$205^A49,IF(A49='Données projet'!$A$62,'Données projet'!$B$62,AI48+AH49-AQ48)))</f>
        <v>130.98397435897436</v>
      </c>
      <c r="AJ49" s="13">
        <f>AI49*VLOOKUP('Données projet'!$B$10,Paramètres!$A$1:$I$89,3,0)*VLOOKUP('Données projet'!$B$10,Paramètres!$A$1:$I$89,5,0)</f>
        <v>118.51430000000001</v>
      </c>
      <c r="AK49" s="13">
        <f t="shared" si="35"/>
        <v>31.328233322607272</v>
      </c>
      <c r="AL49" s="20">
        <f t="shared" si="4"/>
        <v>260.97574553687434</v>
      </c>
      <c r="AM49" s="59">
        <f t="shared" si="5"/>
        <v>554.30907887020771</v>
      </c>
      <c r="AN49" s="59">
        <f ca="1">AVERAGE(OFFSET($AM$3,0,0,'Données projet'!$E$10+1,1))-AVERAGE(OFFSET($H$3,0,0,'Données projet'!$E$10+1,1))</f>
        <v>234.30804102916278</v>
      </c>
      <c r="AO49" s="59">
        <f t="shared" si="36"/>
        <v>91.137993288782411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15.618681318681309</v>
      </c>
      <c r="BD49" s="12">
        <f>IF('Données projet'!$A$88&gt;35,BD48+BC49-BL48,IF(A49&lt;'Données projet'!$A$88,$BA$205^A49,IF(A49='Données projet'!$A$88,'Données projet'!$B$88,BD48+BC49-BL48)))</f>
        <v>292.99780219780229</v>
      </c>
      <c r="BE49" s="13">
        <f>BD49*VLOOKUP('Données projet'!$B$11,Paramètres!$A$1:$I$89,3,0)*VLOOKUP('Données projet'!$B$11,Paramètres!$A$1:$I$89,5,0)</f>
        <v>137.12297142857147</v>
      </c>
      <c r="BF49" s="13">
        <f t="shared" si="37"/>
        <v>35.63712427284996</v>
      </c>
      <c r="BG49" s="20">
        <f t="shared" si="7"/>
        <v>300.89050001330901</v>
      </c>
      <c r="BH49" s="59">
        <f t="shared" si="8"/>
        <v>594.22383334664232</v>
      </c>
      <c r="BI49" s="59">
        <f ca="1">AVERAGE(OFFSET($BH$3,0,0,'Données projet'!$E$11+1,1))-AVERAGE(OFFSET($H$3,0,0,'Données projet'!$E$11+1,1))</f>
        <v>158.58786357608489</v>
      </c>
      <c r="BJ49" s="59">
        <f t="shared" si="38"/>
        <v>163.20074068819849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11.443589743589742</v>
      </c>
      <c r="BY49" s="12">
        <f>IF('Données projet'!$A$114&gt;35,BY48+BX49-CG48,IF(A49&lt;'Données projet'!$A$114,$BV$205^A49,IF(A49='Données projet'!$A$114,'Données projet'!$B$114,BY48+BX49-CG48)))</f>
        <v>330.35128205128217</v>
      </c>
      <c r="BZ49" s="13">
        <f>BY49*VLOOKUP('Données projet'!$B$12,Paramètres!$A$1:$I$89,3,0)*VLOOKUP('Données projet'!$B$12,Paramètres!$A$1:$I$89,5,0)</f>
        <v>154.60440000000006</v>
      </c>
      <c r="CA49" s="13">
        <f t="shared" si="39"/>
        <v>39.623103715153171</v>
      </c>
      <c r="CB49" s="20">
        <f t="shared" si="10"/>
        <v>338.2795689705585</v>
      </c>
      <c r="CC49" s="59">
        <f t="shared" si="11"/>
        <v>631.61290230389181</v>
      </c>
      <c r="CD49" s="59">
        <f ca="1">AVERAGE(OFFSET($CC$3,0,0,'Données projet'!$E$12+1,1))-AVERAGE(OFFSET($H$3,0,0,'Données projet'!$E$12+1,1))</f>
        <v>123.2823358462245</v>
      </c>
      <c r="CE49" s="59">
        <f t="shared" si="40"/>
        <v>92.75115399786057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11.861538461538462</v>
      </c>
      <c r="CT49" s="12">
        <f>IF('Données projet'!$A$140&gt;35,CT48+CS49-DB48,IF(A49&lt;'Données projet'!$A$140,$CQ$205^A49,IF(A49='Données projet'!$A$140,'Données projet'!$B$140,CT48+CS49-DB48)))</f>
        <v>243.63846153846154</v>
      </c>
      <c r="CU49" s="17">
        <f>CT49*VLOOKUP('Données projet'!$B$13,Paramètres!$A$1:$I$89,3,0)*VLOOKUP('Données projet'!$B$13,Paramètres!$A$1:$I$89,5,0)</f>
        <v>145.69580000000002</v>
      </c>
      <c r="CV49" s="13">
        <f t="shared" si="41"/>
        <v>37.598789481990465</v>
      </c>
      <c r="CW49" s="20">
        <f t="shared" si="13"/>
        <v>319.23807668113341</v>
      </c>
      <c r="CX49" s="59">
        <f t="shared" si="14"/>
        <v>612.57141001446666</v>
      </c>
      <c r="CY49" s="59">
        <f ca="1">AVERAGE(OFFSET($CX$3,0,0,'Données projet'!$E$13+1,1))-AVERAGE(OFFSET($H$3,0,0,'Données projet'!$E$13+1,1))</f>
        <v>179.32848817523677</v>
      </c>
      <c r="CZ49" s="59">
        <f t="shared" si="42"/>
        <v>131.3292389103035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8.4578270317744639</v>
      </c>
      <c r="DH49" s="21">
        <f>EXP(-LN(2)/2)*DH48+(1-EXP(-LN(2)/2))/(LN(2)/2)*DB49*DE49*VLOOKUP('Données projet'!$B$13,Paramètres!$A$1:$I$89,3,0)*0.475*44/12</f>
        <v>2.0558083504864984E-2</v>
      </c>
      <c r="DI49" s="22">
        <f t="shared" si="15"/>
        <v>8.4783851152793286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9.9423076923076934</v>
      </c>
      <c r="DO49" s="12">
        <f>IF('Données projet'!$A$166&gt;35,DO48+DN49-DW48,IF(A49&lt;'Données projet'!$A$166,$DL$205^A49,IF(A49='Données projet'!$A$166,'Données projet'!$B$166,DO48+DN49-DW48)))</f>
        <v>183.23076923076917</v>
      </c>
      <c r="DP49" s="17">
        <f>DO49*VLOOKUP('Données projet'!$B$14,Paramètres!$A$1:$I$89,3,0)*VLOOKUP('Données projet'!$B$14,Paramètres!$A$1:$I$89,5,0)</f>
        <v>177.22079999999994</v>
      </c>
      <c r="DQ49" s="13">
        <f t="shared" si="43"/>
        <v>44.703306523444198</v>
      </c>
      <c r="DR49" s="20">
        <f t="shared" si="16"/>
        <v>386.51781886166515</v>
      </c>
      <c r="DS49" s="59">
        <f t="shared" si="17"/>
        <v>679.85115219499846</v>
      </c>
      <c r="DT49" s="59">
        <f ca="1">AVERAGE(OFFSET($DS$3,0,0,'Données projet'!$E$14+1,1))-AVERAGE(OFFSET($H$3,0,0,'Données projet'!$E$14+1,1))</f>
        <v>340.4659523898373</v>
      </c>
      <c r="DU49" s="59">
        <f t="shared" si="44"/>
        <v>170.54530785680572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7.1434294871794854</v>
      </c>
      <c r="EJ49" s="12">
        <f>IF('Données projet'!$A$192&gt;35,EJ48+EI49-ER48,IF(A49&lt;'Données projet'!$A$192,$EG$205^A49,IF(A49='Données projet'!$A$192,'Données projet'!$B$192,EJ48+EI49-ER48)))</f>
        <v>130.98397435897436</v>
      </c>
      <c r="EK49" s="17">
        <f>EJ49*VLOOKUP('Données projet'!$B$15,Paramètres!$A$1:$I$89,3,0)*VLOOKUP('Données projet'!$B$15,Paramètres!$A$1:$I$89,5,0)</f>
        <v>126.68770000000001</v>
      </c>
      <c r="EL49" s="13">
        <f t="shared" si="45"/>
        <v>33.229838176766506</v>
      </c>
      <c r="EM49" s="20">
        <f t="shared" si="19"/>
        <v>278.52304565786835</v>
      </c>
      <c r="EN49" s="59">
        <f t="shared" si="20"/>
        <v>571.85637899120161</v>
      </c>
      <c r="EO49" s="59">
        <f ca="1">AVERAGE(OFFSET($EN$3,0,0,'Données projet'!$E$15+1,1))-AVERAGE(OFFSET($H$3,0,0,'Données projet'!$E$15+1,1))</f>
        <v>262.20955982183017</v>
      </c>
      <c r="EP49" s="59">
        <f t="shared" si="46"/>
        <v>101.35842063036193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7.7</v>
      </c>
      <c r="FE49" s="12">
        <f>IF('Données projet'!$A$218&gt;35,FE48+FD49-FM48,IF(A49&lt;'Données projet'!$A$218,$FB$205^A49,IF(A49='Données projet'!$A$218,'Données projet'!$B$218,FE48+FD49-FM48)))</f>
        <v>210.19999999999979</v>
      </c>
      <c r="FF49" s="17">
        <f>FE49*VLOOKUP('Données projet'!$B$16,Paramètres!$A$1:$I$89,3,0)*VLOOKUP('Données projet'!$B$16,Paramètres!$A$1:$I$89,5,0)</f>
        <v>167.23511999999985</v>
      </c>
      <c r="FG49" s="13">
        <f t="shared" si="47"/>
        <v>42.470192710511569</v>
      </c>
      <c r="FH49" s="20">
        <f t="shared" si="22"/>
        <v>365.23675297080734</v>
      </c>
      <c r="FI49" s="59">
        <f t="shared" si="23"/>
        <v>658.57008630414066</v>
      </c>
      <c r="FJ49" s="59">
        <f ca="1">AVERAGE(OFFSET($FI$3,0,0,'Données projet'!$E$16+1,1))-AVERAGE(OFFSET($H$3,0,0,'Données projet'!$E$16+1,1))</f>
        <v>199.58763537752952</v>
      </c>
      <c r="FK49" s="59">
        <f t="shared" si="48"/>
        <v>242.62852778451929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6.5987191524365434</v>
      </c>
      <c r="FS49" s="21">
        <f>EXP(-LN(2)/2)*FS48+(1-EXP(-LN(2)/2))/(LN(2)/2)*FM49*FP49*VLOOKUP('Données projet'!$B$16,Paramètres!$A$1:$I$89,3,0)*0.475*44/12</f>
        <v>4.2037337473516477E-2</v>
      </c>
      <c r="FT49" s="22">
        <f t="shared" si="24"/>
        <v>6.6407564899100597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7.7</v>
      </c>
      <c r="FZ49" s="12">
        <f>IF('Données projet'!$A$244&gt;35,FZ48+FY49-GH48,IF(A49&lt;'Données projet'!$A$244,$FW$205^A49,IF(A49='Données projet'!$A$244,'Données projet'!$B$244,FZ48+FY49-GH48)))</f>
        <v>210.19999999999979</v>
      </c>
      <c r="GA49" s="17">
        <f>FZ49*VLOOKUP('Données projet'!$B$17,Paramètres!$A$1:$I$89,3,0)*VLOOKUP('Données projet'!$B$17,Paramètres!$A$1:$I$89,5,0)</f>
        <v>154.11863999999986</v>
      </c>
      <c r="GB49" s="13">
        <f t="shared" si="49"/>
        <v>39.513080685376558</v>
      </c>
      <c r="GC49" s="20">
        <f t="shared" si="25"/>
        <v>337.24191352703059</v>
      </c>
      <c r="GD49" s="59">
        <f t="shared" si="26"/>
        <v>630.5752468603639</v>
      </c>
      <c r="GE49" s="59">
        <f ca="1">AVERAGE(OFFSET($GD$3,0,0,'Données projet'!$E$17+1,1))-AVERAGE(OFFSET($H$3,0,0,'Données projet'!$E$17+1,1))</f>
        <v>178.12968684094687</v>
      </c>
      <c r="GF49" s="59">
        <f t="shared" si="50"/>
        <v>219.36004077210373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4.9337815046519635</v>
      </c>
      <c r="GN49" s="21">
        <f>EXP(-LN(2)/2)*GN48+(1-EXP(-LN(2)/2))/(LN(2)/2)*GH49*GK49*VLOOKUP('Données projet'!$B$17,Paramètres!$A$1:$I$89,3,0)*0.475*44/12</f>
        <v>3.8740291397162216E-2</v>
      </c>
      <c r="GO49" s="21">
        <f t="shared" si="27"/>
        <v>4.9725217960491257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7.7</v>
      </c>
      <c r="GU49" s="12">
        <f>IF('Données projet'!$A$270&gt;35,GU48+GT49-HC48,IF(A49&lt;'Données projet'!$A$270,$GR$205^A49,IF(A49='Données projet'!$A$270,'Données projet'!$B$270,GU48+GT49-HC48)))</f>
        <v>210.19999999999979</v>
      </c>
      <c r="GV49" s="17">
        <f>GU49*VLOOKUP('Données projet'!$B$18,Paramètres!$A$1:$I$89,3,0)*VLOOKUP('Données projet'!$B$18,Paramètres!$A$1:$I$89,5,0)</f>
        <v>167.23511999999985</v>
      </c>
      <c r="GW49" s="13">
        <f t="shared" si="51"/>
        <v>42.470192710511569</v>
      </c>
      <c r="GX49" s="20">
        <f t="shared" si="28"/>
        <v>365.23675297080734</v>
      </c>
      <c r="GY49" s="59">
        <f t="shared" si="29"/>
        <v>658.57008630414066</v>
      </c>
      <c r="GZ49" s="59">
        <f ca="1">AVERAGE(OFFSET($GY$3,0,0,'Données projet'!$E$18+1,1))-AVERAGE(OFFSET($H$3,0,0,'Données projet'!$E$18+1,1))</f>
        <v>199.58763537752952</v>
      </c>
      <c r="HA49" s="59">
        <f t="shared" si="52"/>
        <v>242.62852778451929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6.5987191524365434</v>
      </c>
      <c r="HI49" s="21">
        <f>EXP(-LN(2)/2)*HI48+(1-EXP(-LN(2)/2))/(LN(2)/2)*HC49*HF49*VLOOKUP('Données projet'!$B$18,Paramètres!$A$1:$I$89,3,0)*0.475*44/12</f>
        <v>4.2037337473516477E-2</v>
      </c>
      <c r="HJ49" s="22">
        <f t="shared" si="30"/>
        <v>6.6407564899100597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9.9423076923076934</v>
      </c>
      <c r="N50" s="13">
        <f>IF('Données projet'!$A$36&gt;35,N49+M50-V49,IF(A50&lt;'Données projet'!$A$36,$K$205^A50,IF(A50='Données projet'!$A$36,'Données projet'!$B$36,N49+M50-V49)))</f>
        <v>193.17307692307685</v>
      </c>
      <c r="O50" s="13">
        <f>N50*VLOOKUP('Données projet'!$B$9,Paramètres!$A$1:$I$89,3,0)*VLOOKUP('Données projet'!$B$9,Paramètres!$A$1:$I$89,5,0)</f>
        <v>174.78299999999993</v>
      </c>
      <c r="P50" s="13">
        <f t="shared" si="33"/>
        <v>44.159520456631583</v>
      </c>
      <c r="Q50" s="20">
        <f t="shared" si="53"/>
        <v>381.3248897952999</v>
      </c>
      <c r="R50" s="59">
        <f t="shared" si="0"/>
        <v>674.65822312863315</v>
      </c>
      <c r="S50" s="59">
        <f ca="1">AVERAGE(OFFSET($R$3,0,0,'Données projet'!$E$9+1,1))-AVERAGE(OFFSET($H$3,0,0,'Données projet'!$E$9+1,1))</f>
        <v>309.07357540707869</v>
      </c>
      <c r="T50" s="59">
        <f t="shared" si="34"/>
        <v>155.9593924683299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7.1434294871794854</v>
      </c>
      <c r="AI50" s="13">
        <f>IF('Données projet'!$A$62&gt;35,AI49+AH50-AQ49,IF(A50&lt;'Données projet'!$A$62,$AF$205^A50,IF(A50='Données projet'!$A$62,'Données projet'!$B$62,AI49+AH50-AQ49)))</f>
        <v>138.12740384615384</v>
      </c>
      <c r="AJ50" s="13">
        <f>AI50*VLOOKUP('Données projet'!$B$10,Paramètres!$A$1:$I$89,3,0)*VLOOKUP('Données projet'!$B$10,Paramètres!$A$1:$I$89,5,0)</f>
        <v>124.97767499999999</v>
      </c>
      <c r="AK50" s="13">
        <f t="shared" si="35"/>
        <v>32.833199823952796</v>
      </c>
      <c r="AL50" s="20">
        <f t="shared" si="4"/>
        <v>274.85394031838445</v>
      </c>
      <c r="AM50" s="59">
        <f t="shared" si="5"/>
        <v>568.18727365171776</v>
      </c>
      <c r="AN50" s="59">
        <f ca="1">AVERAGE(OFFSET($AM$3,0,0,'Données projet'!$E$10+1,1))-AVERAGE(OFFSET($H$3,0,0,'Données projet'!$E$10+1,1))</f>
        <v>234.30804102916278</v>
      </c>
      <c r="AO50" s="59">
        <f t="shared" si="36"/>
        <v>91.137993288782411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15.618681318681309</v>
      </c>
      <c r="BD50" s="12">
        <f>IF('Données projet'!$A$88&gt;35,BD49+BC50-BL49,IF(A50&lt;'Données projet'!$A$88,$BA$205^A50,IF(A50='Données projet'!$A$88,'Données projet'!$B$88,BD49+BC50-BL49)))</f>
        <v>308.61648351648358</v>
      </c>
      <c r="BE50" s="13">
        <f>BD50*VLOOKUP('Données projet'!$B$11,Paramètres!$A$1:$I$89,3,0)*VLOOKUP('Données projet'!$B$11,Paramètres!$A$1:$I$89,5,0)</f>
        <v>144.43251428571432</v>
      </c>
      <c r="BF50" s="13">
        <f t="shared" si="37"/>
        <v>37.310582871696397</v>
      </c>
      <c r="BG50" s="20">
        <f t="shared" si="7"/>
        <v>316.5358942158237</v>
      </c>
      <c r="BH50" s="59">
        <f t="shared" si="8"/>
        <v>609.86922754915702</v>
      </c>
      <c r="BI50" s="59">
        <f ca="1">AVERAGE(OFFSET($BH$3,0,0,'Données projet'!$E$11+1,1))-AVERAGE(OFFSET($H$3,0,0,'Données projet'!$E$11+1,1))</f>
        <v>158.58786357608489</v>
      </c>
      <c r="BJ50" s="59">
        <f t="shared" si="38"/>
        <v>163.20074068819849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11.443589743589742</v>
      </c>
      <c r="BY50" s="12">
        <f>IF('Données projet'!$A$114&gt;35,BY49+BX50-CG49,IF(A50&lt;'Données projet'!$A$114,$BV$205^A50,IF(A50='Données projet'!$A$114,'Données projet'!$B$114,BY49+BX50-CG49)))</f>
        <v>341.79487179487194</v>
      </c>
      <c r="BZ50" s="13">
        <f>BY50*VLOOKUP('Données projet'!$B$12,Paramètres!$A$1:$I$89,3,0)*VLOOKUP('Données projet'!$B$12,Paramètres!$A$1:$I$89,5,0)</f>
        <v>159.96000000000006</v>
      </c>
      <c r="CA50" s="13">
        <f t="shared" si="39"/>
        <v>40.833493163758575</v>
      </c>
      <c r="CB50" s="20">
        <f t="shared" si="10"/>
        <v>349.71533392687957</v>
      </c>
      <c r="CC50" s="59">
        <f t="shared" si="11"/>
        <v>643.04866726021282</v>
      </c>
      <c r="CD50" s="59">
        <f ca="1">AVERAGE(OFFSET($CC$3,0,0,'Données projet'!$E$12+1,1))-AVERAGE(OFFSET($H$3,0,0,'Données projet'!$E$12+1,1))</f>
        <v>123.2823358462245</v>
      </c>
      <c r="CE50" s="59">
        <f t="shared" si="40"/>
        <v>92.75115399786057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11.861538461538462</v>
      </c>
      <c r="CT50" s="12">
        <f>IF('Données projet'!$A$140&gt;35,CT49+CS50-DB49,IF(A50&lt;'Données projet'!$A$140,$CQ$205^A50,IF(A50='Données projet'!$A$140,'Données projet'!$B$140,CT49+CS50-DB49)))</f>
        <v>255.5</v>
      </c>
      <c r="CU50" s="17">
        <f>CT50*VLOOKUP('Données projet'!$B$13,Paramètres!$A$1:$I$89,3,0)*VLOOKUP('Données projet'!$B$13,Paramètres!$A$1:$I$89,5,0)</f>
        <v>152.78900000000002</v>
      </c>
      <c r="CV50" s="13">
        <f t="shared" si="41"/>
        <v>39.211714711932316</v>
      </c>
      <c r="CW50" s="20">
        <f t="shared" si="13"/>
        <v>334.40124478994881</v>
      </c>
      <c r="CX50" s="59">
        <f t="shared" si="14"/>
        <v>627.73457812328206</v>
      </c>
      <c r="CY50" s="59">
        <f ca="1">AVERAGE(OFFSET($CX$3,0,0,'Données projet'!$E$13+1,1))-AVERAGE(OFFSET($H$3,0,0,'Données projet'!$E$13+1,1))</f>
        <v>179.32848817523677</v>
      </c>
      <c r="CZ50" s="59">
        <f t="shared" si="42"/>
        <v>131.3292389103035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8.2265473068127974</v>
      </c>
      <c r="DH50" s="21">
        <f>EXP(-LN(2)/2)*DH49+(1-EXP(-LN(2)/2))/(LN(2)/2)*DB50*DE50*VLOOKUP('Données projet'!$B$13,Paramètres!$A$1:$I$89,3,0)*0.475*44/12</f>
        <v>1.4536760254489337E-2</v>
      </c>
      <c r="DI50" s="22">
        <f t="shared" si="15"/>
        <v>8.2410840670672876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9.9423076923076934</v>
      </c>
      <c r="DO50" s="12">
        <f>IF('Données projet'!$A$166&gt;35,DO49+DN50-DW49,IF(A50&lt;'Données projet'!$A$166,$DL$205^A50,IF(A50='Données projet'!$A$166,'Données projet'!$B$166,DO49+DN50-DW49)))</f>
        <v>193.17307692307685</v>
      </c>
      <c r="DP50" s="17">
        <f>DO50*VLOOKUP('Données projet'!$B$14,Paramètres!$A$1:$I$89,3,0)*VLOOKUP('Données projet'!$B$14,Paramètres!$A$1:$I$89,5,0)</f>
        <v>186.83699999999993</v>
      </c>
      <c r="DQ50" s="13">
        <f t="shared" si="43"/>
        <v>46.8399766953521</v>
      </c>
      <c r="DR50" s="20">
        <f t="shared" si="16"/>
        <v>406.98740107773807</v>
      </c>
      <c r="DS50" s="59">
        <f t="shared" si="17"/>
        <v>700.32073441107138</v>
      </c>
      <c r="DT50" s="59">
        <f ca="1">AVERAGE(OFFSET($DS$3,0,0,'Données projet'!$E$14+1,1))-AVERAGE(OFFSET($H$3,0,0,'Données projet'!$E$14+1,1))</f>
        <v>340.4659523898373</v>
      </c>
      <c r="DU50" s="59">
        <f t="shared" si="44"/>
        <v>170.54530785680572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7.1434294871794854</v>
      </c>
      <c r="EJ50" s="12">
        <f>IF('Données projet'!$A$192&gt;35,EJ49+EI50-ER49,IF(A50&lt;'Données projet'!$A$192,$EG$205^A50,IF(A50='Données projet'!$A$192,'Données projet'!$B$192,EJ49+EI50-ER49)))</f>
        <v>138.12740384615384</v>
      </c>
      <c r="EK50" s="17">
        <f>EJ50*VLOOKUP('Données projet'!$B$15,Paramètres!$A$1:$I$89,3,0)*VLOOKUP('Données projet'!$B$15,Paramètres!$A$1:$I$89,5,0)</f>
        <v>133.596825</v>
      </c>
      <c r="EL50" s="13">
        <f t="shared" si="45"/>
        <v>34.826155236403501</v>
      </c>
      <c r="EM50" s="20">
        <f t="shared" si="19"/>
        <v>293.33669057840274</v>
      </c>
      <c r="EN50" s="59">
        <f t="shared" si="20"/>
        <v>586.67002391173605</v>
      </c>
      <c r="EO50" s="59">
        <f ca="1">AVERAGE(OFFSET($EN$3,0,0,'Données projet'!$E$15+1,1))-AVERAGE(OFFSET($H$3,0,0,'Données projet'!$E$15+1,1))</f>
        <v>262.20955982183017</v>
      </c>
      <c r="EP50" s="59">
        <f t="shared" si="46"/>
        <v>101.35842063036193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7.7</v>
      </c>
      <c r="FE50" s="12">
        <f>IF('Données projet'!$A$218&gt;35,FE49+FD50-FM49,IF(A50&lt;'Données projet'!$A$218,$FB$205^A50,IF(A50='Données projet'!$A$218,'Données projet'!$B$218,FE49+FD50-FM49)))</f>
        <v>217.89999999999978</v>
      </c>
      <c r="FF50" s="17">
        <f>FE50*VLOOKUP('Données projet'!$B$16,Paramètres!$A$1:$I$89,3,0)*VLOOKUP('Données projet'!$B$16,Paramètres!$A$1:$I$89,5,0)</f>
        <v>173.36123999999984</v>
      </c>
      <c r="FG50" s="13">
        <f t="shared" si="47"/>
        <v>43.841969562839758</v>
      </c>
      <c r="FH50" s="20">
        <f t="shared" si="22"/>
        <v>378.29558998861233</v>
      </c>
      <c r="FI50" s="59">
        <f t="shared" si="23"/>
        <v>671.62892332194565</v>
      </c>
      <c r="FJ50" s="59">
        <f ca="1">AVERAGE(OFFSET($FI$3,0,0,'Données projet'!$E$16+1,1))-AVERAGE(OFFSET($H$3,0,0,'Données projet'!$E$16+1,1))</f>
        <v>199.58763537752952</v>
      </c>
      <c r="FK50" s="59">
        <f t="shared" si="48"/>
        <v>242.62852778451929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6.4182768302016076</v>
      </c>
      <c r="FS50" s="21">
        <f>EXP(-LN(2)/2)*FS49+(1-EXP(-LN(2)/2))/(LN(2)/2)*FM50*FP50*VLOOKUP('Données projet'!$B$16,Paramètres!$A$1:$I$89,3,0)*0.475*44/12</f>
        <v>2.9724886390550872E-2</v>
      </c>
      <c r="FT50" s="22">
        <f t="shared" si="24"/>
        <v>6.4480017165921586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7.7</v>
      </c>
      <c r="FZ50" s="12">
        <f>IF('Données projet'!$A$244&gt;35,FZ49+FY50-GH49,IF(A50&lt;'Données projet'!$A$244,$FW$205^A50,IF(A50='Données projet'!$A$244,'Données projet'!$B$244,FZ49+FY50-GH49)))</f>
        <v>217.89999999999978</v>
      </c>
      <c r="GA50" s="17">
        <f>FZ50*VLOOKUP('Données projet'!$B$17,Paramètres!$A$1:$I$89,3,0)*VLOOKUP('Données projet'!$B$17,Paramètres!$A$1:$I$89,5,0)</f>
        <v>159.76427999999981</v>
      </c>
      <c r="GB50" s="13">
        <f t="shared" si="49"/>
        <v>40.789343541489288</v>
      </c>
      <c r="GC50" s="20">
        <f t="shared" si="25"/>
        <v>349.29756100142686</v>
      </c>
      <c r="GD50" s="59">
        <f t="shared" si="26"/>
        <v>642.63089433476011</v>
      </c>
      <c r="GE50" s="59">
        <f ca="1">AVERAGE(OFFSET($GD$3,0,0,'Données projet'!$E$17+1,1))-AVERAGE(OFFSET($H$3,0,0,'Données projet'!$E$17+1,1))</f>
        <v>178.12968684094687</v>
      </c>
      <c r="GF50" s="59">
        <f t="shared" si="50"/>
        <v>219.36004077210373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4.7988669899509624</v>
      </c>
      <c r="GN50" s="21">
        <f>EXP(-LN(2)/2)*GN49+(1-EXP(-LN(2)/2))/(LN(2)/2)*GH50*GK50*VLOOKUP('Données projet'!$B$17,Paramètres!$A$1:$I$89,3,0)*0.475*44/12</f>
        <v>2.7393522752076273E-2</v>
      </c>
      <c r="GO50" s="21">
        <f t="shared" si="27"/>
        <v>4.8262605127030387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7.7</v>
      </c>
      <c r="GU50" s="12">
        <f>IF('Données projet'!$A$270&gt;35,GU49+GT50-HC49,IF(A50&lt;'Données projet'!$A$270,$GR$205^A50,IF(A50='Données projet'!$A$270,'Données projet'!$B$270,GU49+GT50-HC49)))</f>
        <v>217.89999999999978</v>
      </c>
      <c r="GV50" s="17">
        <f>GU50*VLOOKUP('Données projet'!$B$18,Paramètres!$A$1:$I$89,3,0)*VLOOKUP('Données projet'!$B$18,Paramètres!$A$1:$I$89,5,0)</f>
        <v>173.36123999999984</v>
      </c>
      <c r="GW50" s="13">
        <f t="shared" si="51"/>
        <v>43.841969562839758</v>
      </c>
      <c r="GX50" s="20">
        <f t="shared" si="28"/>
        <v>378.29558998861233</v>
      </c>
      <c r="GY50" s="59">
        <f t="shared" si="29"/>
        <v>671.62892332194565</v>
      </c>
      <c r="GZ50" s="59">
        <f ca="1">AVERAGE(OFFSET($GY$3,0,0,'Données projet'!$E$18+1,1))-AVERAGE(OFFSET($H$3,0,0,'Données projet'!$E$18+1,1))</f>
        <v>199.58763537752952</v>
      </c>
      <c r="HA50" s="59">
        <f t="shared" si="52"/>
        <v>242.62852778451929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6.4182768302016076</v>
      </c>
      <c r="HI50" s="21">
        <f>EXP(-LN(2)/2)*HI49+(1-EXP(-LN(2)/2))/(LN(2)/2)*HC50*HF50*VLOOKUP('Données projet'!$B$18,Paramètres!$A$1:$I$89,3,0)*0.475*44/12</f>
        <v>2.9724886390550872E-2</v>
      </c>
      <c r="HJ50" s="22">
        <f t="shared" si="30"/>
        <v>6.4480017165921586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9.9423076923076934</v>
      </c>
      <c r="N51" s="13">
        <f>IF('Données projet'!$A$36&gt;35,N50+M51-V50,IF(A51&lt;'Données projet'!$A$36,$K$205^A51,IF(A51='Données projet'!$A$36,'Données projet'!$B$36,N50+M51-V50)))</f>
        <v>203.11538461538453</v>
      </c>
      <c r="O51" s="13">
        <f>N51*VLOOKUP('Données projet'!$B$9,Paramètres!$A$1:$I$89,3,0)*VLOOKUP('Données projet'!$B$9,Paramètres!$A$1:$I$89,5,0)</f>
        <v>183.7787999999999</v>
      </c>
      <c r="P51" s="13">
        <f t="shared" si="33"/>
        <v>46.161880289388137</v>
      </c>
      <c r="Q51" s="20">
        <f t="shared" si="53"/>
        <v>400.48001817068416</v>
      </c>
      <c r="R51" s="59">
        <f t="shared" si="0"/>
        <v>693.81335150401742</v>
      </c>
      <c r="S51" s="59">
        <f ca="1">AVERAGE(OFFSET($R$3,0,0,'Données projet'!$E$9+1,1))-AVERAGE(OFFSET($H$3,0,0,'Données projet'!$E$9+1,1))</f>
        <v>309.07357540707869</v>
      </c>
      <c r="T51" s="59">
        <f t="shared" si="34"/>
        <v>155.9593924683299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7.1434294871794854</v>
      </c>
      <c r="AI51" s="13">
        <f>IF('Données projet'!$A$62&gt;35,AI50+AH51-AQ50,IF(A51&lt;'Données projet'!$A$62,$AF$205^A51,IF(A51='Données projet'!$A$62,'Données projet'!$B$62,AI50+AH51-AQ50)))</f>
        <v>145.27083333333331</v>
      </c>
      <c r="AJ51" s="13">
        <f>AI51*VLOOKUP('Données projet'!$B$10,Paramètres!$A$1:$I$89,3,0)*VLOOKUP('Données projet'!$B$10,Paramètres!$A$1:$I$89,5,0)</f>
        <v>131.44104999999996</v>
      </c>
      <c r="AK51" s="13">
        <f t="shared" si="35"/>
        <v>34.329129734237036</v>
      </c>
      <c r="AL51" s="20">
        <f t="shared" si="4"/>
        <v>288.71639637046275</v>
      </c>
      <c r="AM51" s="59">
        <f t="shared" si="5"/>
        <v>582.04972970379606</v>
      </c>
      <c r="AN51" s="59">
        <f ca="1">AVERAGE(OFFSET($AM$3,0,0,'Données projet'!$E$10+1,1))-AVERAGE(OFFSET($H$3,0,0,'Données projet'!$E$10+1,1))</f>
        <v>234.30804102916278</v>
      </c>
      <c r="AO51" s="59">
        <f t="shared" si="36"/>
        <v>91.137993288782411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15.618681318681309</v>
      </c>
      <c r="BD51" s="12">
        <f>IF('Données projet'!$A$88&gt;35,BD50+BC51-BL50,IF(A51&lt;'Données projet'!$A$88,$BA$205^A51,IF(A51='Données projet'!$A$88,'Données projet'!$B$88,BD50+BC51-BL50)))</f>
        <v>324.23516483516488</v>
      </c>
      <c r="BE51" s="13">
        <f>BD51*VLOOKUP('Données projet'!$B$11,Paramètres!$A$1:$I$89,3,0)*VLOOKUP('Données projet'!$B$11,Paramètres!$A$1:$I$89,5,0)</f>
        <v>151.74205714285716</v>
      </c>
      <c r="BF51" s="13">
        <f t="shared" si="37"/>
        <v>38.974207918733512</v>
      </c>
      <c r="BG51" s="20">
        <f t="shared" si="7"/>
        <v>332.16416164893707</v>
      </c>
      <c r="BH51" s="59">
        <f t="shared" si="8"/>
        <v>625.49749498227038</v>
      </c>
      <c r="BI51" s="59">
        <f ca="1">AVERAGE(OFFSET($BH$3,0,0,'Données projet'!$E$11+1,1))-AVERAGE(OFFSET($H$3,0,0,'Données projet'!$E$11+1,1))</f>
        <v>158.58786357608489</v>
      </c>
      <c r="BJ51" s="59">
        <f t="shared" si="38"/>
        <v>163.20074068819849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11.443589743589742</v>
      </c>
      <c r="BY51" s="12">
        <f>IF('Données projet'!$A$114&gt;35,BY50+BX51-CG50,IF(A51&lt;'Données projet'!$A$114,$BV$205^A51,IF(A51='Données projet'!$A$114,'Données projet'!$B$114,BY50+BX51-CG50)))</f>
        <v>353.23846153846171</v>
      </c>
      <c r="BZ51" s="13">
        <f>BY51*VLOOKUP('Données projet'!$B$12,Paramètres!$A$1:$I$89,3,0)*VLOOKUP('Données projet'!$B$12,Paramètres!$A$1:$I$89,5,0)</f>
        <v>165.31560000000007</v>
      </c>
      <c r="CA51" s="13">
        <f t="shared" si="39"/>
        <v>42.039173765288623</v>
      </c>
      <c r="CB51" s="20">
        <f t="shared" si="10"/>
        <v>361.14289764121116</v>
      </c>
      <c r="CC51" s="59">
        <f t="shared" si="11"/>
        <v>654.47623097454448</v>
      </c>
      <c r="CD51" s="59">
        <f ca="1">AVERAGE(OFFSET($CC$3,0,0,'Données projet'!$E$12+1,1))-AVERAGE(OFFSET($H$3,0,0,'Données projet'!$E$12+1,1))</f>
        <v>123.2823358462245</v>
      </c>
      <c r="CE51" s="59">
        <f t="shared" si="40"/>
        <v>92.75115399786057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11.861538461538462</v>
      </c>
      <c r="CT51" s="12">
        <f>IF('Données projet'!$A$140&gt;35,CT50+CS51-DB50,IF(A51&lt;'Données projet'!$A$140,$CQ$205^A51,IF(A51='Données projet'!$A$140,'Données projet'!$B$140,CT50+CS51-DB50)))</f>
        <v>267.36153846153849</v>
      </c>
      <c r="CU51" s="17">
        <f>CT51*VLOOKUP('Données projet'!$B$13,Paramètres!$A$1:$I$89,3,0)*VLOOKUP('Données projet'!$B$13,Paramètres!$A$1:$I$89,5,0)</f>
        <v>159.88220000000001</v>
      </c>
      <c r="CV51" s="13">
        <f t="shared" si="41"/>
        <v>40.815944149041762</v>
      </c>
      <c r="CW51" s="20">
        <f t="shared" si="13"/>
        <v>349.54926772624776</v>
      </c>
      <c r="CX51" s="59">
        <f t="shared" si="14"/>
        <v>642.88260105958102</v>
      </c>
      <c r="CY51" s="59">
        <f ca="1">AVERAGE(OFFSET($CX$3,0,0,'Données projet'!$E$13+1,1))-AVERAGE(OFFSET($H$3,0,0,'Données projet'!$E$13+1,1))</f>
        <v>179.32848817523677</v>
      </c>
      <c r="CZ51" s="59">
        <f t="shared" si="42"/>
        <v>131.3292389103035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8.0015919380926803</v>
      </c>
      <c r="DH51" s="21">
        <f>EXP(-LN(2)/2)*DH50+(1-EXP(-LN(2)/2))/(LN(2)/2)*DB51*DE51*VLOOKUP('Données projet'!$B$13,Paramètres!$A$1:$I$89,3,0)*0.475*44/12</f>
        <v>1.0279041752432494E-2</v>
      </c>
      <c r="DI51" s="22">
        <f t="shared" si="15"/>
        <v>8.0118709798451135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9.9423076923076934</v>
      </c>
      <c r="DO51" s="12">
        <f>IF('Données projet'!$A$166&gt;35,DO50+DN51-DW50,IF(A51&lt;'Données projet'!$A$166,$DL$205^A51,IF(A51='Données projet'!$A$166,'Données projet'!$B$166,DO50+DN51-DW50)))</f>
        <v>203.11538461538453</v>
      </c>
      <c r="DP51" s="17">
        <f>DO51*VLOOKUP('Données projet'!$B$14,Paramètres!$A$1:$I$89,3,0)*VLOOKUP('Données projet'!$B$14,Paramètres!$A$1:$I$89,5,0)</f>
        <v>196.45319999999992</v>
      </c>
      <c r="DQ51" s="13">
        <f t="shared" si="43"/>
        <v>48.963878561409146</v>
      </c>
      <c r="DR51" s="20">
        <f t="shared" si="16"/>
        <v>427.43474516112082</v>
      </c>
      <c r="DS51" s="59">
        <f t="shared" si="17"/>
        <v>720.76807849445413</v>
      </c>
      <c r="DT51" s="59">
        <f ca="1">AVERAGE(OFFSET($DS$3,0,0,'Données projet'!$E$14+1,1))-AVERAGE(OFFSET($H$3,0,0,'Données projet'!$E$14+1,1))</f>
        <v>340.4659523898373</v>
      </c>
      <c r="DU51" s="59">
        <f t="shared" si="44"/>
        <v>170.54530785680572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7.1434294871794854</v>
      </c>
      <c r="EJ51" s="12">
        <f>IF('Données projet'!$A$192&gt;35,EJ50+EI51-ER50,IF(A51&lt;'Données projet'!$A$192,$EG$205^A51,IF(A51='Données projet'!$A$192,'Données projet'!$B$192,EJ50+EI51-ER50)))</f>
        <v>145.27083333333331</v>
      </c>
      <c r="EK51" s="17">
        <f>EJ51*VLOOKUP('Données projet'!$B$15,Paramètres!$A$1:$I$89,3,0)*VLOOKUP('Données projet'!$B$15,Paramètres!$A$1:$I$89,5,0)</f>
        <v>140.50594999999998</v>
      </c>
      <c r="EL51" s="13">
        <f t="shared" si="45"/>
        <v>36.41288718935597</v>
      </c>
      <c r="EM51" s="20">
        <f t="shared" si="19"/>
        <v>308.13364143812822</v>
      </c>
      <c r="EN51" s="59">
        <f t="shared" si="20"/>
        <v>601.46697477146154</v>
      </c>
      <c r="EO51" s="59">
        <f ca="1">AVERAGE(OFFSET($EN$3,0,0,'Données projet'!$E$15+1,1))-AVERAGE(OFFSET($H$3,0,0,'Données projet'!$E$15+1,1))</f>
        <v>262.20955982183017</v>
      </c>
      <c r="EP51" s="59">
        <f t="shared" si="46"/>
        <v>101.35842063036193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7.7</v>
      </c>
      <c r="FE51" s="12">
        <f>IF('Données projet'!$A$218&gt;35,FE50+FD51-FM50,IF(A51&lt;'Données projet'!$A$218,$FB$205^A51,IF(A51='Données projet'!$A$218,'Données projet'!$B$218,FE50+FD51-FM50)))</f>
        <v>225.59999999999977</v>
      </c>
      <c r="FF51" s="17">
        <f>FE51*VLOOKUP('Données projet'!$B$16,Paramètres!$A$1:$I$89,3,0)*VLOOKUP('Données projet'!$B$16,Paramètres!$A$1:$I$89,5,0)</f>
        <v>179.48735999999982</v>
      </c>
      <c r="FG51" s="13">
        <f t="shared" si="47"/>
        <v>45.208114286641525</v>
      </c>
      <c r="FH51" s="20">
        <f t="shared" si="22"/>
        <v>391.34461771590031</v>
      </c>
      <c r="FI51" s="59">
        <f t="shared" si="23"/>
        <v>684.67795104923357</v>
      </c>
      <c r="FJ51" s="59">
        <f ca="1">AVERAGE(OFFSET($FI$3,0,0,'Données projet'!$E$16+1,1))-AVERAGE(OFFSET($H$3,0,0,'Données projet'!$E$16+1,1))</f>
        <v>199.58763537752952</v>
      </c>
      <c r="FK51" s="59">
        <f t="shared" si="48"/>
        <v>242.62852778451929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6.2427687127572353</v>
      </c>
      <c r="FS51" s="21">
        <f>EXP(-LN(2)/2)*FS50+(1-EXP(-LN(2)/2))/(LN(2)/2)*FM51*FP51*VLOOKUP('Données projet'!$B$16,Paramètres!$A$1:$I$89,3,0)*0.475*44/12</f>
        <v>2.1018668736758242E-2</v>
      </c>
      <c r="FT51" s="22">
        <f t="shared" si="24"/>
        <v>6.2637873814939935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7.7</v>
      </c>
      <c r="FZ51" s="12">
        <f>IF('Données projet'!$A$244&gt;35,FZ50+FY51-GH50,IF(A51&lt;'Données projet'!$A$244,$FW$205^A51,IF(A51='Données projet'!$A$244,'Données projet'!$B$244,FZ50+FY51-GH50)))</f>
        <v>225.59999999999977</v>
      </c>
      <c r="GA51" s="17">
        <f>FZ51*VLOOKUP('Données projet'!$B$17,Paramètres!$A$1:$I$89,3,0)*VLOOKUP('Données projet'!$B$17,Paramètres!$A$1:$I$89,5,0)</f>
        <v>165.40991999999983</v>
      </c>
      <c r="GB51" s="13">
        <f t="shared" si="49"/>
        <v>42.060366422582085</v>
      </c>
      <c r="GC51" s="20">
        <f t="shared" si="25"/>
        <v>361.3440821859968</v>
      </c>
      <c r="GD51" s="59">
        <f t="shared" si="26"/>
        <v>654.67741551933011</v>
      </c>
      <c r="GE51" s="59">
        <f ca="1">AVERAGE(OFFSET($GD$3,0,0,'Données projet'!$E$17+1,1))-AVERAGE(OFFSET($H$3,0,0,'Données projet'!$E$17+1,1))</f>
        <v>178.12968684094687</v>
      </c>
      <c r="GF51" s="59">
        <f t="shared" si="50"/>
        <v>219.36004077210373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4.6676417197493061</v>
      </c>
      <c r="GN51" s="21">
        <f>EXP(-LN(2)/2)*GN50+(1-EXP(-LN(2)/2))/(LN(2)/2)*GH51*GK51*VLOOKUP('Données projet'!$B$17,Paramètres!$A$1:$I$89,3,0)*0.475*44/12</f>
        <v>1.9370145698581108E-2</v>
      </c>
      <c r="GO51" s="21">
        <f t="shared" si="27"/>
        <v>4.6870118654478876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7.7</v>
      </c>
      <c r="GU51" s="12">
        <f>IF('Données projet'!$A$270&gt;35,GU50+GT51-HC50,IF(A51&lt;'Données projet'!$A$270,$GR$205^A51,IF(A51='Données projet'!$A$270,'Données projet'!$B$270,GU50+GT51-HC50)))</f>
        <v>225.59999999999977</v>
      </c>
      <c r="GV51" s="17">
        <f>GU51*VLOOKUP('Données projet'!$B$18,Paramètres!$A$1:$I$89,3,0)*VLOOKUP('Données projet'!$B$18,Paramètres!$A$1:$I$89,5,0)</f>
        <v>179.48735999999982</v>
      </c>
      <c r="GW51" s="13">
        <f t="shared" si="51"/>
        <v>45.208114286641525</v>
      </c>
      <c r="GX51" s="20">
        <f t="shared" si="28"/>
        <v>391.34461771590031</v>
      </c>
      <c r="GY51" s="59">
        <f t="shared" si="29"/>
        <v>684.67795104923357</v>
      </c>
      <c r="GZ51" s="59">
        <f ca="1">AVERAGE(OFFSET($GY$3,0,0,'Données projet'!$E$18+1,1))-AVERAGE(OFFSET($H$3,0,0,'Données projet'!$E$18+1,1))</f>
        <v>199.58763537752952</v>
      </c>
      <c r="HA51" s="59">
        <f t="shared" si="52"/>
        <v>242.62852778451929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6.2427687127572353</v>
      </c>
      <c r="HI51" s="21">
        <f>EXP(-LN(2)/2)*HI50+(1-EXP(-LN(2)/2))/(LN(2)/2)*HC51*HF51*VLOOKUP('Données projet'!$B$18,Paramètres!$A$1:$I$89,3,0)*0.475*44/12</f>
        <v>2.1018668736758242E-2</v>
      </c>
      <c r="HJ51" s="22">
        <f t="shared" si="30"/>
        <v>6.2637873814939935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9.9423076923076934</v>
      </c>
      <c r="N52" s="13">
        <f>IF('Données projet'!$A$36&gt;35,N51+M52-V51,IF(A52&lt;'Données projet'!$A$36,$K$205^A52,IF(A52='Données projet'!$A$36,'Données projet'!$B$36,N51+M52-V51)))</f>
        <v>213.05769230769221</v>
      </c>
      <c r="O52" s="13">
        <f>N52*VLOOKUP('Données projet'!$B$9,Paramètres!$A$1:$I$89,3,0)*VLOOKUP('Données projet'!$B$9,Paramètres!$A$1:$I$89,5,0)</f>
        <v>192.77459999999991</v>
      </c>
      <c r="P52" s="13">
        <f t="shared" si="33"/>
        <v>48.152858976416411</v>
      </c>
      <c r="Q52" s="20">
        <f t="shared" si="53"/>
        <v>419.6153243839251</v>
      </c>
      <c r="R52" s="59">
        <f t="shared" si="0"/>
        <v>712.94865771725836</v>
      </c>
      <c r="S52" s="59">
        <f ca="1">AVERAGE(OFFSET($R$3,0,0,'Données projet'!$E$9+1,1))-AVERAGE(OFFSET($H$3,0,0,'Données projet'!$E$9+1,1))</f>
        <v>309.07357540707869</v>
      </c>
      <c r="T52" s="59">
        <f t="shared" si="34"/>
        <v>155.9593924683299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7.1434294871794854</v>
      </c>
      <c r="AI52" s="13">
        <f>IF('Données projet'!$A$62&gt;35,AI51+AH52-AQ51,IF(A52&lt;'Données projet'!$A$62,$AF$205^A52,IF(A52='Données projet'!$A$62,'Données projet'!$B$62,AI51+AH52-AQ51)))</f>
        <v>152.41426282051279</v>
      </c>
      <c r="AJ52" s="13">
        <f>AI52*VLOOKUP('Données projet'!$B$10,Paramètres!$A$1:$I$89,3,0)*VLOOKUP('Données projet'!$B$10,Paramètres!$A$1:$I$89,5,0)</f>
        <v>137.90442499999995</v>
      </c>
      <c r="AK52" s="13">
        <f t="shared" si="35"/>
        <v>35.816518126136323</v>
      </c>
      <c r="AL52" s="20">
        <f t="shared" si="4"/>
        <v>302.56397594468734</v>
      </c>
      <c r="AM52" s="59">
        <f t="shared" si="5"/>
        <v>595.89730927802066</v>
      </c>
      <c r="AN52" s="59">
        <f ca="1">AVERAGE(OFFSET($AM$3,0,0,'Données projet'!$E$10+1,1))-AVERAGE(OFFSET($H$3,0,0,'Données projet'!$E$10+1,1))</f>
        <v>234.30804102916278</v>
      </c>
      <c r="AO52" s="59">
        <f t="shared" si="36"/>
        <v>91.137993288782411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339.85384615384612</v>
      </c>
      <c r="BB52" s="12">
        <f>VLOOKUP(A52,'Données projet'!$A$87:$I$107,9,0)</f>
        <v>15.618681318681309</v>
      </c>
      <c r="BC52" s="12">
        <f t="array" ref="BC52">INDEX(BB:BB,MIN(IF(ISNUMBER(BB52:BB248),ROW(BB52:BB248),"")))</f>
        <v>15.618681318681309</v>
      </c>
      <c r="BD52" s="12">
        <f>IF('Données projet'!$A$88&gt;35,BD51+BC52-BL51,IF(A52&lt;'Données projet'!$A$88,$BA$205^A52,IF(A52='Données projet'!$A$88,'Données projet'!$B$88,BD51+BC52-BL51)))</f>
        <v>339.85384615384618</v>
      </c>
      <c r="BE52" s="13">
        <f>BD52*VLOOKUP('Données projet'!$B$11,Paramètres!$A$1:$I$89,3,0)*VLOOKUP('Données projet'!$B$11,Paramètres!$A$1:$I$89,5,0)</f>
        <v>159.05160000000001</v>
      </c>
      <c r="BF52" s="13">
        <f t="shared" si="37"/>
        <v>40.628527179850586</v>
      </c>
      <c r="BG52" s="20">
        <f t="shared" si="7"/>
        <v>347.77622150490646</v>
      </c>
      <c r="BH52" s="59">
        <f t="shared" si="8"/>
        <v>641.10955483823977</v>
      </c>
      <c r="BI52" s="59">
        <f ca="1">AVERAGE(OFFSET($BH$3,0,0,'Données projet'!$E$11+1,1))-AVERAGE(OFFSET($H$3,0,0,'Données projet'!$E$11+1,1))</f>
        <v>158.58786357608489</v>
      </c>
      <c r="BJ52" s="59">
        <f t="shared" si="38"/>
        <v>163.20074068819849</v>
      </c>
      <c r="BK52" s="15">
        <f>IF(ISNA(VLOOKUP(A52,'Données projet'!$A$87:$I$107,3,0)),0,VLOOKUP(A52,'Données projet'!$A$87:$I$107,3,0))</f>
        <v>2</v>
      </c>
      <c r="BL52" s="15">
        <f>IF(ISNA(VLOOKUP(A52,'Données projet'!$A$87:$I$107,4,0)),0,VLOOKUP(A52,'Données projet'!$A$87:$I$107,4,0))</f>
        <v>94.476923076923072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11.443589743589742</v>
      </c>
      <c r="BY52" s="12">
        <f>IF('Données projet'!$A$114&gt;35,BY51+BX52-CG51,IF(A52&lt;'Données projet'!$A$114,$BV$205^A52,IF(A52='Données projet'!$A$114,'Données projet'!$B$114,BY51+BX52-CG51)))</f>
        <v>364.68205128205148</v>
      </c>
      <c r="BZ52" s="13">
        <f>BY52*VLOOKUP('Données projet'!$B$12,Paramètres!$A$1:$I$89,3,0)*VLOOKUP('Données projet'!$B$12,Paramètres!$A$1:$I$89,5,0)</f>
        <v>170.67120000000008</v>
      </c>
      <c r="CA52" s="13">
        <f t="shared" si="39"/>
        <v>43.240315564943899</v>
      </c>
      <c r="CB52" s="20">
        <f t="shared" si="10"/>
        <v>372.56255627561069</v>
      </c>
      <c r="CC52" s="59">
        <f t="shared" si="11"/>
        <v>665.895889608944</v>
      </c>
      <c r="CD52" s="59">
        <f ca="1">AVERAGE(OFFSET($CC$3,0,0,'Données projet'!$E$12+1,1))-AVERAGE(OFFSET($H$3,0,0,'Données projet'!$E$12+1,1))</f>
        <v>123.2823358462245</v>
      </c>
      <c r="CE52" s="59">
        <f t="shared" si="40"/>
        <v>92.75115399786057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11.861538461538462</v>
      </c>
      <c r="CT52" s="12">
        <f>IF('Données projet'!$A$140&gt;35,CT51+CS52-DB51,IF(A52&lt;'Données projet'!$A$140,$CQ$205^A52,IF(A52='Données projet'!$A$140,'Données projet'!$B$140,CT51+CS52-DB51)))</f>
        <v>279.22307692307697</v>
      </c>
      <c r="CU52" s="17">
        <f>CT52*VLOOKUP('Données projet'!$B$13,Paramètres!$A$1:$I$89,3,0)*VLOOKUP('Données projet'!$B$13,Paramètres!$A$1:$I$89,5,0)</f>
        <v>166.97540000000004</v>
      </c>
      <c r="CV52" s="13">
        <f t="shared" si="41"/>
        <v>42.411907667415186</v>
      </c>
      <c r="CW52" s="20">
        <f t="shared" si="13"/>
        <v>364.68289418741483</v>
      </c>
      <c r="CX52" s="59">
        <f t="shared" si="14"/>
        <v>658.01622752074809</v>
      </c>
      <c r="CY52" s="59">
        <f ca="1">AVERAGE(OFFSET($CX$3,0,0,'Données projet'!$E$13+1,1))-AVERAGE(OFFSET($H$3,0,0,'Données projet'!$E$13+1,1))</f>
        <v>179.32848817523677</v>
      </c>
      <c r="CZ52" s="59">
        <f t="shared" si="42"/>
        <v>131.3292389103035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7.7827879857601037</v>
      </c>
      <c r="DH52" s="21">
        <f>EXP(-LN(2)/2)*DH51+(1-EXP(-LN(2)/2))/(LN(2)/2)*DB52*DE52*VLOOKUP('Données projet'!$B$13,Paramètres!$A$1:$I$89,3,0)*0.475*44/12</f>
        <v>7.2683801272446702E-3</v>
      </c>
      <c r="DI52" s="22">
        <f t="shared" si="15"/>
        <v>7.7900563658873487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9.9423076923076934</v>
      </c>
      <c r="DO52" s="12">
        <f>IF('Données projet'!$A$166&gt;35,DO51+DN52-DW51,IF(A52&lt;'Données projet'!$A$166,$DL$205^A52,IF(A52='Données projet'!$A$166,'Données projet'!$B$166,DO51+DN52-DW51)))</f>
        <v>213.05769230769221</v>
      </c>
      <c r="DP52" s="17">
        <f>DO52*VLOOKUP('Données projet'!$B$14,Paramètres!$A$1:$I$89,3,0)*VLOOKUP('Données projet'!$B$14,Paramètres!$A$1:$I$89,5,0)</f>
        <v>206.06939999999992</v>
      </c>
      <c r="DQ52" s="13">
        <f t="shared" si="43"/>
        <v>51.075708453061566</v>
      </c>
      <c r="DR52" s="20">
        <f t="shared" si="16"/>
        <v>447.86106388908206</v>
      </c>
      <c r="DS52" s="59">
        <f t="shared" si="17"/>
        <v>741.19439722241532</v>
      </c>
      <c r="DT52" s="59">
        <f ca="1">AVERAGE(OFFSET($DS$3,0,0,'Données projet'!$E$14+1,1))-AVERAGE(OFFSET($H$3,0,0,'Données projet'!$E$14+1,1))</f>
        <v>340.4659523898373</v>
      </c>
      <c r="DU52" s="59">
        <f t="shared" si="44"/>
        <v>170.54530785680572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7.1434294871794854</v>
      </c>
      <c r="EJ52" s="12">
        <f>IF('Données projet'!$A$192&gt;35,EJ51+EI52-ER51,IF(A52&lt;'Données projet'!$A$192,$EG$205^A52,IF(A52='Données projet'!$A$192,'Données projet'!$B$192,EJ51+EI52-ER51)))</f>
        <v>152.41426282051279</v>
      </c>
      <c r="EK52" s="17">
        <f>EJ52*VLOOKUP('Données projet'!$B$15,Paramètres!$A$1:$I$89,3,0)*VLOOKUP('Données projet'!$B$15,Paramètres!$A$1:$I$89,5,0)</f>
        <v>147.41507499999997</v>
      </c>
      <c r="EL52" s="13">
        <f t="shared" si="45"/>
        <v>37.990559158912816</v>
      </c>
      <c r="EM52" s="20">
        <f t="shared" si="19"/>
        <v>322.91481282677307</v>
      </c>
      <c r="EN52" s="59">
        <f t="shared" si="20"/>
        <v>616.24814616010644</v>
      </c>
      <c r="EO52" s="59">
        <f ca="1">AVERAGE(OFFSET($EN$3,0,0,'Données projet'!$E$15+1,1))-AVERAGE(OFFSET($H$3,0,0,'Données projet'!$E$15+1,1))</f>
        <v>262.20955982183017</v>
      </c>
      <c r="EP52" s="59">
        <f t="shared" si="46"/>
        <v>101.35842063036193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7.7</v>
      </c>
      <c r="FE52" s="12">
        <f>IF('Données projet'!$A$218&gt;35,FE51+FD52-FM51,IF(A52&lt;'Données projet'!$A$218,$FB$205^A52,IF(A52='Données projet'!$A$218,'Données projet'!$B$218,FE51+FD52-FM51)))</f>
        <v>233.29999999999976</v>
      </c>
      <c r="FF52" s="17">
        <f>FE52*VLOOKUP('Données projet'!$B$16,Paramètres!$A$1:$I$89,3,0)*VLOOKUP('Données projet'!$B$16,Paramètres!$A$1:$I$89,5,0)</f>
        <v>185.61347999999981</v>
      </c>
      <c r="FG52" s="13">
        <f t="shared" si="47"/>
        <v>46.568841147773846</v>
      </c>
      <c r="FH52" s="20">
        <f t="shared" si="22"/>
        <v>404.38420933237239</v>
      </c>
      <c r="FI52" s="59">
        <f t="shared" si="23"/>
        <v>697.71754266570565</v>
      </c>
      <c r="FJ52" s="59">
        <f ca="1">AVERAGE(OFFSET($FI$3,0,0,'Données projet'!$E$16+1,1))-AVERAGE(OFFSET($H$3,0,0,'Données projet'!$E$16+1,1))</f>
        <v>199.58763537752952</v>
      </c>
      <c r="FK52" s="59">
        <f t="shared" si="48"/>
        <v>242.62852778451929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6.0720598740139504</v>
      </c>
      <c r="FS52" s="21">
        <f>EXP(-LN(2)/2)*FS51+(1-EXP(-LN(2)/2))/(LN(2)/2)*FM52*FP52*VLOOKUP('Données projet'!$B$16,Paramètres!$A$1:$I$89,3,0)*0.475*44/12</f>
        <v>1.4862443195275438E-2</v>
      </c>
      <c r="FT52" s="22">
        <f t="shared" si="24"/>
        <v>6.0869223172092255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7.7</v>
      </c>
      <c r="FZ52" s="12">
        <f>IF('Données projet'!$A$244&gt;35,FZ51+FY52-GH51,IF(A52&lt;'Données projet'!$A$244,$FW$205^A52,IF(A52='Données projet'!$A$244,'Données projet'!$B$244,FZ51+FY52-GH51)))</f>
        <v>233.29999999999976</v>
      </c>
      <c r="GA52" s="17">
        <f>FZ52*VLOOKUP('Données projet'!$B$17,Paramètres!$A$1:$I$89,3,0)*VLOOKUP('Données projet'!$B$17,Paramètres!$A$1:$I$89,5,0)</f>
        <v>171.05555999999982</v>
      </c>
      <c r="GB52" s="13">
        <f t="shared" si="49"/>
        <v>43.326348675621681</v>
      </c>
      <c r="GC52" s="20">
        <f t="shared" si="25"/>
        <v>373.38182427670745</v>
      </c>
      <c r="GD52" s="59">
        <f t="shared" si="26"/>
        <v>666.71515761004071</v>
      </c>
      <c r="GE52" s="59">
        <f ca="1">AVERAGE(OFFSET($GD$3,0,0,'Données projet'!$E$17+1,1))-AVERAGE(OFFSET($H$3,0,0,'Données projet'!$E$17+1,1))</f>
        <v>178.12968684094687</v>
      </c>
      <c r="GF52" s="59">
        <f t="shared" si="50"/>
        <v>219.36004077210373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4.5400048114621514</v>
      </c>
      <c r="GN52" s="21">
        <f>EXP(-LN(2)/2)*GN51+(1-EXP(-LN(2)/2))/(LN(2)/2)*GH52*GK52*VLOOKUP('Données projet'!$B$17,Paramètres!$A$1:$I$89,3,0)*0.475*44/12</f>
        <v>1.3696761376038136E-2</v>
      </c>
      <c r="GO52" s="21">
        <f t="shared" si="27"/>
        <v>4.5537015728381895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7.7</v>
      </c>
      <c r="GU52" s="12">
        <f>IF('Données projet'!$A$270&gt;35,GU51+GT52-HC51,IF(A52&lt;'Données projet'!$A$270,$GR$205^A52,IF(A52='Données projet'!$A$270,'Données projet'!$B$270,GU51+GT52-HC51)))</f>
        <v>233.29999999999976</v>
      </c>
      <c r="GV52" s="17">
        <f>GU52*VLOOKUP('Données projet'!$B$18,Paramètres!$A$1:$I$89,3,0)*VLOOKUP('Données projet'!$B$18,Paramètres!$A$1:$I$89,5,0)</f>
        <v>185.61347999999981</v>
      </c>
      <c r="GW52" s="13">
        <f t="shared" si="51"/>
        <v>46.568841147773846</v>
      </c>
      <c r="GX52" s="20">
        <f t="shared" si="28"/>
        <v>404.38420933237239</v>
      </c>
      <c r="GY52" s="59">
        <f t="shared" si="29"/>
        <v>697.71754266570565</v>
      </c>
      <c r="GZ52" s="59">
        <f ca="1">AVERAGE(OFFSET($GY$3,0,0,'Données projet'!$E$18+1,1))-AVERAGE(OFFSET($H$3,0,0,'Données projet'!$E$18+1,1))</f>
        <v>199.58763537752952</v>
      </c>
      <c r="HA52" s="59">
        <f t="shared" si="52"/>
        <v>242.62852778451929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6.0720598740139504</v>
      </c>
      <c r="HI52" s="21">
        <f>EXP(-LN(2)/2)*HI51+(1-EXP(-LN(2)/2))/(LN(2)/2)*HC52*HF52*VLOOKUP('Données projet'!$B$18,Paramètres!$A$1:$I$89,3,0)*0.475*44/12</f>
        <v>1.4862443195275438E-2</v>
      </c>
      <c r="HJ52" s="22">
        <f t="shared" si="30"/>
        <v>6.0869223172092255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223</v>
      </c>
      <c r="L53" s="12">
        <f>VLOOKUP(A53,'Données projet'!$A$35:$I$55,9,0)</f>
        <v>9.9423076923076934</v>
      </c>
      <c r="M53" s="12">
        <f t="array" ref="M53">INDEX(L:L,MIN(IF(ISNUMBER(L53:L249),ROW(L53:L249),"")))</f>
        <v>9.9423076923076934</v>
      </c>
      <c r="N53" s="13">
        <f>IF('Données projet'!$A$36&gt;35,N52+M53-V52,IF(A53&lt;'Données projet'!$A$36,$K$205^A53,IF(A53='Données projet'!$A$36,'Données projet'!$B$36,N52+M53-V52)))</f>
        <v>222.99999999999989</v>
      </c>
      <c r="O53" s="13">
        <f>N53*VLOOKUP('Données projet'!$B$9,Paramètres!$A$1:$I$89,3,0)*VLOOKUP('Données projet'!$B$9,Paramètres!$A$1:$I$89,5,0)</f>
        <v>201.77039999999988</v>
      </c>
      <c r="P53" s="13">
        <f t="shared" si="33"/>
        <v>50.133048269036053</v>
      </c>
      <c r="Q53" s="20">
        <f t="shared" si="53"/>
        <v>438.73183906857093</v>
      </c>
      <c r="R53" s="59">
        <f t="shared" si="0"/>
        <v>732.06517240190419</v>
      </c>
      <c r="S53" s="59">
        <f ca="1">AVERAGE(OFFSET($R$3,0,0,'Données projet'!$E$9+1,1))-AVERAGE(OFFSET($H$3,0,0,'Données projet'!$E$9+1,1))</f>
        <v>309.07357540707869</v>
      </c>
      <c r="T53" s="59">
        <f t="shared" si="34"/>
        <v>155.9593924683299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52.282051282051285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159.55769230769229</v>
      </c>
      <c r="AG53" s="12">
        <f>VLOOKUP(A53,'Données projet'!$A$61:$I$81,9,0)</f>
        <v>7.1434294871794854</v>
      </c>
      <c r="AH53" s="12">
        <f t="array" ref="AH53">INDEX(AG:AG,MIN(IF(ISNUMBER(AG53:AG249),ROW(AG53:AG249),"")))</f>
        <v>7.1434294871794854</v>
      </c>
      <c r="AI53" s="13">
        <f>IF('Données projet'!$A$62&gt;35,AI52+AH53-AQ52,IF(A53&lt;'Données projet'!$A$62,$AF$205^A53,IF(A53='Données projet'!$A$62,'Données projet'!$B$62,AI52+AH53-AQ52)))</f>
        <v>159.55769230769226</v>
      </c>
      <c r="AJ53" s="13">
        <f>AI53*VLOOKUP('Données projet'!$B$10,Paramètres!$A$1:$I$89,3,0)*VLOOKUP('Données projet'!$B$10,Paramètres!$A$1:$I$89,5,0)</f>
        <v>144.36779999999993</v>
      </c>
      <c r="AK53" s="13">
        <f t="shared" si="35"/>
        <v>37.295811043150181</v>
      </c>
      <c r="AL53" s="20">
        <f t="shared" si="4"/>
        <v>316.39745590015315</v>
      </c>
      <c r="AM53" s="59">
        <f t="shared" si="5"/>
        <v>609.73078923348646</v>
      </c>
      <c r="AN53" s="59">
        <f ca="1">AVERAGE(OFFSET($AM$3,0,0,'Données projet'!$E$10+1,1))-AVERAGE(OFFSET($H$3,0,0,'Données projet'!$E$10+1,1))</f>
        <v>234.30804102916278</v>
      </c>
      <c r="AO53" s="59">
        <f t="shared" si="36"/>
        <v>91.137993288782411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29.416666666666664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14.668131868131875</v>
      </c>
      <c r="BD53" s="12">
        <f>IF('Données projet'!$A$88&gt;35,BD52+BC53-BL52,IF(A53&lt;'Données projet'!$A$88,$BA$205^A53,IF(A53='Données projet'!$A$88,'Données projet'!$B$88,BD52+BC53-BL52)))</f>
        <v>260.04505494505497</v>
      </c>
      <c r="BE53" s="13">
        <f>BD53*VLOOKUP('Données projet'!$B$11,Paramètres!$A$1:$I$89,3,0)*VLOOKUP('Données projet'!$B$11,Paramètres!$A$1:$I$89,5,0)</f>
        <v>121.70108571428571</v>
      </c>
      <c r="BF53" s="13">
        <f t="shared" si="37"/>
        <v>32.071423986344442</v>
      </c>
      <c r="BG53" s="20">
        <f t="shared" si="7"/>
        <v>267.82045439526422</v>
      </c>
      <c r="BH53" s="59">
        <f t="shared" si="8"/>
        <v>561.15378772859754</v>
      </c>
      <c r="BI53" s="59">
        <f ca="1">AVERAGE(OFFSET($BH$3,0,0,'Données projet'!$E$11+1,1))-AVERAGE(OFFSET($H$3,0,0,'Données projet'!$E$11+1,1))</f>
        <v>158.58786357608489</v>
      </c>
      <c r="BJ53" s="59">
        <f t="shared" si="38"/>
        <v>163.20074068819849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11.443589743589742</v>
      </c>
      <c r="BY53" s="12">
        <f>IF('Données projet'!$A$114&gt;35,BY52+BX53-CG52,IF(A53&lt;'Données projet'!$A$114,$BV$205^A53,IF(A53='Données projet'!$A$114,'Données projet'!$B$114,BY52+BX53-CG52)))</f>
        <v>376.12564102564124</v>
      </c>
      <c r="BZ53" s="13">
        <f>BY53*VLOOKUP('Données projet'!$B$12,Paramètres!$A$1:$I$89,3,0)*VLOOKUP('Données projet'!$B$12,Paramètres!$A$1:$I$89,5,0)</f>
        <v>176.02680000000012</v>
      </c>
      <c r="CA53" s="13">
        <f t="shared" si="39"/>
        <v>44.437077329889675</v>
      </c>
      <c r="CB53" s="20">
        <f t="shared" si="10"/>
        <v>383.97458634955802</v>
      </c>
      <c r="CC53" s="59">
        <f t="shared" si="11"/>
        <v>677.30791968289134</v>
      </c>
      <c r="CD53" s="59">
        <f ca="1">AVERAGE(OFFSET($CC$3,0,0,'Données projet'!$E$12+1,1))-AVERAGE(OFFSET($H$3,0,0,'Données projet'!$E$12+1,1))</f>
        <v>123.2823358462245</v>
      </c>
      <c r="CE53" s="59">
        <f t="shared" si="40"/>
        <v>92.75115399786057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291.0846153846154</v>
      </c>
      <c r="CR53" s="12">
        <f>VLOOKUP(A53,'Données projet'!$A$139:$I$159,9,0)</f>
        <v>11.861538461538462</v>
      </c>
      <c r="CS53" s="12">
        <f t="array" ref="CS53">INDEX(CR:CR,MIN(IF(ISNUMBER(CR53:CR249),ROW(CR53:CR249),"")))</f>
        <v>11.861538461538462</v>
      </c>
      <c r="CT53" s="12">
        <f>IF('Données projet'!$A$140&gt;35,CT52+CS53-DB52,IF(A53&lt;'Données projet'!$A$140,$CQ$205^A53,IF(A53='Données projet'!$A$140,'Données projet'!$B$140,CT52+CS53-DB52)))</f>
        <v>291.08461538461546</v>
      </c>
      <c r="CU53" s="17">
        <f>CT53*VLOOKUP('Données projet'!$B$13,Paramètres!$A$1:$I$89,3,0)*VLOOKUP('Données projet'!$B$13,Paramètres!$A$1:$I$89,5,0)</f>
        <v>174.06860000000006</v>
      </c>
      <c r="CV53" s="13">
        <f t="shared" si="41"/>
        <v>43.999996552753878</v>
      </c>
      <c r="CW53" s="20">
        <f t="shared" si="13"/>
        <v>379.80280566271313</v>
      </c>
      <c r="CX53" s="59">
        <f t="shared" si="14"/>
        <v>673.13613899604638</v>
      </c>
      <c r="CY53" s="59">
        <f ca="1">AVERAGE(OFFSET($CX$3,0,0,'Données projet'!$E$13+1,1))-AVERAGE(OFFSET($H$3,0,0,'Données projet'!$E$13+1,1))</f>
        <v>179.32848817523677</v>
      </c>
      <c r="CZ53" s="59">
        <f t="shared" si="42"/>
        <v>131.3292389103035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55.292307692307688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7.5699672390104613</v>
      </c>
      <c r="DH53" s="21">
        <f>EXP(-LN(2)/2)*DH52+(1-EXP(-LN(2)/2))/(LN(2)/2)*DB53*DE53*VLOOKUP('Données projet'!$B$13,Paramètres!$A$1:$I$89,3,0)*0.475*44/12</f>
        <v>5.1395208762162478E-3</v>
      </c>
      <c r="DI53" s="22">
        <f t="shared" si="15"/>
        <v>7.5751067598866779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223</v>
      </c>
      <c r="DM53" s="12">
        <f>VLOOKUP(A53,'Données projet'!$A$165:$I$185,9,0)</f>
        <v>9.9423076923076934</v>
      </c>
      <c r="DN53" s="12">
        <f t="array" ref="DN53">INDEX(DM:DM,MIN(IF(ISNUMBER(DM53:DM249),ROW(DM53:DM249),"")))</f>
        <v>9.9423076923076934</v>
      </c>
      <c r="DO53" s="12">
        <f>IF('Données projet'!$A$166&gt;35,DO52+DN53-DW52,IF(A53&lt;'Données projet'!$A$166,$DL$205^A53,IF(A53='Données projet'!$A$166,'Données projet'!$B$166,DO52+DN53-DW52)))</f>
        <v>222.99999999999989</v>
      </c>
      <c r="DP53" s="17">
        <f>DO53*VLOOKUP('Données projet'!$B$14,Paramètres!$A$1:$I$89,3,0)*VLOOKUP('Données projet'!$B$14,Paramètres!$A$1:$I$89,5,0)</f>
        <v>215.68559999999991</v>
      </c>
      <c r="DQ53" s="13">
        <f t="shared" si="43"/>
        <v>53.176094040576679</v>
      </c>
      <c r="DR53" s="20">
        <f t="shared" si="16"/>
        <v>468.26745045400418</v>
      </c>
      <c r="DS53" s="59">
        <f t="shared" si="17"/>
        <v>761.60078378733749</v>
      </c>
      <c r="DT53" s="59">
        <f ca="1">AVERAGE(OFFSET($DS$3,0,0,'Données projet'!$E$14+1,1))-AVERAGE(OFFSET($H$3,0,0,'Données projet'!$E$14+1,1))</f>
        <v>340.4659523898373</v>
      </c>
      <c r="DU53" s="59">
        <f t="shared" si="44"/>
        <v>170.54530785680572</v>
      </c>
      <c r="DV53" s="15">
        <f>IF(ISNA(VLOOKUP(A53,'Données projet'!$A$165:$I$185,3,0)),0,VLOOKUP(A53,'Données projet'!$A$165:$I$185,3,0))</f>
        <v>3</v>
      </c>
      <c r="DW53" s="15">
        <f>IF(ISNA(VLOOKUP(A53,'Données projet'!$A$165:$I$185,4,0)),0,VLOOKUP(A53,'Données projet'!$A$165:$I$185,4,0))</f>
        <v>52.282051282051285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159.55769230769229</v>
      </c>
      <c r="EH53" s="12">
        <f>VLOOKUP(A53,'Données projet'!$A$191:$I$211,9,0)</f>
        <v>7.1434294871794854</v>
      </c>
      <c r="EI53" s="12">
        <f t="array" ref="EI53">INDEX(EH:EH,MIN(IF(ISNUMBER(EH53:EH249),ROW(EH53:EH249),"")))</f>
        <v>7.1434294871794854</v>
      </c>
      <c r="EJ53" s="12">
        <f>IF('Données projet'!$A$192&gt;35,EJ52+EI53-ER52,IF(A53&lt;'Données projet'!$A$192,$EG$205^A53,IF(A53='Données projet'!$A$192,'Données projet'!$B$192,EJ52+EI53-ER52)))</f>
        <v>159.55769230769226</v>
      </c>
      <c r="EK53" s="17">
        <f>EJ53*VLOOKUP('Données projet'!$B$15,Paramètres!$A$1:$I$89,3,0)*VLOOKUP('Données projet'!$B$15,Paramètres!$A$1:$I$89,5,0)</f>
        <v>154.32419999999996</v>
      </c>
      <c r="EL53" s="13">
        <f t="shared" si="45"/>
        <v>39.559644263144776</v>
      </c>
      <c r="EM53" s="20">
        <f t="shared" si="19"/>
        <v>337.68102875831045</v>
      </c>
      <c r="EN53" s="59">
        <f t="shared" si="20"/>
        <v>631.01436209164376</v>
      </c>
      <c r="EO53" s="59">
        <f ca="1">AVERAGE(OFFSET($EN$3,0,0,'Données projet'!$E$15+1,1))-AVERAGE(OFFSET($H$3,0,0,'Données projet'!$E$15+1,1))</f>
        <v>262.20955982183017</v>
      </c>
      <c r="EP53" s="59">
        <f t="shared" si="46"/>
        <v>101.35842063036193</v>
      </c>
      <c r="EQ53" s="15">
        <f>IF(ISNA(VLOOKUP(A53,'Données projet'!$A$191:$I$211,3,0)),0,VLOOKUP(A53,'Données projet'!$A$191:$I$211,3,0))</f>
        <v>2</v>
      </c>
      <c r="ER53" s="15">
        <f>IF(ISNA(VLOOKUP(A53,'Données projet'!$A$191:$I$211,4,0)),0,VLOOKUP(A53,'Données projet'!$A$191:$I$211,4,0))</f>
        <v>29.416666666666664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241</v>
      </c>
      <c r="FC53" s="12">
        <f>VLOOKUP(A53,'Données projet'!$A$217:$I$237,9,0)</f>
        <v>7.7</v>
      </c>
      <c r="FD53" s="12">
        <f t="array" ref="FD53">INDEX(FC:FC,MIN(IF(ISNUMBER(FC53:FC249),ROW(FC53:FC249),"")))</f>
        <v>7.7</v>
      </c>
      <c r="FE53" s="12">
        <f>IF('Données projet'!$A$218&gt;35,FE52+FD53-FM52,IF(A53&lt;'Données projet'!$A$218,$FB$205^A53,IF(A53='Données projet'!$A$218,'Données projet'!$B$218,FE52+FD53-FM52)))</f>
        <v>240.99999999999974</v>
      </c>
      <c r="FF53" s="17">
        <f>FE53*VLOOKUP('Données projet'!$B$16,Paramètres!$A$1:$I$89,3,0)*VLOOKUP('Données projet'!$B$16,Paramètres!$A$1:$I$89,5,0)</f>
        <v>191.7395999999998</v>
      </c>
      <c r="FG53" s="13">
        <f t="shared" si="47"/>
        <v>47.924349465834901</v>
      </c>
      <c r="FH53" s="20">
        <f t="shared" si="22"/>
        <v>417.41471198632871</v>
      </c>
      <c r="FI53" s="59">
        <f t="shared" si="23"/>
        <v>710.74804531966197</v>
      </c>
      <c r="FJ53" s="59">
        <f ca="1">AVERAGE(OFFSET($FI$3,0,0,'Données projet'!$E$16+1,1))-AVERAGE(OFFSET($H$3,0,0,'Données projet'!$E$16+1,1))</f>
        <v>199.58763537752952</v>
      </c>
      <c r="FK53" s="59">
        <f t="shared" si="48"/>
        <v>242.62852778451929</v>
      </c>
      <c r="FL53" s="15">
        <f>IF(ISNA(VLOOKUP(A53,'Données projet'!$A$217:$I$237,3,0)),0,VLOOKUP(A53,'Données projet'!$A$217:$I$237,3,0))</f>
        <v>4</v>
      </c>
      <c r="FM53" s="15">
        <f>IF(ISNA(VLOOKUP(A53,'Données projet'!$A$217:$I$237,4,0)),0,VLOOKUP(A53,'Données projet'!$A$217:$I$237,4,0))</f>
        <v>39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5.9060190774432879</v>
      </c>
      <c r="FS53" s="21">
        <f>EXP(-LN(2)/2)*FS52+(1-EXP(-LN(2)/2))/(LN(2)/2)*FM53*FP53*VLOOKUP('Données projet'!$B$16,Paramètres!$A$1:$I$89,3,0)*0.475*44/12</f>
        <v>1.0509334368379121E-2</v>
      </c>
      <c r="FT53" s="22">
        <f t="shared" si="24"/>
        <v>5.916528411811667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241</v>
      </c>
      <c r="FX53" s="12">
        <f>VLOOKUP(A53,'Données projet'!$A$243:$I$263,9,0)</f>
        <v>7.7</v>
      </c>
      <c r="FY53" s="12">
        <f t="array" ref="FY53">INDEX(FX:FX,MIN(IF(ISNUMBER(FX53:FX249),ROW(FX53:FX249),"")))</f>
        <v>7.7</v>
      </c>
      <c r="FZ53" s="12">
        <f>IF('Données projet'!$A$244&gt;35,FZ52+FY53-GH52,IF(A53&lt;'Données projet'!$A$244,$FW$205^A53,IF(A53='Données projet'!$A$244,'Données projet'!$B$244,FZ52+FY53-GH52)))</f>
        <v>240.99999999999974</v>
      </c>
      <c r="GA53" s="17">
        <f>FZ53*VLOOKUP('Données projet'!$B$17,Paramètres!$A$1:$I$89,3,0)*VLOOKUP('Données projet'!$B$17,Paramètres!$A$1:$I$89,5,0)</f>
        <v>176.7011999999998</v>
      </c>
      <c r="GB53" s="13">
        <f t="shared" si="49"/>
        <v>44.587475741993309</v>
      </c>
      <c r="GC53" s="20">
        <f t="shared" si="25"/>
        <v>385.41111025063793</v>
      </c>
      <c r="GD53" s="59">
        <f t="shared" si="26"/>
        <v>678.74444358397125</v>
      </c>
      <c r="GE53" s="59">
        <f ca="1">AVERAGE(OFFSET($GD$3,0,0,'Données projet'!$E$17+1,1))-AVERAGE(OFFSET($H$3,0,0,'Données projet'!$E$17+1,1))</f>
        <v>178.12968684094687</v>
      </c>
      <c r="GF53" s="59">
        <f t="shared" si="50"/>
        <v>219.36004077210373</v>
      </c>
      <c r="GG53" s="15">
        <f>IF(ISNA(VLOOKUP(A53,'Données projet'!$A$243:$I$263,3,0)),0,VLOOKUP(A53,'Données projet'!$A$243:$I$263,3,0))</f>
        <v>4</v>
      </c>
      <c r="GH53" s="15">
        <f>IF(ISNA(VLOOKUP(A53,'Données projet'!$A$243:$I$263,4,0)),0,VLOOKUP(A53,'Données projet'!$A$243:$I$263,4,0))</f>
        <v>39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4.4158581411442421</v>
      </c>
      <c r="GN53" s="21">
        <f>EXP(-LN(2)/2)*GN52+(1-EXP(-LN(2)/2))/(LN(2)/2)*GH53*GK53*VLOOKUP('Données projet'!$B$17,Paramètres!$A$1:$I$89,3,0)*0.475*44/12</f>
        <v>9.685072849290554E-3</v>
      </c>
      <c r="GO53" s="21">
        <f t="shared" si="27"/>
        <v>4.4255432139935325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241</v>
      </c>
      <c r="GS53" s="12">
        <f>VLOOKUP(A53,'Données projet'!$A$269:$I$289,9,0)</f>
        <v>7.7</v>
      </c>
      <c r="GT53" s="12">
        <f t="array" ref="GT53">INDEX(GS:GS,MIN(IF(ISNUMBER(GS53:GS249),ROW(GS53:GS249),"")))</f>
        <v>7.7</v>
      </c>
      <c r="GU53" s="12">
        <f>IF('Données projet'!$A$270&gt;35,GU52+GT53-HC52,IF(A53&lt;'Données projet'!$A$270,$GR$205^A53,IF(A53='Données projet'!$A$270,'Données projet'!$B$270,GU52+GT53-HC52)))</f>
        <v>240.99999999999974</v>
      </c>
      <c r="GV53" s="17">
        <f>GU53*VLOOKUP('Données projet'!$B$18,Paramètres!$A$1:$I$89,3,0)*VLOOKUP('Données projet'!$B$18,Paramètres!$A$1:$I$89,5,0)</f>
        <v>191.7395999999998</v>
      </c>
      <c r="GW53" s="13">
        <f t="shared" si="51"/>
        <v>47.924349465834901</v>
      </c>
      <c r="GX53" s="20">
        <f t="shared" si="28"/>
        <v>417.41471198632871</v>
      </c>
      <c r="GY53" s="59">
        <f t="shared" si="29"/>
        <v>710.74804531966197</v>
      </c>
      <c r="GZ53" s="59">
        <f ca="1">AVERAGE(OFFSET($GY$3,0,0,'Données projet'!$E$18+1,1))-AVERAGE(OFFSET($H$3,0,0,'Données projet'!$E$18+1,1))</f>
        <v>199.58763537752952</v>
      </c>
      <c r="HA53" s="59">
        <f t="shared" si="52"/>
        <v>242.62852778451929</v>
      </c>
      <c r="HB53" s="15">
        <f>IF(ISNA(VLOOKUP(A53,'Données projet'!$A$269:$I$289,3,0)),0,VLOOKUP(A53,'Données projet'!$A$269:$I$289,3,0))</f>
        <v>4</v>
      </c>
      <c r="HC53" s="15">
        <f>IF(ISNA(VLOOKUP(A53,'Données projet'!$A$269:$I$289,4,0)),0,VLOOKUP(A53,'Données projet'!$A$269:$I$289,4,0))</f>
        <v>39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5.9060190774432879</v>
      </c>
      <c r="HI53" s="21">
        <f>EXP(-LN(2)/2)*HI52+(1-EXP(-LN(2)/2))/(LN(2)/2)*HC53*HF53*VLOOKUP('Données projet'!$B$18,Paramètres!$A$1:$I$89,3,0)*0.475*44/12</f>
        <v>1.0509334368379121E-2</v>
      </c>
      <c r="HJ53" s="22">
        <f t="shared" si="30"/>
        <v>5.916528411811667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9.6586538461538431</v>
      </c>
      <c r="N54" s="13">
        <f>IF('Données projet'!$A$36&gt;35,N53+M54-V53,IF(A54&lt;'Données projet'!$A$36,$K$205^A54,IF(A54='Données projet'!$A$36,'Données projet'!$B$36,N53+M54-V53)))</f>
        <v>180.37660256410243</v>
      </c>
      <c r="O54" s="13">
        <f>N54*VLOOKUP('Données projet'!$B$9,Paramètres!$A$1:$I$89,3,0)*VLOOKUP('Données projet'!$B$9,Paramètres!$A$1:$I$89,5,0)</f>
        <v>163.20474999999988</v>
      </c>
      <c r="P54" s="13">
        <f t="shared" si="33"/>
        <v>41.564519294689731</v>
      </c>
      <c r="Q54" s="20">
        <f t="shared" si="53"/>
        <v>356.63981068825109</v>
      </c>
      <c r="R54" s="59">
        <f t="shared" si="0"/>
        <v>649.9731440215844</v>
      </c>
      <c r="S54" s="59">
        <f ca="1">AVERAGE(OFFSET($R$3,0,0,'Données projet'!$E$9+1,1))-AVERAGE(OFFSET($H$3,0,0,'Données projet'!$E$9+1,1))</f>
        <v>309.07357540707869</v>
      </c>
      <c r="T54" s="59">
        <f t="shared" si="34"/>
        <v>155.9593924683299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7.2307692307692299</v>
      </c>
      <c r="AI54" s="13">
        <f>IF('Données projet'!$A$62&gt;35,AI53+AH54-AQ53,IF(A54&lt;'Données projet'!$A$62,$AF$205^A54,IF(A54='Données projet'!$A$62,'Données projet'!$B$62,AI53+AH54-AQ53)))</f>
        <v>137.37179487179483</v>
      </c>
      <c r="AJ54" s="13">
        <f>AI54*VLOOKUP('Données projet'!$B$10,Paramètres!$A$1:$I$89,3,0)*VLOOKUP('Données projet'!$B$10,Paramètres!$A$1:$I$89,5,0)</f>
        <v>124.29399999999997</v>
      </c>
      <c r="AK54" s="13">
        <f t="shared" si="35"/>
        <v>32.674445813839199</v>
      </c>
      <c r="AL54" s="20">
        <f t="shared" si="4"/>
        <v>273.38670979243653</v>
      </c>
      <c r="AM54" s="59">
        <f t="shared" si="5"/>
        <v>566.72004312576985</v>
      </c>
      <c r="AN54" s="59">
        <f ca="1">AVERAGE(OFFSET($AM$3,0,0,'Données projet'!$E$10+1,1))-AVERAGE(OFFSET($H$3,0,0,'Données projet'!$E$10+1,1))</f>
        <v>234.30804102916278</v>
      </c>
      <c r="AO54" s="59">
        <f t="shared" si="36"/>
        <v>91.137993288782411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14.668131868131875</v>
      </c>
      <c r="BD54" s="12">
        <f>IF('Données projet'!$A$88&gt;35,BD53+BC54-BL53,IF(A54&lt;'Données projet'!$A$88,$BA$205^A54,IF(A54='Données projet'!$A$88,'Données projet'!$B$88,BD53+BC54-BL53)))</f>
        <v>274.71318681318684</v>
      </c>
      <c r="BE54" s="13">
        <f>BD54*VLOOKUP('Données projet'!$B$11,Paramètres!$A$1:$I$89,3,0)*VLOOKUP('Données projet'!$B$11,Paramètres!$A$1:$I$89,5,0)</f>
        <v>128.56577142857145</v>
      </c>
      <c r="BF54" s="13">
        <f t="shared" si="37"/>
        <v>33.664737545838108</v>
      </c>
      <c r="BG54" s="20">
        <f t="shared" si="7"/>
        <v>282.55146979709662</v>
      </c>
      <c r="BH54" s="59">
        <f t="shared" si="8"/>
        <v>575.88480313042987</v>
      </c>
      <c r="BI54" s="59">
        <f ca="1">AVERAGE(OFFSET($BH$3,0,0,'Données projet'!$E$11+1,1))-AVERAGE(OFFSET($H$3,0,0,'Données projet'!$E$11+1,1))</f>
        <v>158.58786357608489</v>
      </c>
      <c r="BJ54" s="59">
        <f t="shared" si="38"/>
        <v>163.20074068819849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387.56923076923073</v>
      </c>
      <c r="BW54" s="12">
        <f>VLOOKUP(A54,'Données projet'!$A$113:$I$133,9,0)</f>
        <v>11.443589743589742</v>
      </c>
      <c r="BX54" s="12">
        <f t="array" ref="BX54">INDEX(BW:BW,MIN(IF(ISNUMBER(BW54:BW250),ROW(BW54:BW250),"")))</f>
        <v>11.443589743589742</v>
      </c>
      <c r="BY54" s="12">
        <f>IF('Données projet'!$A$114&gt;35,BY53+BX54-CG53,IF(A54&lt;'Données projet'!$A$114,$BV$205^A54,IF(A54='Données projet'!$A$114,'Données projet'!$B$114,BY53+BX54-CG53)))</f>
        <v>387.56923076923101</v>
      </c>
      <c r="BZ54" s="13">
        <f>BY54*VLOOKUP('Données projet'!$B$12,Paramètres!$A$1:$I$89,3,0)*VLOOKUP('Données projet'!$B$12,Paramètres!$A$1:$I$89,5,0)</f>
        <v>181.3824000000001</v>
      </c>
      <c r="CA54" s="13">
        <f t="shared" si="39"/>
        <v>45.629607617375228</v>
      </c>
      <c r="CB54" s="20">
        <f t="shared" si="10"/>
        <v>395.37924660026198</v>
      </c>
      <c r="CC54" s="59">
        <f t="shared" si="11"/>
        <v>688.71257993359529</v>
      </c>
      <c r="CD54" s="59">
        <f ca="1">AVERAGE(OFFSET($CC$3,0,0,'Données projet'!$E$12+1,1))-AVERAGE(OFFSET($H$3,0,0,'Données projet'!$E$12+1,1))</f>
        <v>123.2823358462245</v>
      </c>
      <c r="CE54" s="59">
        <f t="shared" si="40"/>
        <v>92.75115399786057</v>
      </c>
      <c r="CF54" s="15">
        <f>IF(ISNA(VLOOKUP(A54,'Données projet'!$A$113:$I$133,3,0)),0,VLOOKUP(A54,'Données projet'!$A$113:$I$133,3,0))</f>
        <v>1</v>
      </c>
      <c r="CG54" s="15">
        <f>IF(ISNA(VLOOKUP(A54,'Données projet'!$A$113:$I$133,4,0)),0,VLOOKUP(A54,'Données projet'!$A$113:$I$133,4,0))</f>
        <v>170.16153846153847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10.66307692307692</v>
      </c>
      <c r="CT54" s="12">
        <f>IF('Données projet'!$A$140&gt;35,CT53+CS54-DB53,IF(A54&lt;'Données projet'!$A$140,$CQ$205^A54,IF(A54='Données projet'!$A$140,'Données projet'!$B$140,CT53+CS54-DB53)))</f>
        <v>246.45538461538467</v>
      </c>
      <c r="CU54" s="17">
        <f>CT54*VLOOKUP('Données projet'!$B$13,Paramètres!$A$1:$I$89,3,0)*VLOOKUP('Données projet'!$B$13,Paramètres!$A$1:$I$89,5,0)</f>
        <v>147.38032000000004</v>
      </c>
      <c r="CV54" s="13">
        <f t="shared" si="41"/>
        <v>37.982644854557613</v>
      </c>
      <c r="CW54" s="20">
        <f t="shared" si="13"/>
        <v>322.84049712168786</v>
      </c>
      <c r="CX54" s="59">
        <f t="shared" si="14"/>
        <v>616.17383045502118</v>
      </c>
      <c r="CY54" s="59">
        <f ca="1">AVERAGE(OFFSET($CX$3,0,0,'Données projet'!$E$13+1,1))-AVERAGE(OFFSET($H$3,0,0,'Données projet'!$E$13+1,1))</f>
        <v>179.32848817523677</v>
      </c>
      <c r="CZ54" s="59">
        <f t="shared" si="42"/>
        <v>131.3292389103035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7.3629660867724445</v>
      </c>
      <c r="DH54" s="21">
        <f>EXP(-LN(2)/2)*DH53+(1-EXP(-LN(2)/2))/(LN(2)/2)*DB54*DE54*VLOOKUP('Données projet'!$B$13,Paramètres!$A$1:$I$89,3,0)*0.475*44/12</f>
        <v>3.6341900636223355E-3</v>
      </c>
      <c r="DI54" s="22">
        <f t="shared" si="15"/>
        <v>7.366600276836067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9.6586538461538431</v>
      </c>
      <c r="DO54" s="12">
        <f>IF('Données projet'!$A$166&gt;35,DO53+DN54-DW53,IF(A54&lt;'Données projet'!$A$166,$DL$205^A54,IF(A54='Données projet'!$A$166,'Données projet'!$B$166,DO53+DN54-DW53)))</f>
        <v>180.37660256410243</v>
      </c>
      <c r="DP54" s="17">
        <f>DO54*VLOOKUP('Données projet'!$B$14,Paramètres!$A$1:$I$89,3,0)*VLOOKUP('Données projet'!$B$14,Paramètres!$A$1:$I$89,5,0)</f>
        <v>174.46024999999986</v>
      </c>
      <c r="DQ54" s="13">
        <f t="shared" si="43"/>
        <v>44.087460529123796</v>
      </c>
      <c r="DR54" s="20">
        <f t="shared" si="16"/>
        <v>380.63726250489032</v>
      </c>
      <c r="DS54" s="59">
        <f t="shared" si="17"/>
        <v>673.97059583822363</v>
      </c>
      <c r="DT54" s="59">
        <f ca="1">AVERAGE(OFFSET($DS$3,0,0,'Données projet'!$E$14+1,1))-AVERAGE(OFFSET($H$3,0,0,'Données projet'!$E$14+1,1))</f>
        <v>340.4659523898373</v>
      </c>
      <c r="DU54" s="59">
        <f t="shared" si="44"/>
        <v>170.54530785680572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7.2307692307692299</v>
      </c>
      <c r="EJ54" s="12">
        <f>IF('Données projet'!$A$192&gt;35,EJ53+EI54-ER53,IF(A54&lt;'Données projet'!$A$192,$EG$205^A54,IF(A54='Données projet'!$A$192,'Données projet'!$B$192,EJ53+EI54-ER53)))</f>
        <v>137.37179487179483</v>
      </c>
      <c r="EK54" s="17">
        <f>EJ54*VLOOKUP('Données projet'!$B$15,Paramètres!$A$1:$I$89,3,0)*VLOOKUP('Données projet'!$B$15,Paramètres!$A$1:$I$89,5,0)</f>
        <v>132.86599999999996</v>
      </c>
      <c r="EL54" s="13">
        <f t="shared" si="45"/>
        <v>34.657764953693857</v>
      </c>
      <c r="EM54" s="20">
        <f t="shared" si="19"/>
        <v>291.77055729435006</v>
      </c>
      <c r="EN54" s="59">
        <f t="shared" si="20"/>
        <v>585.10389062768331</v>
      </c>
      <c r="EO54" s="59">
        <f ca="1">AVERAGE(OFFSET($EN$3,0,0,'Données projet'!$E$15+1,1))-AVERAGE(OFFSET($H$3,0,0,'Données projet'!$E$15+1,1))</f>
        <v>262.20955982183017</v>
      </c>
      <c r="EP54" s="59">
        <f t="shared" si="46"/>
        <v>101.35842063036193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5.6</v>
      </c>
      <c r="FE54" s="12">
        <f>IF('Données projet'!$A$218&gt;35,FE53+FD54-FM53,IF(A54&lt;'Données projet'!$A$218,$FB$205^A54,IF(A54='Données projet'!$A$218,'Données projet'!$B$218,FE53+FD54-FM53)))</f>
        <v>207.59999999999974</v>
      </c>
      <c r="FF54" s="17">
        <f>FE54*VLOOKUP('Données projet'!$B$16,Paramètres!$A$1:$I$89,3,0)*VLOOKUP('Données projet'!$B$16,Paramètres!$A$1:$I$89,5,0)</f>
        <v>165.16655999999981</v>
      </c>
      <c r="FG54" s="13">
        <f t="shared" si="47"/>
        <v>42.005683261714502</v>
      </c>
      <c r="FH54" s="20">
        <f t="shared" si="22"/>
        <v>360.82499034748571</v>
      </c>
      <c r="FI54" s="59">
        <f t="shared" si="23"/>
        <v>654.15832368081897</v>
      </c>
      <c r="FJ54" s="59">
        <f ca="1">AVERAGE(OFFSET($FI$3,0,0,'Données projet'!$E$16+1,1))-AVERAGE(OFFSET($H$3,0,0,'Données projet'!$E$16+1,1))</f>
        <v>199.58763537752952</v>
      </c>
      <c r="FK54" s="59">
        <f t="shared" si="48"/>
        <v>242.62852778451929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5.7445186751865567</v>
      </c>
      <c r="FS54" s="21">
        <f>EXP(-LN(2)/2)*FS53+(1-EXP(-LN(2)/2))/(LN(2)/2)*FM54*FP54*VLOOKUP('Données projet'!$B$16,Paramètres!$A$1:$I$89,3,0)*0.475*44/12</f>
        <v>7.4312215976377188E-3</v>
      </c>
      <c r="FT54" s="22">
        <f t="shared" si="24"/>
        <v>5.7519498967841942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5.6</v>
      </c>
      <c r="FZ54" s="12">
        <f>IF('Données projet'!$A$244&gt;35,FZ53+FY54-GH53,IF(A54&lt;'Données projet'!$A$244,$FW$205^A54,IF(A54='Données projet'!$A$244,'Données projet'!$B$244,FZ53+FY54-GH53)))</f>
        <v>207.59999999999974</v>
      </c>
      <c r="GA54" s="17">
        <f>FZ54*VLOOKUP('Données projet'!$B$17,Paramètres!$A$1:$I$89,3,0)*VLOOKUP('Données projet'!$B$17,Paramètres!$A$1:$I$89,5,0)</f>
        <v>152.21231999999981</v>
      </c>
      <c r="GB54" s="13">
        <f t="shared" si="49"/>
        <v>39.08091407255835</v>
      </c>
      <c r="GC54" s="20">
        <f t="shared" si="25"/>
        <v>333.16904934303881</v>
      </c>
      <c r="GD54" s="59">
        <f t="shared" si="26"/>
        <v>626.50238267637212</v>
      </c>
      <c r="GE54" s="59">
        <f ca="1">AVERAGE(OFFSET($GD$3,0,0,'Données projet'!$E$17+1,1))-AVERAGE(OFFSET($H$3,0,0,'Données projet'!$E$17+1,1))</f>
        <v>178.12968684094687</v>
      </c>
      <c r="GF54" s="59">
        <f t="shared" si="50"/>
        <v>219.36004077210373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4.2951062680547656</v>
      </c>
      <c r="GN54" s="21">
        <f>EXP(-LN(2)/2)*GN53+(1-EXP(-LN(2)/2))/(LN(2)/2)*GH54*GK54*VLOOKUP('Données projet'!$B$17,Paramètres!$A$1:$I$89,3,0)*0.475*44/12</f>
        <v>6.8483806880190682E-3</v>
      </c>
      <c r="GO54" s="21">
        <f t="shared" si="27"/>
        <v>4.3019546487427842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5.6</v>
      </c>
      <c r="GU54" s="12">
        <f>IF('Données projet'!$A$270&gt;35,GU53+GT54-HC53,IF(A54&lt;'Données projet'!$A$270,$GR$205^A54,IF(A54='Données projet'!$A$270,'Données projet'!$B$270,GU53+GT54-HC53)))</f>
        <v>207.59999999999974</v>
      </c>
      <c r="GV54" s="17">
        <f>GU54*VLOOKUP('Données projet'!$B$18,Paramètres!$A$1:$I$89,3,0)*VLOOKUP('Données projet'!$B$18,Paramètres!$A$1:$I$89,5,0)</f>
        <v>165.16655999999981</v>
      </c>
      <c r="GW54" s="13">
        <f t="shared" si="51"/>
        <v>42.005683261714502</v>
      </c>
      <c r="GX54" s="20">
        <f t="shared" si="28"/>
        <v>360.82499034748571</v>
      </c>
      <c r="GY54" s="59">
        <f t="shared" si="29"/>
        <v>654.15832368081897</v>
      </c>
      <c r="GZ54" s="59">
        <f ca="1">AVERAGE(OFFSET($GY$3,0,0,'Données projet'!$E$18+1,1))-AVERAGE(OFFSET($H$3,0,0,'Données projet'!$E$18+1,1))</f>
        <v>199.58763537752952</v>
      </c>
      <c r="HA54" s="59">
        <f t="shared" si="52"/>
        <v>242.62852778451929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5.7445186751865567</v>
      </c>
      <c r="HI54" s="21">
        <f>EXP(-LN(2)/2)*HI53+(1-EXP(-LN(2)/2))/(LN(2)/2)*HC54*HF54*VLOOKUP('Données projet'!$B$18,Paramètres!$A$1:$I$89,3,0)*0.475*44/12</f>
        <v>7.4312215976377188E-3</v>
      </c>
      <c r="HJ54" s="22">
        <f t="shared" si="30"/>
        <v>5.7519498967841942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9.6586538461538431</v>
      </c>
      <c r="N55" s="13">
        <f>IF('Données projet'!$A$36&gt;35,N54+M55-V54,IF(A55&lt;'Données projet'!$A$36,$K$205^A55,IF(A55='Données projet'!$A$36,'Données projet'!$B$36,N54+M55-V54)))</f>
        <v>190.03525641025627</v>
      </c>
      <c r="O55" s="13">
        <f>N55*VLOOKUP('Données projet'!$B$9,Paramètres!$A$1:$I$89,3,0)*VLOOKUP('Données projet'!$B$9,Paramètres!$A$1:$I$89,5,0)</f>
        <v>171.94389999999987</v>
      </c>
      <c r="P55" s="13">
        <f t="shared" si="33"/>
        <v>43.525104007742414</v>
      </c>
      <c r="Q55" s="20">
        <f t="shared" si="53"/>
        <v>375.2751819801511</v>
      </c>
      <c r="R55" s="59">
        <f t="shared" si="0"/>
        <v>668.60851531348442</v>
      </c>
      <c r="S55" s="59">
        <f ca="1">AVERAGE(OFFSET($R$3,0,0,'Données projet'!$E$9+1,1))-AVERAGE(OFFSET($H$3,0,0,'Données projet'!$E$9+1,1))</f>
        <v>309.07357540707869</v>
      </c>
      <c r="T55" s="59">
        <f t="shared" si="34"/>
        <v>155.9593924683299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7.2307692307692299</v>
      </c>
      <c r="AI55" s="13">
        <f>IF('Données projet'!$A$62&gt;35,AI54+AH55-AQ54,IF(A55&lt;'Données projet'!$A$62,$AF$205^A55,IF(A55='Données projet'!$A$62,'Données projet'!$B$62,AI54+AH55-AQ54)))</f>
        <v>144.60256410256406</v>
      </c>
      <c r="AJ55" s="13">
        <f>AI55*VLOOKUP('Données projet'!$B$10,Paramètres!$A$1:$I$89,3,0)*VLOOKUP('Données projet'!$B$10,Paramètres!$A$1:$I$89,5,0)</f>
        <v>130.83639999999997</v>
      </c>
      <c r="AK55" s="13">
        <f t="shared" si="35"/>
        <v>34.189554618744083</v>
      </c>
      <c r="AL55" s="20">
        <f t="shared" si="4"/>
        <v>287.4202042943125</v>
      </c>
      <c r="AM55" s="59">
        <f t="shared" si="5"/>
        <v>580.75353762764576</v>
      </c>
      <c r="AN55" s="59">
        <f ca="1">AVERAGE(OFFSET($AM$3,0,0,'Données projet'!$E$10+1,1))-AVERAGE(OFFSET($H$3,0,0,'Données projet'!$E$10+1,1))</f>
        <v>234.30804102916278</v>
      </c>
      <c r="AO55" s="59">
        <f t="shared" si="36"/>
        <v>91.137993288782411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14.668131868131875</v>
      </c>
      <c r="BD55" s="12">
        <f>IF('Données projet'!$A$88&gt;35,BD54+BC55-BL54,IF(A55&lt;'Données projet'!$A$88,$BA$205^A55,IF(A55='Données projet'!$A$88,'Données projet'!$B$88,BD54+BC55-BL54)))</f>
        <v>289.3813186813187</v>
      </c>
      <c r="BE55" s="13">
        <f>BD55*VLOOKUP('Données projet'!$B$11,Paramètres!$A$1:$I$89,3,0)*VLOOKUP('Données projet'!$B$11,Paramètres!$A$1:$I$89,5,0)</f>
        <v>135.43045714285716</v>
      </c>
      <c r="BF55" s="13">
        <f t="shared" si="37"/>
        <v>35.248174253598229</v>
      </c>
      <c r="BG55" s="20">
        <f t="shared" si="7"/>
        <v>297.26528301549314</v>
      </c>
      <c r="BH55" s="59">
        <f t="shared" si="8"/>
        <v>590.59861634882645</v>
      </c>
      <c r="BI55" s="59">
        <f ca="1">AVERAGE(OFFSET($BH$3,0,0,'Données projet'!$E$11+1,1))-AVERAGE(OFFSET($H$3,0,0,'Données projet'!$E$11+1,1))</f>
        <v>158.58786357608489</v>
      </c>
      <c r="BJ55" s="59">
        <f t="shared" si="38"/>
        <v>163.20074068819849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11.170769230769238</v>
      </c>
      <c r="BY55" s="12">
        <f>IF('Données projet'!$A$114&gt;35,BY54+BX55-CG54,IF(A55&lt;'Données projet'!$A$114,$BV$205^A55,IF(A55='Données projet'!$A$114,'Données projet'!$B$114,BY54+BX55-CG54)))</f>
        <v>228.57846153846177</v>
      </c>
      <c r="BZ55" s="13">
        <f>BY55*VLOOKUP('Données projet'!$B$12,Paramètres!$A$1:$I$89,3,0)*VLOOKUP('Données projet'!$B$12,Paramètres!$A$1:$I$89,5,0)</f>
        <v>106.9747200000001</v>
      </c>
      <c r="CA55" s="13">
        <f t="shared" si="39"/>
        <v>28.617052249308387</v>
      </c>
      <c r="CB55" s="20">
        <f t="shared" si="10"/>
        <v>236.15567000087893</v>
      </c>
      <c r="CC55" s="59">
        <f t="shared" si="11"/>
        <v>529.48900333421227</v>
      </c>
      <c r="CD55" s="59">
        <f ca="1">AVERAGE(OFFSET($CC$3,0,0,'Données projet'!$E$12+1,1))-AVERAGE(OFFSET($H$3,0,0,'Données projet'!$E$12+1,1))</f>
        <v>123.2823358462245</v>
      </c>
      <c r="CE55" s="59">
        <f t="shared" si="40"/>
        <v>92.75115399786057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10.66307692307692</v>
      </c>
      <c r="CT55" s="12">
        <f>IF('Données projet'!$A$140&gt;35,CT54+CS55-DB54,IF(A55&lt;'Données projet'!$A$140,$CQ$205^A55,IF(A55='Données projet'!$A$140,'Données projet'!$B$140,CT54+CS55-DB54)))</f>
        <v>257.11846153846159</v>
      </c>
      <c r="CU55" s="17">
        <f>CT55*VLOOKUP('Données projet'!$B$13,Paramètres!$A$1:$I$89,3,0)*VLOOKUP('Données projet'!$B$13,Paramètres!$A$1:$I$89,5,0)</f>
        <v>153.75684000000004</v>
      </c>
      <c r="CV55" s="13">
        <f t="shared" si="41"/>
        <v>39.431107959482766</v>
      </c>
      <c r="CW55" s="20">
        <f t="shared" si="13"/>
        <v>336.46900936276592</v>
      </c>
      <c r="CX55" s="59">
        <f t="shared" si="14"/>
        <v>629.80234269609923</v>
      </c>
      <c r="CY55" s="59">
        <f ca="1">AVERAGE(OFFSET($CX$3,0,0,'Données projet'!$E$13+1,1))-AVERAGE(OFFSET($H$3,0,0,'Données projet'!$E$13+1,1))</f>
        <v>179.32848817523677</v>
      </c>
      <c r="CZ55" s="59">
        <f t="shared" si="42"/>
        <v>131.3292389103035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7.1616253919280934</v>
      </c>
      <c r="DH55" s="21">
        <f>EXP(-LN(2)/2)*DH54+(1-EXP(-LN(2)/2))/(LN(2)/2)*DB55*DE55*VLOOKUP('Données projet'!$B$13,Paramètres!$A$1:$I$89,3,0)*0.475*44/12</f>
        <v>2.5697604381081244E-3</v>
      </c>
      <c r="DI55" s="22">
        <f t="shared" si="15"/>
        <v>7.1641951523662017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9.6586538461538431</v>
      </c>
      <c r="DO55" s="12">
        <f>IF('Données projet'!$A$166&gt;35,DO54+DN55-DW54,IF(A55&lt;'Données projet'!$A$166,$DL$205^A55,IF(A55='Données projet'!$A$166,'Données projet'!$B$166,DO54+DN55-DW54)))</f>
        <v>190.03525641025627</v>
      </c>
      <c r="DP55" s="17">
        <f>DO55*VLOOKUP('Données projet'!$B$14,Paramètres!$A$1:$I$89,3,0)*VLOOKUP('Données projet'!$B$14,Paramètres!$A$1:$I$89,5,0)</f>
        <v>183.80209999999988</v>
      </c>
      <c r="DQ55" s="13">
        <f t="shared" si="43"/>
        <v>46.167051550924853</v>
      </c>
      <c r="DR55" s="20">
        <f t="shared" si="16"/>
        <v>400.52960561786057</v>
      </c>
      <c r="DS55" s="59">
        <f t="shared" si="17"/>
        <v>693.86293895119388</v>
      </c>
      <c r="DT55" s="59">
        <f ca="1">AVERAGE(OFFSET($DS$3,0,0,'Données projet'!$E$14+1,1))-AVERAGE(OFFSET($H$3,0,0,'Données projet'!$E$14+1,1))</f>
        <v>340.4659523898373</v>
      </c>
      <c r="DU55" s="59">
        <f t="shared" si="44"/>
        <v>170.54530785680572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7.2307692307692299</v>
      </c>
      <c r="EJ55" s="12">
        <f>IF('Données projet'!$A$192&gt;35,EJ54+EI55-ER54,IF(A55&lt;'Données projet'!$A$192,$EG$205^A55,IF(A55='Données projet'!$A$192,'Données projet'!$B$192,EJ54+EI55-ER54)))</f>
        <v>144.60256410256406</v>
      </c>
      <c r="EK55" s="17">
        <f>EJ55*VLOOKUP('Données projet'!$B$15,Paramètres!$A$1:$I$89,3,0)*VLOOKUP('Données projet'!$B$15,Paramètres!$A$1:$I$89,5,0)</f>
        <v>139.85959999999997</v>
      </c>
      <c r="EL55" s="13">
        <f t="shared" si="45"/>
        <v>36.264839948594755</v>
      </c>
      <c r="EM55" s="20">
        <f t="shared" si="19"/>
        <v>306.75006624380251</v>
      </c>
      <c r="EN55" s="59">
        <f t="shared" si="20"/>
        <v>600.08339957713588</v>
      </c>
      <c r="EO55" s="59">
        <f ca="1">AVERAGE(OFFSET($EN$3,0,0,'Données projet'!$E$15+1,1))-AVERAGE(OFFSET($H$3,0,0,'Données projet'!$E$15+1,1))</f>
        <v>262.20955982183017</v>
      </c>
      <c r="EP55" s="59">
        <f t="shared" si="46"/>
        <v>101.35842063036193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5.6</v>
      </c>
      <c r="FE55" s="12">
        <f>IF('Données projet'!$A$218&gt;35,FE54+FD55-FM54,IF(A55&lt;'Données projet'!$A$218,$FB$205^A55,IF(A55='Données projet'!$A$218,'Données projet'!$B$218,FE54+FD55-FM54)))</f>
        <v>213.19999999999973</v>
      </c>
      <c r="FF55" s="17">
        <f>FE55*VLOOKUP('Données projet'!$B$16,Paramètres!$A$1:$I$89,3,0)*VLOOKUP('Données projet'!$B$16,Paramètres!$A$1:$I$89,5,0)</f>
        <v>169.62191999999982</v>
      </c>
      <c r="FG55" s="13">
        <f t="shared" si="47"/>
        <v>43.005335272941906</v>
      </c>
      <c r="FH55" s="20">
        <f t="shared" si="22"/>
        <v>370.32580293370683</v>
      </c>
      <c r="FI55" s="59">
        <f t="shared" si="23"/>
        <v>663.65913626704014</v>
      </c>
      <c r="FJ55" s="59">
        <f ca="1">AVERAGE(OFFSET($FI$3,0,0,'Données projet'!$E$16+1,1))-AVERAGE(OFFSET($H$3,0,0,'Données projet'!$E$16+1,1))</f>
        <v>199.58763537752952</v>
      </c>
      <c r="FK55" s="59">
        <f t="shared" si="48"/>
        <v>242.62852778451929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5.5874345099224723</v>
      </c>
      <c r="FS55" s="21">
        <f>EXP(-LN(2)/2)*FS54+(1-EXP(-LN(2)/2))/(LN(2)/2)*FM55*FP55*VLOOKUP('Données projet'!$B$16,Paramètres!$A$1:$I$89,3,0)*0.475*44/12</f>
        <v>5.2546671841895605E-3</v>
      </c>
      <c r="FT55" s="22">
        <f t="shared" si="24"/>
        <v>5.5926891771066618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5.6</v>
      </c>
      <c r="FZ55" s="12">
        <f>IF('Données projet'!$A$244&gt;35,FZ54+FY55-GH54,IF(A55&lt;'Données projet'!$A$244,$FW$205^A55,IF(A55='Données projet'!$A$244,'Données projet'!$B$244,FZ54+FY55-GH54)))</f>
        <v>213.19999999999973</v>
      </c>
      <c r="GA55" s="17">
        <f>FZ55*VLOOKUP('Données projet'!$B$17,Paramètres!$A$1:$I$89,3,0)*VLOOKUP('Données projet'!$B$17,Paramètres!$A$1:$I$89,5,0)</f>
        <v>156.3182399999998</v>
      </c>
      <c r="GB55" s="13">
        <f t="shared" si="49"/>
        <v>40.010962373637788</v>
      </c>
      <c r="GC55" s="20">
        <f t="shared" si="25"/>
        <v>341.94002746741876</v>
      </c>
      <c r="GD55" s="59">
        <f t="shared" si="26"/>
        <v>635.27336080075202</v>
      </c>
      <c r="GE55" s="59">
        <f ca="1">AVERAGE(OFFSET($GD$3,0,0,'Données projet'!$E$17+1,1))-AVERAGE(OFFSET($H$3,0,0,'Données projet'!$E$17+1,1))</f>
        <v>178.12968684094687</v>
      </c>
      <c r="GF55" s="59">
        <f t="shared" si="50"/>
        <v>219.36004077210373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4.1776563612849857</v>
      </c>
      <c r="GN55" s="21">
        <f>EXP(-LN(2)/2)*GN54+(1-EXP(-LN(2)/2))/(LN(2)/2)*GH55*GK55*VLOOKUP('Données projet'!$B$17,Paramètres!$A$1:$I$89,3,0)*0.475*44/12</f>
        <v>4.842536424645277E-3</v>
      </c>
      <c r="GO55" s="21">
        <f t="shared" si="27"/>
        <v>4.1824988977096309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5.6</v>
      </c>
      <c r="GU55" s="12">
        <f>IF('Données projet'!$A$270&gt;35,GU54+GT55-HC54,IF(A55&lt;'Données projet'!$A$270,$GR$205^A55,IF(A55='Données projet'!$A$270,'Données projet'!$B$270,GU54+GT55-HC54)))</f>
        <v>213.19999999999973</v>
      </c>
      <c r="GV55" s="17">
        <f>GU55*VLOOKUP('Données projet'!$B$18,Paramètres!$A$1:$I$89,3,0)*VLOOKUP('Données projet'!$B$18,Paramètres!$A$1:$I$89,5,0)</f>
        <v>169.62191999999982</v>
      </c>
      <c r="GW55" s="13">
        <f t="shared" si="51"/>
        <v>43.005335272941906</v>
      </c>
      <c r="GX55" s="20">
        <f t="shared" si="28"/>
        <v>370.32580293370683</v>
      </c>
      <c r="GY55" s="59">
        <f t="shared" si="29"/>
        <v>663.65913626704014</v>
      </c>
      <c r="GZ55" s="59">
        <f ca="1">AVERAGE(OFFSET($GY$3,0,0,'Données projet'!$E$18+1,1))-AVERAGE(OFFSET($H$3,0,0,'Données projet'!$E$18+1,1))</f>
        <v>199.58763537752952</v>
      </c>
      <c r="HA55" s="59">
        <f t="shared" si="52"/>
        <v>242.62852778451929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5.5874345099224723</v>
      </c>
      <c r="HI55" s="21">
        <f>EXP(-LN(2)/2)*HI54+(1-EXP(-LN(2)/2))/(LN(2)/2)*HC55*HF55*VLOOKUP('Données projet'!$B$18,Paramètres!$A$1:$I$89,3,0)*0.475*44/12</f>
        <v>5.2546671841895605E-3</v>
      </c>
      <c r="HJ55" s="22">
        <f t="shared" si="30"/>
        <v>5.5926891771066618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9.6586538461538431</v>
      </c>
      <c r="N56" s="13">
        <f>IF('Données projet'!$A$36&gt;35,N55+M56-V55,IF(A56&lt;'Données projet'!$A$36,$K$205^A56,IF(A56='Données projet'!$A$36,'Données projet'!$B$36,N55+M56-V55)))</f>
        <v>199.69391025641011</v>
      </c>
      <c r="O56" s="13">
        <f>N56*VLOOKUP('Données projet'!$B$9,Paramètres!$A$1:$I$89,3,0)*VLOOKUP('Données projet'!$B$9,Paramètres!$A$1:$I$89,5,0)</f>
        <v>180.68304999999987</v>
      </c>
      <c r="P56" s="13">
        <f t="shared" si="33"/>
        <v>45.474118692283398</v>
      </c>
      <c r="Q56" s="20">
        <f t="shared" si="53"/>
        <v>393.89040213906009</v>
      </c>
      <c r="R56" s="59">
        <f t="shared" si="0"/>
        <v>687.2237354723934</v>
      </c>
      <c r="S56" s="59">
        <f ca="1">AVERAGE(OFFSET($R$3,0,0,'Données projet'!$E$9+1,1))-AVERAGE(OFFSET($H$3,0,0,'Données projet'!$E$9+1,1))</f>
        <v>309.07357540707869</v>
      </c>
      <c r="T56" s="59">
        <f t="shared" si="34"/>
        <v>155.9593924683299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7.2307692307692299</v>
      </c>
      <c r="AI56" s="13">
        <f>IF('Données projet'!$A$62&gt;35,AI55+AH56-AQ55,IF(A56&lt;'Données projet'!$A$62,$AF$205^A56,IF(A56='Données projet'!$A$62,'Données projet'!$B$62,AI55+AH56-AQ55)))</f>
        <v>151.83333333333329</v>
      </c>
      <c r="AJ56" s="13">
        <f>AI56*VLOOKUP('Données projet'!$B$10,Paramètres!$A$1:$I$89,3,0)*VLOOKUP('Données projet'!$B$10,Paramètres!$A$1:$I$89,5,0)</f>
        <v>137.37879999999996</v>
      </c>
      <c r="AK56" s="13">
        <f t="shared" si="35"/>
        <v>35.695866453131138</v>
      </c>
      <c r="AL56" s="20">
        <f t="shared" si="4"/>
        <v>301.43837740586997</v>
      </c>
      <c r="AM56" s="59">
        <f t="shared" si="5"/>
        <v>594.77171073920329</v>
      </c>
      <c r="AN56" s="59">
        <f ca="1">AVERAGE(OFFSET($AM$3,0,0,'Données projet'!$E$10+1,1))-AVERAGE(OFFSET($H$3,0,0,'Données projet'!$E$10+1,1))</f>
        <v>234.30804102916278</v>
      </c>
      <c r="AO56" s="59">
        <f t="shared" si="36"/>
        <v>91.137993288782411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14.668131868131875</v>
      </c>
      <c r="BD56" s="12">
        <f>IF('Données projet'!$A$88&gt;35,BD55+BC56-BL55,IF(A56&lt;'Données projet'!$A$88,$BA$205^A56,IF(A56='Données projet'!$A$88,'Données projet'!$B$88,BD55+BC56-BL55)))</f>
        <v>304.04945054945057</v>
      </c>
      <c r="BE56" s="13">
        <f>BD56*VLOOKUP('Données projet'!$B$11,Paramètres!$A$1:$I$89,3,0)*VLOOKUP('Données projet'!$B$11,Paramètres!$A$1:$I$89,5,0)</f>
        <v>142.29514285714285</v>
      </c>
      <c r="BF56" s="13">
        <f t="shared" si="37"/>
        <v>36.822291864436032</v>
      </c>
      <c r="BG56" s="20">
        <f t="shared" si="7"/>
        <v>311.96286547341651</v>
      </c>
      <c r="BH56" s="59">
        <f t="shared" si="8"/>
        <v>605.29619880674977</v>
      </c>
      <c r="BI56" s="59">
        <f ca="1">AVERAGE(OFFSET($BH$3,0,0,'Données projet'!$E$11+1,1))-AVERAGE(OFFSET($H$3,0,0,'Données projet'!$E$11+1,1))</f>
        <v>158.58786357608489</v>
      </c>
      <c r="BJ56" s="59">
        <f t="shared" si="38"/>
        <v>163.20074068819849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11.170769230769238</v>
      </c>
      <c r="BY56" s="12">
        <f>IF('Données projet'!$A$114&gt;35,BY55+BX56-CG55,IF(A56&lt;'Données projet'!$A$114,$BV$205^A56,IF(A56='Données projet'!$A$114,'Données projet'!$B$114,BY55+BX56-CG55)))</f>
        <v>239.74923076923102</v>
      </c>
      <c r="BZ56" s="13">
        <f>BY56*VLOOKUP('Données projet'!$B$12,Paramètres!$A$1:$I$89,3,0)*VLOOKUP('Données projet'!$B$12,Paramètres!$A$1:$I$89,5,0)</f>
        <v>112.20264000000012</v>
      </c>
      <c r="CA56" s="13">
        <f t="shared" si="39"/>
        <v>29.84934340268536</v>
      </c>
      <c r="CB56" s="20">
        <f t="shared" si="10"/>
        <v>247.40720442634384</v>
      </c>
      <c r="CC56" s="59">
        <f t="shared" si="11"/>
        <v>540.74053775967718</v>
      </c>
      <c r="CD56" s="59">
        <f ca="1">AVERAGE(OFFSET($CC$3,0,0,'Données projet'!$E$12+1,1))-AVERAGE(OFFSET($H$3,0,0,'Données projet'!$E$12+1,1))</f>
        <v>123.2823358462245</v>
      </c>
      <c r="CE56" s="59">
        <f t="shared" si="40"/>
        <v>92.75115399786057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10.66307692307692</v>
      </c>
      <c r="CT56" s="12">
        <f>IF('Données projet'!$A$140&gt;35,CT55+CS56-DB55,IF(A56&lt;'Données projet'!$A$140,$CQ$205^A56,IF(A56='Données projet'!$A$140,'Données projet'!$B$140,CT55+CS56-DB55)))</f>
        <v>267.7815384615385</v>
      </c>
      <c r="CU56" s="17">
        <f>CT56*VLOOKUP('Données projet'!$B$13,Paramètres!$A$1:$I$89,3,0)*VLOOKUP('Données projet'!$B$13,Paramètres!$A$1:$I$89,5,0)</f>
        <v>160.13336000000004</v>
      </c>
      <c r="CV56" s="13">
        <f t="shared" si="41"/>
        <v>40.872593668242253</v>
      </c>
      <c r="CW56" s="20">
        <f t="shared" si="13"/>
        <v>350.08536930552197</v>
      </c>
      <c r="CX56" s="59">
        <f t="shared" si="14"/>
        <v>643.41870263885528</v>
      </c>
      <c r="CY56" s="59">
        <f ca="1">AVERAGE(OFFSET($CX$3,0,0,'Données projet'!$E$13+1,1))-AVERAGE(OFFSET($H$3,0,0,'Données projet'!$E$13+1,1))</f>
        <v>179.32848817523677</v>
      </c>
      <c r="CZ56" s="59">
        <f t="shared" si="42"/>
        <v>131.3292389103035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6.9657903689723089</v>
      </c>
      <c r="DH56" s="21">
        <f>EXP(-LN(2)/2)*DH55+(1-EXP(-LN(2)/2))/(LN(2)/2)*DB56*DE56*VLOOKUP('Données projet'!$B$13,Paramètres!$A$1:$I$89,3,0)*0.475*44/12</f>
        <v>1.8170950318111682E-3</v>
      </c>
      <c r="DI56" s="22">
        <f t="shared" si="15"/>
        <v>6.9676074640041197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9.6586538461538431</v>
      </c>
      <c r="DO56" s="12">
        <f>IF('Données projet'!$A$166&gt;35,DO55+DN56-DW55,IF(A56&lt;'Données projet'!$A$166,$DL$205^A56,IF(A56='Données projet'!$A$166,'Données projet'!$B$166,DO55+DN56-DW55)))</f>
        <v>199.69391025641011</v>
      </c>
      <c r="DP56" s="17">
        <f>DO56*VLOOKUP('Données projet'!$B$14,Paramètres!$A$1:$I$89,3,0)*VLOOKUP('Données projet'!$B$14,Paramètres!$A$1:$I$89,5,0)</f>
        <v>193.14394999999988</v>
      </c>
      <c r="DQ56" s="13">
        <f t="shared" si="43"/>
        <v>48.234370250466817</v>
      </c>
      <c r="DR56" s="20">
        <f t="shared" si="16"/>
        <v>420.40057443622942</v>
      </c>
      <c r="DS56" s="59">
        <f t="shared" si="17"/>
        <v>713.73390776956273</v>
      </c>
      <c r="DT56" s="59">
        <f ca="1">AVERAGE(OFFSET($DS$3,0,0,'Données projet'!$E$14+1,1))-AVERAGE(OFFSET($H$3,0,0,'Données projet'!$E$14+1,1))</f>
        <v>340.4659523898373</v>
      </c>
      <c r="DU56" s="59">
        <f t="shared" si="44"/>
        <v>170.54530785680572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7.2307692307692299</v>
      </c>
      <c r="EJ56" s="12">
        <f>IF('Données projet'!$A$192&gt;35,EJ55+EI56-ER55,IF(A56&lt;'Données projet'!$A$192,$EG$205^A56,IF(A56='Données projet'!$A$192,'Données projet'!$B$192,EJ55+EI56-ER55)))</f>
        <v>151.83333333333329</v>
      </c>
      <c r="EK56" s="17">
        <f>EJ56*VLOOKUP('Données projet'!$B$15,Paramètres!$A$1:$I$89,3,0)*VLOOKUP('Données projet'!$B$15,Paramètres!$A$1:$I$89,5,0)</f>
        <v>146.85319999999996</v>
      </c>
      <c r="EL56" s="13">
        <f t="shared" si="45"/>
        <v>37.862584002176924</v>
      </c>
      <c r="EM56" s="20">
        <f t="shared" si="19"/>
        <v>321.71332380379141</v>
      </c>
      <c r="EN56" s="59">
        <f t="shared" si="20"/>
        <v>615.04665713712473</v>
      </c>
      <c r="EO56" s="59">
        <f ca="1">AVERAGE(OFFSET($EN$3,0,0,'Données projet'!$E$15+1,1))-AVERAGE(OFFSET($H$3,0,0,'Données projet'!$E$15+1,1))</f>
        <v>262.20955982183017</v>
      </c>
      <c r="EP56" s="59">
        <f t="shared" si="46"/>
        <v>101.35842063036193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5.6</v>
      </c>
      <c r="FE56" s="12">
        <f>IF('Données projet'!$A$218&gt;35,FE55+FD56-FM55,IF(A56&lt;'Données projet'!$A$218,$FB$205^A56,IF(A56='Données projet'!$A$218,'Données projet'!$B$218,FE55+FD56-FM55)))</f>
        <v>218.79999999999973</v>
      </c>
      <c r="FF56" s="17">
        <f>FE56*VLOOKUP('Données projet'!$B$16,Paramètres!$A$1:$I$89,3,0)*VLOOKUP('Données projet'!$B$16,Paramètres!$A$1:$I$89,5,0)</f>
        <v>174.0772799999998</v>
      </c>
      <c r="FG56" s="13">
        <f t="shared" si="47"/>
        <v>44.001935233861104</v>
      </c>
      <c r="FH56" s="20">
        <f t="shared" si="22"/>
        <v>379.82129986564109</v>
      </c>
      <c r="FI56" s="59">
        <f t="shared" si="23"/>
        <v>673.15463319897435</v>
      </c>
      <c r="FJ56" s="59">
        <f ca="1">AVERAGE(OFFSET($FI$3,0,0,'Données projet'!$E$16+1,1))-AVERAGE(OFFSET($H$3,0,0,'Données projet'!$E$16+1,1))</f>
        <v>199.58763537752952</v>
      </c>
      <c r="FK56" s="59">
        <f t="shared" si="48"/>
        <v>242.62852778451929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5.4346458194182317</v>
      </c>
      <c r="FS56" s="21">
        <f>EXP(-LN(2)/2)*FS55+(1-EXP(-LN(2)/2))/(LN(2)/2)*FM56*FP56*VLOOKUP('Données projet'!$B$16,Paramètres!$A$1:$I$89,3,0)*0.475*44/12</f>
        <v>3.7156107988188594E-3</v>
      </c>
      <c r="FT56" s="22">
        <f t="shared" si="24"/>
        <v>5.4383614302170509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5.6</v>
      </c>
      <c r="FZ56" s="12">
        <f>IF('Données projet'!$A$244&gt;35,FZ55+FY56-GH55,IF(A56&lt;'Données projet'!$A$244,$FW$205^A56,IF(A56='Données projet'!$A$244,'Données projet'!$B$244,FZ55+FY56-GH55)))</f>
        <v>218.79999999999973</v>
      </c>
      <c r="GA56" s="17">
        <f>FZ56*VLOOKUP('Données projet'!$B$17,Paramètres!$A$1:$I$89,3,0)*VLOOKUP('Données projet'!$B$17,Paramètres!$A$1:$I$89,5,0)</f>
        <v>160.4241599999998</v>
      </c>
      <c r="GB56" s="13">
        <f t="shared" si="49"/>
        <v>40.938171132384412</v>
      </c>
      <c r="GC56" s="20">
        <f t="shared" si="25"/>
        <v>350.70606005556914</v>
      </c>
      <c r="GD56" s="59">
        <f t="shared" si="26"/>
        <v>644.03939338890245</v>
      </c>
      <c r="GE56" s="59">
        <f ca="1">AVERAGE(OFFSET($GD$3,0,0,'Données projet'!$E$17+1,1))-AVERAGE(OFFSET($H$3,0,0,'Données projet'!$E$17+1,1))</f>
        <v>178.12968684094687</v>
      </c>
      <c r="GF56" s="59">
        <f t="shared" si="50"/>
        <v>219.36004077210373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4.0634181283922484</v>
      </c>
      <c r="GN56" s="21">
        <f>EXP(-LN(2)/2)*GN55+(1-EXP(-LN(2)/2))/(LN(2)/2)*GH56*GK56*VLOOKUP('Données projet'!$B$17,Paramètres!$A$1:$I$89,3,0)*0.475*44/12</f>
        <v>3.4241903440095341E-3</v>
      </c>
      <c r="GO56" s="21">
        <f t="shared" si="27"/>
        <v>4.0668423187362581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5.6</v>
      </c>
      <c r="GU56" s="12">
        <f>IF('Données projet'!$A$270&gt;35,GU55+GT56-HC55,IF(A56&lt;'Données projet'!$A$270,$GR$205^A56,IF(A56='Données projet'!$A$270,'Données projet'!$B$270,GU55+GT56-HC55)))</f>
        <v>218.79999999999973</v>
      </c>
      <c r="GV56" s="17">
        <f>GU56*VLOOKUP('Données projet'!$B$18,Paramètres!$A$1:$I$89,3,0)*VLOOKUP('Données projet'!$B$18,Paramètres!$A$1:$I$89,5,0)</f>
        <v>174.0772799999998</v>
      </c>
      <c r="GW56" s="13">
        <f t="shared" si="51"/>
        <v>44.001935233861104</v>
      </c>
      <c r="GX56" s="20">
        <f t="shared" si="28"/>
        <v>379.82129986564109</v>
      </c>
      <c r="GY56" s="59">
        <f t="shared" si="29"/>
        <v>673.15463319897435</v>
      </c>
      <c r="GZ56" s="59">
        <f ca="1">AVERAGE(OFFSET($GY$3,0,0,'Données projet'!$E$18+1,1))-AVERAGE(OFFSET($H$3,0,0,'Données projet'!$E$18+1,1))</f>
        <v>199.58763537752952</v>
      </c>
      <c r="HA56" s="59">
        <f t="shared" si="52"/>
        <v>242.62852778451929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5.4346458194182317</v>
      </c>
      <c r="HI56" s="21">
        <f>EXP(-LN(2)/2)*HI55+(1-EXP(-LN(2)/2))/(LN(2)/2)*HC56*HF56*VLOOKUP('Données projet'!$B$18,Paramètres!$A$1:$I$89,3,0)*0.475*44/12</f>
        <v>3.7156107988188594E-3</v>
      </c>
      <c r="HJ56" s="22">
        <f t="shared" si="30"/>
        <v>5.4383614302170509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9.6586538461538431</v>
      </c>
      <c r="N57" s="13">
        <f>IF('Données projet'!$A$36&gt;35,N56+M57-V56,IF(A57&lt;'Données projet'!$A$36,$K$205^A57,IF(A57='Données projet'!$A$36,'Données projet'!$B$36,N56+M57-V56)))</f>
        <v>209.35256410256395</v>
      </c>
      <c r="O57" s="13">
        <f>N57*VLOOKUP('Données projet'!$B$9,Paramètres!$A$1:$I$89,3,0)*VLOOKUP('Données projet'!$B$9,Paramètres!$A$1:$I$89,5,0)</f>
        <v>189.42219999999983</v>
      </c>
      <c r="P57" s="13">
        <f t="shared" si="33"/>
        <v>47.412186840122445</v>
      </c>
      <c r="Q57" s="20">
        <f t="shared" si="53"/>
        <v>412.48655707987967</v>
      </c>
      <c r="R57" s="59">
        <f t="shared" si="0"/>
        <v>705.81989041321299</v>
      </c>
      <c r="S57" s="59">
        <f ca="1">AVERAGE(OFFSET($R$3,0,0,'Données projet'!$E$9+1,1))-AVERAGE(OFFSET($H$3,0,0,'Données projet'!$E$9+1,1))</f>
        <v>309.07357540707869</v>
      </c>
      <c r="T57" s="59">
        <f t="shared" si="34"/>
        <v>155.9593924683299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7.2307692307692299</v>
      </c>
      <c r="AI57" s="13">
        <f>IF('Données projet'!$A$62&gt;35,AI56+AH57-AQ56,IF(A57&lt;'Données projet'!$A$62,$AF$205^A57,IF(A57='Données projet'!$A$62,'Données projet'!$B$62,AI56+AH57-AQ56)))</f>
        <v>159.06410256410251</v>
      </c>
      <c r="AJ57" s="13">
        <f>AI57*VLOOKUP('Données projet'!$B$10,Paramètres!$A$1:$I$89,3,0)*VLOOKUP('Données projet'!$B$10,Paramètres!$A$1:$I$89,5,0)</f>
        <v>143.92119999999997</v>
      </c>
      <c r="AK57" s="13">
        <f t="shared" si="35"/>
        <v>37.193848087208806</v>
      </c>
      <c r="AL57" s="20">
        <f t="shared" si="4"/>
        <v>315.44204208522194</v>
      </c>
      <c r="AM57" s="59">
        <f t="shared" si="5"/>
        <v>608.77537541855531</v>
      </c>
      <c r="AN57" s="59">
        <f ca="1">AVERAGE(OFFSET($AM$3,0,0,'Données projet'!$E$10+1,1))-AVERAGE(OFFSET($H$3,0,0,'Données projet'!$E$10+1,1))</f>
        <v>234.30804102916278</v>
      </c>
      <c r="AO57" s="59">
        <f t="shared" si="36"/>
        <v>91.137993288782411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14.668131868131875</v>
      </c>
      <c r="BD57" s="12">
        <f>IF('Données projet'!$A$88&gt;35,BD56+BC57-BL56,IF(A57&lt;'Données projet'!$A$88,$BA$205^A57,IF(A57='Données projet'!$A$88,'Données projet'!$B$88,BD56+BC57-BL56)))</f>
        <v>318.71758241758243</v>
      </c>
      <c r="BE57" s="13">
        <f>BD57*VLOOKUP('Données projet'!$B$11,Paramètres!$A$1:$I$89,3,0)*VLOOKUP('Données projet'!$B$11,Paramètres!$A$1:$I$89,5,0)</f>
        <v>149.15982857142859</v>
      </c>
      <c r="BF57" s="13">
        <f t="shared" si="37"/>
        <v>38.387591277502224</v>
      </c>
      <c r="BG57" s="20">
        <f t="shared" si="7"/>
        <v>326.64508957022116</v>
      </c>
      <c r="BH57" s="59">
        <f t="shared" si="8"/>
        <v>619.97842290355447</v>
      </c>
      <c r="BI57" s="59">
        <f ca="1">AVERAGE(OFFSET($BH$3,0,0,'Données projet'!$E$11+1,1))-AVERAGE(OFFSET($H$3,0,0,'Données projet'!$E$11+1,1))</f>
        <v>158.58786357608489</v>
      </c>
      <c r="BJ57" s="59">
        <f t="shared" si="38"/>
        <v>163.20074068819849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11.170769230769238</v>
      </c>
      <c r="BY57" s="12">
        <f>IF('Données projet'!$A$114&gt;35,BY56+BX57-CG56,IF(A57&lt;'Données projet'!$A$114,$BV$205^A57,IF(A57='Données projet'!$A$114,'Données projet'!$B$114,BY56+BX57-CG56)))</f>
        <v>250.92000000000024</v>
      </c>
      <c r="BZ57" s="13">
        <f>BY57*VLOOKUP('Données projet'!$B$12,Paramètres!$A$1:$I$89,3,0)*VLOOKUP('Données projet'!$B$12,Paramètres!$A$1:$I$89,5,0)</f>
        <v>117.43056000000011</v>
      </c>
      <c r="CA57" s="13">
        <f t="shared" si="39"/>
        <v>31.074966780724139</v>
      </c>
      <c r="CB57" s="20">
        <f t="shared" si="10"/>
        <v>258.64712580976141</v>
      </c>
      <c r="CC57" s="59">
        <f t="shared" si="11"/>
        <v>551.98045914309478</v>
      </c>
      <c r="CD57" s="59">
        <f ca="1">AVERAGE(OFFSET($CC$3,0,0,'Données projet'!$E$12+1,1))-AVERAGE(OFFSET($H$3,0,0,'Données projet'!$E$12+1,1))</f>
        <v>123.2823358462245</v>
      </c>
      <c r="CE57" s="59">
        <f t="shared" si="40"/>
        <v>92.75115399786057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10.66307692307692</v>
      </c>
      <c r="CT57" s="12">
        <f>IF('Données projet'!$A$140&gt;35,CT56+CS57-DB56,IF(A57&lt;'Données projet'!$A$140,$CQ$205^A57,IF(A57='Données projet'!$A$140,'Données projet'!$B$140,CT56+CS57-DB56)))</f>
        <v>278.44461538461542</v>
      </c>
      <c r="CU57" s="17">
        <f>CT57*VLOOKUP('Données projet'!$B$13,Paramètres!$A$1:$I$89,3,0)*VLOOKUP('Données projet'!$B$13,Paramètres!$A$1:$I$89,5,0)</f>
        <v>166.50988000000001</v>
      </c>
      <c r="CV57" s="13">
        <f t="shared" si="41"/>
        <v>42.307411610776938</v>
      </c>
      <c r="CW57" s="20">
        <f t="shared" si="13"/>
        <v>363.69011622210314</v>
      </c>
      <c r="CX57" s="59">
        <f t="shared" si="14"/>
        <v>657.0234495554364</v>
      </c>
      <c r="CY57" s="59">
        <f ca="1">AVERAGE(OFFSET($CX$3,0,0,'Données projet'!$E$13+1,1))-AVERAGE(OFFSET($H$3,0,0,'Données projet'!$E$13+1,1))</f>
        <v>179.32848817523677</v>
      </c>
      <c r="CZ57" s="59">
        <f t="shared" si="42"/>
        <v>131.3292389103035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6.7753104650177658</v>
      </c>
      <c r="DH57" s="21">
        <f>EXP(-LN(2)/2)*DH56+(1-EXP(-LN(2)/2))/(LN(2)/2)*DB57*DE57*VLOOKUP('Données projet'!$B$13,Paramètres!$A$1:$I$89,3,0)*0.475*44/12</f>
        <v>1.2848802190540624E-3</v>
      </c>
      <c r="DI57" s="22">
        <f t="shared" si="15"/>
        <v>6.7765953452368199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9.6586538461538431</v>
      </c>
      <c r="DO57" s="12">
        <f>IF('Données projet'!$A$166&gt;35,DO56+DN57-DW56,IF(A57&lt;'Données projet'!$A$166,$DL$205^A57,IF(A57='Données projet'!$A$166,'Données projet'!$B$166,DO56+DN57-DW56)))</f>
        <v>209.35256410256395</v>
      </c>
      <c r="DP57" s="17">
        <f>DO57*VLOOKUP('Données projet'!$B$14,Paramètres!$A$1:$I$89,3,0)*VLOOKUP('Données projet'!$B$14,Paramètres!$A$1:$I$89,5,0)</f>
        <v>202.48579999999984</v>
      </c>
      <c r="DQ57" s="13">
        <f t="shared" si="43"/>
        <v>50.290077965135829</v>
      </c>
      <c r="DR57" s="20">
        <f t="shared" si="16"/>
        <v>440.25132078927794</v>
      </c>
      <c r="DS57" s="59">
        <f t="shared" si="17"/>
        <v>733.58465412261125</v>
      </c>
      <c r="DT57" s="59">
        <f ca="1">AVERAGE(OFFSET($DS$3,0,0,'Données projet'!$E$14+1,1))-AVERAGE(OFFSET($H$3,0,0,'Données projet'!$E$14+1,1))</f>
        <v>340.4659523898373</v>
      </c>
      <c r="DU57" s="59">
        <f t="shared" si="44"/>
        <v>170.54530785680572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7.2307692307692299</v>
      </c>
      <c r="EJ57" s="12">
        <f>IF('Données projet'!$A$192&gt;35,EJ56+EI57-ER56,IF(A57&lt;'Données projet'!$A$192,$EG$205^A57,IF(A57='Données projet'!$A$192,'Données projet'!$B$192,EJ56+EI57-ER56)))</f>
        <v>159.06410256410251</v>
      </c>
      <c r="EK57" s="17">
        <f>EJ57*VLOOKUP('Données projet'!$B$15,Paramètres!$A$1:$I$89,3,0)*VLOOKUP('Données projet'!$B$15,Paramètres!$A$1:$I$89,5,0)</f>
        <v>153.84679999999997</v>
      </c>
      <c r="EL57" s="13">
        <f t="shared" si="45"/>
        <v>39.451492217318702</v>
      </c>
      <c r="EM57" s="20">
        <f t="shared" si="19"/>
        <v>336.66119227849669</v>
      </c>
      <c r="EN57" s="59">
        <f t="shared" si="20"/>
        <v>629.99452561183</v>
      </c>
      <c r="EO57" s="59">
        <f ca="1">AVERAGE(OFFSET($EN$3,0,0,'Données projet'!$E$15+1,1))-AVERAGE(OFFSET($H$3,0,0,'Données projet'!$E$15+1,1))</f>
        <v>262.20955982183017</v>
      </c>
      <c r="EP57" s="59">
        <f t="shared" si="46"/>
        <v>101.35842063036193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5.6</v>
      </c>
      <c r="FE57" s="12">
        <f>IF('Données projet'!$A$218&gt;35,FE56+FD57-FM56,IF(A57&lt;'Données projet'!$A$218,$FB$205^A57,IF(A57='Données projet'!$A$218,'Données projet'!$B$218,FE56+FD57-FM56)))</f>
        <v>224.39999999999972</v>
      </c>
      <c r="FF57" s="17">
        <f>FE57*VLOOKUP('Données projet'!$B$16,Paramètres!$A$1:$I$89,3,0)*VLOOKUP('Données projet'!$B$16,Paramètres!$A$1:$I$89,5,0)</f>
        <v>178.53263999999979</v>
      </c>
      <c r="FG57" s="13">
        <f t="shared" si="47"/>
        <v>44.99557024111764</v>
      </c>
      <c r="FH57" s="20">
        <f t="shared" si="22"/>
        <v>389.31163283661289</v>
      </c>
      <c r="FI57" s="59">
        <f t="shared" si="23"/>
        <v>682.6449661699462</v>
      </c>
      <c r="FJ57" s="59">
        <f ca="1">AVERAGE(OFFSET($FI$3,0,0,'Données projet'!$E$16+1,1))-AVERAGE(OFFSET($H$3,0,0,'Données projet'!$E$16+1,1))</f>
        <v>199.58763537752952</v>
      </c>
      <c r="FK57" s="59">
        <f t="shared" si="48"/>
        <v>242.62852778451929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5.2860351436906372</v>
      </c>
      <c r="FS57" s="21">
        <f>EXP(-LN(2)/2)*FS56+(1-EXP(-LN(2)/2))/(LN(2)/2)*FM57*FP57*VLOOKUP('Données projet'!$B$16,Paramètres!$A$1:$I$89,3,0)*0.475*44/12</f>
        <v>2.6273335920947802E-3</v>
      </c>
      <c r="FT57" s="22">
        <f t="shared" si="24"/>
        <v>5.288662477282732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5.6</v>
      </c>
      <c r="FZ57" s="12">
        <f>IF('Données projet'!$A$244&gt;35,FZ56+FY57-GH56,IF(A57&lt;'Données projet'!$A$244,$FW$205^A57,IF(A57='Données projet'!$A$244,'Données projet'!$B$244,FZ56+FY57-GH56)))</f>
        <v>224.39999999999972</v>
      </c>
      <c r="GA57" s="17">
        <f>FZ57*VLOOKUP('Données projet'!$B$17,Paramètres!$A$1:$I$89,3,0)*VLOOKUP('Données projet'!$B$17,Paramètres!$A$1:$I$89,5,0)</f>
        <v>164.5300799999998</v>
      </c>
      <c r="GB57" s="13">
        <f t="shared" si="49"/>
        <v>41.862621381083734</v>
      </c>
      <c r="GC57" s="20">
        <f t="shared" si="25"/>
        <v>359.46728823872041</v>
      </c>
      <c r="GD57" s="59">
        <f t="shared" si="26"/>
        <v>652.80062157205373</v>
      </c>
      <c r="GE57" s="59">
        <f ca="1">AVERAGE(OFFSET($GD$3,0,0,'Données projet'!$E$17+1,1))-AVERAGE(OFFSET($H$3,0,0,'Données projet'!$E$17+1,1))</f>
        <v>178.12968684094687</v>
      </c>
      <c r="GF57" s="59">
        <f t="shared" si="50"/>
        <v>219.36004077210373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3.9523037459854899</v>
      </c>
      <c r="GN57" s="21">
        <f>EXP(-LN(2)/2)*GN56+(1-EXP(-LN(2)/2))/(LN(2)/2)*GH57*GK57*VLOOKUP('Données projet'!$B$17,Paramètres!$A$1:$I$89,3,0)*0.475*44/12</f>
        <v>2.4212682123226385E-3</v>
      </c>
      <c r="GO57" s="21">
        <f t="shared" si="27"/>
        <v>3.9547250141978125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5.6</v>
      </c>
      <c r="GU57" s="12">
        <f>IF('Données projet'!$A$270&gt;35,GU56+GT57-HC56,IF(A57&lt;'Données projet'!$A$270,$GR$205^A57,IF(A57='Données projet'!$A$270,'Données projet'!$B$270,GU56+GT57-HC56)))</f>
        <v>224.39999999999972</v>
      </c>
      <c r="GV57" s="17">
        <f>GU57*VLOOKUP('Données projet'!$B$18,Paramètres!$A$1:$I$89,3,0)*VLOOKUP('Données projet'!$B$18,Paramètres!$A$1:$I$89,5,0)</f>
        <v>178.53263999999979</v>
      </c>
      <c r="GW57" s="13">
        <f t="shared" si="51"/>
        <v>44.99557024111764</v>
      </c>
      <c r="GX57" s="20">
        <f t="shared" si="28"/>
        <v>389.31163283661289</v>
      </c>
      <c r="GY57" s="59">
        <f t="shared" si="29"/>
        <v>682.6449661699462</v>
      </c>
      <c r="GZ57" s="59">
        <f ca="1">AVERAGE(OFFSET($GY$3,0,0,'Données projet'!$E$18+1,1))-AVERAGE(OFFSET($H$3,0,0,'Données projet'!$E$18+1,1))</f>
        <v>199.58763537752952</v>
      </c>
      <c r="HA57" s="59">
        <f t="shared" si="52"/>
        <v>242.62852778451929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5.2860351436906372</v>
      </c>
      <c r="HI57" s="21">
        <f>EXP(-LN(2)/2)*HI56+(1-EXP(-LN(2)/2))/(LN(2)/2)*HC57*HF57*VLOOKUP('Données projet'!$B$18,Paramètres!$A$1:$I$89,3,0)*0.475*44/12</f>
        <v>2.6273335920947802E-3</v>
      </c>
      <c r="HJ57" s="22">
        <f t="shared" si="30"/>
        <v>5.288662477282732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9.6586538461538431</v>
      </c>
      <c r="N58" s="13">
        <f>IF('Données projet'!$A$36&gt;35,N57+M58-V57,IF(A58&lt;'Données projet'!$A$36,$K$205^A58,IF(A58='Données projet'!$A$36,'Données projet'!$B$36,N57+M58-V57)))</f>
        <v>219.01121794871779</v>
      </c>
      <c r="O58" s="13">
        <f>N58*VLOOKUP('Données projet'!$B$9,Paramètres!$A$1:$I$89,3,0)*VLOOKUP('Données projet'!$B$9,Paramètres!$A$1:$I$89,5,0)</f>
        <v>198.16134999999983</v>
      </c>
      <c r="P58" s="13">
        <f t="shared" si="33"/>
        <v>49.339871160864917</v>
      </c>
      <c r="Q58" s="20">
        <f t="shared" si="53"/>
        <v>431.06462685517272</v>
      </c>
      <c r="R58" s="59">
        <f t="shared" si="0"/>
        <v>724.39796018850598</v>
      </c>
      <c r="S58" s="59">
        <f ca="1">AVERAGE(OFFSET($R$3,0,0,'Données projet'!$E$9+1,1))-AVERAGE(OFFSET($H$3,0,0,'Données projet'!$E$9+1,1))</f>
        <v>309.07357540707869</v>
      </c>
      <c r="T58" s="59">
        <f t="shared" si="34"/>
        <v>155.9593924683299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7.2307692307692299</v>
      </c>
      <c r="AI58" s="13">
        <f>IF('Données projet'!$A$62&gt;35,AI57+AH58-AQ57,IF(A58&lt;'Données projet'!$A$62,$AF$205^A58,IF(A58='Données projet'!$A$62,'Données projet'!$B$62,AI57+AH58-AQ57)))</f>
        <v>166.29487179487174</v>
      </c>
      <c r="AJ58" s="13">
        <f>AI58*VLOOKUP('Données projet'!$B$10,Paramètres!$A$1:$I$89,3,0)*VLOOKUP('Données projet'!$B$10,Paramètres!$A$1:$I$89,5,0)</f>
        <v>150.46359999999993</v>
      </c>
      <c r="AK58" s="13">
        <f t="shared" si="35"/>
        <v>38.683921455302041</v>
      </c>
      <c r="AL58" s="20">
        <f t="shared" si="4"/>
        <v>329.43193320131758</v>
      </c>
      <c r="AM58" s="59">
        <f t="shared" si="5"/>
        <v>622.76526653465089</v>
      </c>
      <c r="AN58" s="59">
        <f ca="1">AVERAGE(OFFSET($AM$3,0,0,'Données projet'!$E$10+1,1))-AVERAGE(OFFSET($H$3,0,0,'Données projet'!$E$10+1,1))</f>
        <v>234.30804102916278</v>
      </c>
      <c r="AO58" s="59">
        <f t="shared" si="36"/>
        <v>91.137993288782411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14.668131868131875</v>
      </c>
      <c r="BD58" s="12">
        <f>IF('Données projet'!$A$88&gt;35,BD57+BC58-BL57,IF(A58&lt;'Données projet'!$A$88,$BA$205^A58,IF(A58='Données projet'!$A$88,'Données projet'!$B$88,BD57+BC58-BL57)))</f>
        <v>333.3857142857143</v>
      </c>
      <c r="BE58" s="13">
        <f>BD58*VLOOKUP('Données projet'!$B$11,Paramètres!$A$1:$I$89,3,0)*VLOOKUP('Données projet'!$B$11,Paramètres!$A$1:$I$89,5,0)</f>
        <v>156.0245142857143</v>
      </c>
      <c r="BF58" s="13">
        <f t="shared" si="37"/>
        <v>39.944524680961258</v>
      </c>
      <c r="BG58" s="20">
        <f t="shared" si="7"/>
        <v>341.31274286695992</v>
      </c>
      <c r="BH58" s="59">
        <f t="shared" si="8"/>
        <v>634.64607620029324</v>
      </c>
      <c r="BI58" s="59">
        <f ca="1">AVERAGE(OFFSET($BH$3,0,0,'Données projet'!$E$11+1,1))-AVERAGE(OFFSET($H$3,0,0,'Données projet'!$E$11+1,1))</f>
        <v>158.58786357608489</v>
      </c>
      <c r="BJ58" s="59">
        <f t="shared" si="38"/>
        <v>163.20074068819849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11.170769230769238</v>
      </c>
      <c r="BY58" s="12">
        <f>IF('Données projet'!$A$114&gt;35,BY57+BX58-CG57,IF(A58&lt;'Données projet'!$A$114,$BV$205^A58,IF(A58='Données projet'!$A$114,'Données projet'!$B$114,BY57+BX58-CG57)))</f>
        <v>262.09076923076947</v>
      </c>
      <c r="BZ58" s="13">
        <f>BY58*VLOOKUP('Données projet'!$B$12,Paramètres!$A$1:$I$89,3,0)*VLOOKUP('Données projet'!$B$12,Paramètres!$A$1:$I$89,5,0)</f>
        <v>122.6584800000001</v>
      </c>
      <c r="CA58" s="13">
        <f t="shared" si="39"/>
        <v>32.294253146422101</v>
      </c>
      <c r="CB58" s="20">
        <f t="shared" si="10"/>
        <v>269.87601023001861</v>
      </c>
      <c r="CC58" s="59">
        <f t="shared" si="11"/>
        <v>563.20934356335192</v>
      </c>
      <c r="CD58" s="59">
        <f ca="1">AVERAGE(OFFSET($CC$3,0,0,'Données projet'!$E$12+1,1))-AVERAGE(OFFSET($H$3,0,0,'Données projet'!$E$12+1,1))</f>
        <v>123.2823358462245</v>
      </c>
      <c r="CE58" s="59">
        <f t="shared" si="40"/>
        <v>92.75115399786057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10.66307692307692</v>
      </c>
      <c r="CT58" s="12">
        <f>IF('Données projet'!$A$140&gt;35,CT57+CS58-DB57,IF(A58&lt;'Données projet'!$A$140,$CQ$205^A58,IF(A58='Données projet'!$A$140,'Données projet'!$B$140,CT57+CS58-DB57)))</f>
        <v>289.10769230769233</v>
      </c>
      <c r="CU58" s="17">
        <f>CT58*VLOOKUP('Données projet'!$B$13,Paramètres!$A$1:$I$89,3,0)*VLOOKUP('Données projet'!$B$13,Paramètres!$A$1:$I$89,5,0)</f>
        <v>172.88640000000001</v>
      </c>
      <c r="CV58" s="13">
        <f t="shared" si="41"/>
        <v>43.735846359314351</v>
      </c>
      <c r="CW58" s="20">
        <f t="shared" si="13"/>
        <v>377.28374574247255</v>
      </c>
      <c r="CX58" s="59">
        <f t="shared" si="14"/>
        <v>670.6170790758058</v>
      </c>
      <c r="CY58" s="59">
        <f ca="1">AVERAGE(OFFSET($CX$3,0,0,'Données projet'!$E$13+1,1))-AVERAGE(OFFSET($H$3,0,0,'Données projet'!$E$13+1,1))</f>
        <v>179.32848817523677</v>
      </c>
      <c r="CZ58" s="59">
        <f t="shared" si="42"/>
        <v>131.3292389103035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6.590039244053763</v>
      </c>
      <c r="DH58" s="21">
        <f>EXP(-LN(2)/2)*DH57+(1-EXP(-LN(2)/2))/(LN(2)/2)*DB58*DE58*VLOOKUP('Données projet'!$B$13,Paramètres!$A$1:$I$89,3,0)*0.475*44/12</f>
        <v>9.085475159055842E-4</v>
      </c>
      <c r="DI58" s="22">
        <f t="shared" si="15"/>
        <v>6.5909477915696684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9.6586538461538431</v>
      </c>
      <c r="DO58" s="12">
        <f>IF('Données projet'!$A$166&gt;35,DO57+DN58-DW57,IF(A58&lt;'Données projet'!$A$166,$DL$205^A58,IF(A58='Données projet'!$A$166,'Données projet'!$B$166,DO57+DN58-DW57)))</f>
        <v>219.01121794871779</v>
      </c>
      <c r="DP58" s="17">
        <f>DO58*VLOOKUP('Données projet'!$B$14,Paramètres!$A$1:$I$89,3,0)*VLOOKUP('Données projet'!$B$14,Paramètres!$A$1:$I$89,5,0)</f>
        <v>211.82764999999984</v>
      </c>
      <c r="DQ58" s="13">
        <f t="shared" si="43"/>
        <v>52.334771560670951</v>
      </c>
      <c r="DR58" s="20">
        <f t="shared" si="16"/>
        <v>460.08288421816832</v>
      </c>
      <c r="DS58" s="59">
        <f t="shared" si="17"/>
        <v>753.41621755150163</v>
      </c>
      <c r="DT58" s="59">
        <f ca="1">AVERAGE(OFFSET($DS$3,0,0,'Données projet'!$E$14+1,1))-AVERAGE(OFFSET($H$3,0,0,'Données projet'!$E$14+1,1))</f>
        <v>340.4659523898373</v>
      </c>
      <c r="DU58" s="59">
        <f t="shared" si="44"/>
        <v>170.54530785680572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7.2307692307692299</v>
      </c>
      <c r="EJ58" s="12">
        <f>IF('Données projet'!$A$192&gt;35,EJ57+EI58-ER57,IF(A58&lt;'Données projet'!$A$192,$EG$205^A58,IF(A58='Données projet'!$A$192,'Données projet'!$B$192,EJ57+EI58-ER57)))</f>
        <v>166.29487179487174</v>
      </c>
      <c r="EK58" s="17">
        <f>EJ58*VLOOKUP('Données projet'!$B$15,Paramètres!$A$1:$I$89,3,0)*VLOOKUP('Données projet'!$B$15,Paramètres!$A$1:$I$89,5,0)</f>
        <v>160.84039999999993</v>
      </c>
      <c r="EL58" s="13">
        <f t="shared" si="45"/>
        <v>41.032012139503919</v>
      </c>
      <c r="EM58" s="20">
        <f t="shared" si="19"/>
        <v>351.59445114296915</v>
      </c>
      <c r="EN58" s="59">
        <f t="shared" si="20"/>
        <v>644.92778447630246</v>
      </c>
      <c r="EO58" s="59">
        <f ca="1">AVERAGE(OFFSET($EN$3,0,0,'Données projet'!$E$15+1,1))-AVERAGE(OFFSET($H$3,0,0,'Données projet'!$E$15+1,1))</f>
        <v>262.20955982183017</v>
      </c>
      <c r="EP58" s="59">
        <f t="shared" si="46"/>
        <v>101.35842063036193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5.6</v>
      </c>
      <c r="FE58" s="12">
        <f>IF('Données projet'!$A$218&gt;35,FE57+FD58-FM57,IF(A58&lt;'Données projet'!$A$218,$FB$205^A58,IF(A58='Données projet'!$A$218,'Données projet'!$B$218,FE57+FD58-FM57)))</f>
        <v>229.99999999999972</v>
      </c>
      <c r="FF58" s="17">
        <f>FE58*VLOOKUP('Données projet'!$B$16,Paramètres!$A$1:$I$89,3,0)*VLOOKUP('Données projet'!$B$16,Paramètres!$A$1:$I$89,5,0)</f>
        <v>182.98799999999977</v>
      </c>
      <c r="FG58" s="13">
        <f t="shared" si="47"/>
        <v>45.986322796524796</v>
      </c>
      <c r="FH58" s="20">
        <f t="shared" si="22"/>
        <v>398.79694553728024</v>
      </c>
      <c r="FI58" s="59">
        <f t="shared" si="23"/>
        <v>692.13027887061355</v>
      </c>
      <c r="FJ58" s="59">
        <f ca="1">AVERAGE(OFFSET($FI$3,0,0,'Données projet'!$E$16+1,1))-AVERAGE(OFFSET($H$3,0,0,'Données projet'!$E$16+1,1))</f>
        <v>199.58763537752952</v>
      </c>
      <c r="FK58" s="59">
        <f t="shared" si="48"/>
        <v>242.62852778451929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5.1414882347059097</v>
      </c>
      <c r="FS58" s="21">
        <f>EXP(-LN(2)/2)*FS57+(1-EXP(-LN(2)/2))/(LN(2)/2)*FM58*FP58*VLOOKUP('Données projet'!$B$16,Paramètres!$A$1:$I$89,3,0)*0.475*44/12</f>
        <v>1.8578053994094297E-3</v>
      </c>
      <c r="FT58" s="22">
        <f t="shared" si="24"/>
        <v>5.1433460401053193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5.6</v>
      </c>
      <c r="FZ58" s="12">
        <f>IF('Données projet'!$A$244&gt;35,FZ57+FY58-GH57,IF(A58&lt;'Données projet'!$A$244,$FW$205^A58,IF(A58='Données projet'!$A$244,'Données projet'!$B$244,FZ57+FY58-GH57)))</f>
        <v>229.99999999999972</v>
      </c>
      <c r="GA58" s="17">
        <f>FZ58*VLOOKUP('Données projet'!$B$17,Paramètres!$A$1:$I$89,3,0)*VLOOKUP('Données projet'!$B$17,Paramètres!$A$1:$I$89,5,0)</f>
        <v>168.6359999999998</v>
      </c>
      <c r="GB58" s="13">
        <f t="shared" si="49"/>
        <v>42.784389877117853</v>
      </c>
      <c r="GC58" s="20">
        <f t="shared" si="25"/>
        <v>368.22384570264654</v>
      </c>
      <c r="GD58" s="59">
        <f t="shared" si="26"/>
        <v>661.55717903597986</v>
      </c>
      <c r="GE58" s="59">
        <f ca="1">AVERAGE(OFFSET($GD$3,0,0,'Données projet'!$E$17+1,1))-AVERAGE(OFFSET($H$3,0,0,'Données projet'!$E$17+1,1))</f>
        <v>178.12968684094687</v>
      </c>
      <c r="GF58" s="59">
        <f t="shared" si="50"/>
        <v>219.36004077210373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3.8442277922088959</v>
      </c>
      <c r="GN58" s="21">
        <f>EXP(-LN(2)/2)*GN57+(1-EXP(-LN(2)/2))/(LN(2)/2)*GH58*GK58*VLOOKUP('Données projet'!$B$17,Paramètres!$A$1:$I$89,3,0)*0.475*44/12</f>
        <v>1.712095172004767E-3</v>
      </c>
      <c r="GO58" s="21">
        <f t="shared" si="27"/>
        <v>3.8459398873809008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5.6</v>
      </c>
      <c r="GU58" s="12">
        <f>IF('Données projet'!$A$270&gt;35,GU57+GT58-HC57,IF(A58&lt;'Données projet'!$A$270,$GR$205^A58,IF(A58='Données projet'!$A$270,'Données projet'!$B$270,GU57+GT58-HC57)))</f>
        <v>229.99999999999972</v>
      </c>
      <c r="GV58" s="17">
        <f>GU58*VLOOKUP('Données projet'!$B$18,Paramètres!$A$1:$I$89,3,0)*VLOOKUP('Données projet'!$B$18,Paramètres!$A$1:$I$89,5,0)</f>
        <v>182.98799999999977</v>
      </c>
      <c r="GW58" s="13">
        <f t="shared" si="51"/>
        <v>45.986322796524796</v>
      </c>
      <c r="GX58" s="20">
        <f t="shared" si="28"/>
        <v>398.79694553728024</v>
      </c>
      <c r="GY58" s="59">
        <f t="shared" si="29"/>
        <v>692.13027887061355</v>
      </c>
      <c r="GZ58" s="59">
        <f ca="1">AVERAGE(OFFSET($GY$3,0,0,'Données projet'!$E$18+1,1))-AVERAGE(OFFSET($H$3,0,0,'Données projet'!$E$18+1,1))</f>
        <v>199.58763537752952</v>
      </c>
      <c r="HA58" s="59">
        <f t="shared" si="52"/>
        <v>242.62852778451929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5.1414882347059097</v>
      </c>
      <c r="HI58" s="21">
        <f>EXP(-LN(2)/2)*HI57+(1-EXP(-LN(2)/2))/(LN(2)/2)*HC58*HF58*VLOOKUP('Données projet'!$B$18,Paramètres!$A$1:$I$89,3,0)*0.475*44/12</f>
        <v>1.8578053994094297E-3</v>
      </c>
      <c r="HJ58" s="22">
        <f t="shared" si="30"/>
        <v>5.1433460401053193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9.6586538461538431</v>
      </c>
      <c r="N59" s="13">
        <f>IF('Données projet'!$A$36&gt;35,N58+M59-V58,IF(A59&lt;'Données projet'!$A$36,$K$205^A59,IF(A59='Données projet'!$A$36,'Données projet'!$B$36,N58+M59-V58)))</f>
        <v>228.66987179487163</v>
      </c>
      <c r="O59" s="13">
        <f>N59*VLOOKUP('Données projet'!$B$9,Paramètres!$A$1:$I$89,3,0)*VLOOKUP('Données projet'!$B$9,Paramètres!$A$1:$I$89,5,0)</f>
        <v>206.90049999999985</v>
      </c>
      <c r="P59" s="13">
        <f t="shared" si="33"/>
        <v>51.257681925484725</v>
      </c>
      <c r="Q59" s="20">
        <f t="shared" si="53"/>
        <v>449.62550018688563</v>
      </c>
      <c r="R59" s="59">
        <f t="shared" si="0"/>
        <v>742.95883352021895</v>
      </c>
      <c r="S59" s="59">
        <f ca="1">AVERAGE(OFFSET($R$3,0,0,'Données projet'!$E$9+1,1))-AVERAGE(OFFSET($H$3,0,0,'Données projet'!$E$9+1,1))</f>
        <v>309.07357540707869</v>
      </c>
      <c r="T59" s="59">
        <f t="shared" si="34"/>
        <v>155.9593924683299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7.2307692307692299</v>
      </c>
      <c r="AI59" s="13">
        <f>IF('Données projet'!$A$62&gt;35,AI58+AH59-AQ58,IF(A59&lt;'Données projet'!$A$62,$AF$205^A59,IF(A59='Données projet'!$A$62,'Données projet'!$B$62,AI58+AH59-AQ58)))</f>
        <v>173.52564102564097</v>
      </c>
      <c r="AJ59" s="13">
        <f>AI59*VLOOKUP('Données projet'!$B$10,Paramètres!$A$1:$I$89,3,0)*VLOOKUP('Données projet'!$B$10,Paramètres!$A$1:$I$89,5,0)</f>
        <v>157.00599999999994</v>
      </c>
      <c r="AK59" s="13">
        <f t="shared" si="35"/>
        <v>40.166469723989806</v>
      </c>
      <c r="AL59" s="20">
        <f t="shared" si="4"/>
        <v>343.40871810261547</v>
      </c>
      <c r="AM59" s="59">
        <f t="shared" si="5"/>
        <v>636.74205143594872</v>
      </c>
      <c r="AN59" s="59">
        <f ca="1">AVERAGE(OFFSET($AM$3,0,0,'Données projet'!$E$10+1,1))-AVERAGE(OFFSET($H$3,0,0,'Données projet'!$E$10+1,1))</f>
        <v>234.30804102916278</v>
      </c>
      <c r="AO59" s="59">
        <f t="shared" si="36"/>
        <v>91.137993288782411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348.05384615384617</v>
      </c>
      <c r="BB59" s="12">
        <f>VLOOKUP(A59,'Données projet'!$A$87:$I$107,9,0)</f>
        <v>14.668131868131875</v>
      </c>
      <c r="BC59" s="12">
        <f t="array" ref="BC59">INDEX(BB:BB,MIN(IF(ISNUMBER(BB59:BB255),ROW(BB59:BB255),"")))</f>
        <v>14.668131868131875</v>
      </c>
      <c r="BD59" s="12">
        <f>IF('Données projet'!$A$88&gt;35,BD58+BC59-BL58,IF(A59&lt;'Données projet'!$A$88,$BA$205^A59,IF(A59='Données projet'!$A$88,'Données projet'!$B$88,BD58+BC59-BL58)))</f>
        <v>348.05384615384617</v>
      </c>
      <c r="BE59" s="13">
        <f>BD59*VLOOKUP('Données projet'!$B$11,Paramètres!$A$1:$I$89,3,0)*VLOOKUP('Données projet'!$B$11,Paramètres!$A$1:$I$89,5,0)</f>
        <v>162.88919999999999</v>
      </c>
      <c r="BF59" s="13">
        <f t="shared" si="37"/>
        <v>41.493502222820894</v>
      </c>
      <c r="BG59" s="20">
        <f t="shared" si="7"/>
        <v>355.96653970474637</v>
      </c>
      <c r="BH59" s="59">
        <f t="shared" si="8"/>
        <v>649.29987303807968</v>
      </c>
      <c r="BI59" s="59">
        <f ca="1">AVERAGE(OFFSET($BH$3,0,0,'Données projet'!$E$11+1,1))-AVERAGE(OFFSET($H$3,0,0,'Données projet'!$E$11+1,1))</f>
        <v>158.58786357608489</v>
      </c>
      <c r="BJ59" s="59">
        <f t="shared" si="38"/>
        <v>163.20074068819849</v>
      </c>
      <c r="BK59" s="15">
        <f>IF(ISNA(VLOOKUP(A59,'Données projet'!$A$87:$I$107,3,0)),0,VLOOKUP(A59,'Données projet'!$A$87:$I$107,3,0))</f>
        <v>3</v>
      </c>
      <c r="BL59" s="15">
        <f>IF(ISNA(VLOOKUP(A59,'Données projet'!$A$87:$I$107,4,0)),0,VLOOKUP(A59,'Données projet'!$A$87:$I$107,4,0))</f>
        <v>72.769230769230759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11.170769230769238</v>
      </c>
      <c r="BY59" s="12">
        <f>IF('Données projet'!$A$114&gt;35,BY58+BX59-CG58,IF(A59&lt;'Données projet'!$A$114,$BV$205^A59,IF(A59='Données projet'!$A$114,'Données projet'!$B$114,BY58+BX59-CG58)))</f>
        <v>273.26153846153869</v>
      </c>
      <c r="BZ59" s="13">
        <f>BY59*VLOOKUP('Données projet'!$B$12,Paramètres!$A$1:$I$89,3,0)*VLOOKUP('Données projet'!$B$12,Paramètres!$A$1:$I$89,5,0)</f>
        <v>127.88640000000011</v>
      </c>
      <c r="CA59" s="13">
        <f t="shared" si="39"/>
        <v>33.507503472593491</v>
      </c>
      <c r="CB59" s="20">
        <f t="shared" si="10"/>
        <v>281.09438188143378</v>
      </c>
      <c r="CC59" s="59">
        <f t="shared" si="11"/>
        <v>574.42771521476709</v>
      </c>
      <c r="CD59" s="59">
        <f ca="1">AVERAGE(OFFSET($CC$3,0,0,'Données projet'!$E$12+1,1))-AVERAGE(OFFSET($H$3,0,0,'Données projet'!$E$12+1,1))</f>
        <v>123.2823358462245</v>
      </c>
      <c r="CE59" s="59">
        <f t="shared" si="40"/>
        <v>92.75115399786057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10.66307692307692</v>
      </c>
      <c r="CT59" s="12">
        <f>IF('Données projet'!$A$140&gt;35,CT58+CS59-DB58,IF(A59&lt;'Données projet'!$A$140,$CQ$205^A59,IF(A59='Données projet'!$A$140,'Données projet'!$B$140,CT58+CS59-DB58)))</f>
        <v>299.77076923076925</v>
      </c>
      <c r="CU59" s="17">
        <f>CT59*VLOOKUP('Données projet'!$B$13,Paramètres!$A$1:$I$89,3,0)*VLOOKUP('Données projet'!$B$13,Paramètres!$A$1:$I$89,5,0)</f>
        <v>179.26292000000001</v>
      </c>
      <c r="CV59" s="13">
        <f t="shared" si="41"/>
        <v>45.158160305042841</v>
      </c>
      <c r="CW59" s="20">
        <f t="shared" si="13"/>
        <v>390.8667148646162</v>
      </c>
      <c r="CX59" s="59">
        <f t="shared" si="14"/>
        <v>684.20004819794951</v>
      </c>
      <c r="CY59" s="59">
        <f ca="1">AVERAGE(OFFSET($CX$3,0,0,'Données projet'!$E$13+1,1))-AVERAGE(OFFSET($H$3,0,0,'Données projet'!$E$13+1,1))</f>
        <v>179.32848817523677</v>
      </c>
      <c r="CZ59" s="59">
        <f t="shared" si="42"/>
        <v>131.3292389103035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6.4098342743700103</v>
      </c>
      <c r="DH59" s="21">
        <f>EXP(-LN(2)/2)*DH58+(1-EXP(-LN(2)/2))/(LN(2)/2)*DB59*DE59*VLOOKUP('Données projet'!$B$13,Paramètres!$A$1:$I$89,3,0)*0.475*44/12</f>
        <v>6.4244010952703131E-4</v>
      </c>
      <c r="DI59" s="22">
        <f t="shared" si="15"/>
        <v>6.4104767144795369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9.6586538461538431</v>
      </c>
      <c r="DO59" s="12">
        <f>IF('Données projet'!$A$166&gt;35,DO58+DN59-DW58,IF(A59&lt;'Données projet'!$A$166,$DL$205^A59,IF(A59='Données projet'!$A$166,'Données projet'!$B$166,DO58+DN59-DW58)))</f>
        <v>228.66987179487163</v>
      </c>
      <c r="DP59" s="17">
        <f>DO59*VLOOKUP('Données projet'!$B$14,Paramètres!$A$1:$I$89,3,0)*VLOOKUP('Données projet'!$B$14,Paramètres!$A$1:$I$89,5,0)</f>
        <v>221.16949999999983</v>
      </c>
      <c r="DQ59" s="13">
        <f t="shared" si="43"/>
        <v>54.368992281185989</v>
      </c>
      <c r="DR59" s="20">
        <f t="shared" si="16"/>
        <v>479.89620738973196</v>
      </c>
      <c r="DS59" s="59">
        <f t="shared" si="17"/>
        <v>773.22954072306527</v>
      </c>
      <c r="DT59" s="59">
        <f ca="1">AVERAGE(OFFSET($DS$3,0,0,'Données projet'!$E$14+1,1))-AVERAGE(OFFSET($H$3,0,0,'Données projet'!$E$14+1,1))</f>
        <v>340.4659523898373</v>
      </c>
      <c r="DU59" s="59">
        <f t="shared" si="44"/>
        <v>170.54530785680572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7.2307692307692299</v>
      </c>
      <c r="EJ59" s="12">
        <f>IF('Données projet'!$A$192&gt;35,EJ58+EI59-ER58,IF(A59&lt;'Données projet'!$A$192,$EG$205^A59,IF(A59='Données projet'!$A$192,'Données projet'!$B$192,EJ58+EI59-ER58)))</f>
        <v>173.52564102564097</v>
      </c>
      <c r="EK59" s="17">
        <f>EJ59*VLOOKUP('Données projet'!$B$15,Paramètres!$A$1:$I$89,3,0)*VLOOKUP('Données projet'!$B$15,Paramètres!$A$1:$I$89,5,0)</f>
        <v>167.83399999999995</v>
      </c>
      <c r="EL59" s="13">
        <f t="shared" si="45"/>
        <v>42.604550193291615</v>
      </c>
      <c r="EM59" s="20">
        <f t="shared" si="19"/>
        <v>366.5138082533162</v>
      </c>
      <c r="EN59" s="59">
        <f t="shared" si="20"/>
        <v>659.84714158664951</v>
      </c>
      <c r="EO59" s="59">
        <f ca="1">AVERAGE(OFFSET($EN$3,0,0,'Données projet'!$E$15+1,1))-AVERAGE(OFFSET($H$3,0,0,'Données projet'!$E$15+1,1))</f>
        <v>262.20955982183017</v>
      </c>
      <c r="EP59" s="59">
        <f t="shared" si="46"/>
        <v>101.35842063036193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5.6</v>
      </c>
      <c r="FE59" s="12">
        <f>IF('Données projet'!$A$218&gt;35,FE58+FD59-FM58,IF(A59&lt;'Données projet'!$A$218,$FB$205^A59,IF(A59='Données projet'!$A$218,'Données projet'!$B$218,FE58+FD59-FM58)))</f>
        <v>235.59999999999971</v>
      </c>
      <c r="FF59" s="17">
        <f>FE59*VLOOKUP('Données projet'!$B$16,Paramètres!$A$1:$I$89,3,0)*VLOOKUP('Données projet'!$B$16,Paramètres!$A$1:$I$89,5,0)</f>
        <v>187.44335999999979</v>
      </c>
      <c r="FG59" s="13">
        <f t="shared" si="47"/>
        <v>46.974271155353591</v>
      </c>
      <c r="FH59" s="20">
        <f t="shared" si="22"/>
        <v>408.27737426224047</v>
      </c>
      <c r="FI59" s="59">
        <f t="shared" si="23"/>
        <v>701.61070759557379</v>
      </c>
      <c r="FJ59" s="59">
        <f ca="1">AVERAGE(OFFSET($FI$3,0,0,'Données projet'!$E$16+1,1))-AVERAGE(OFFSET($H$3,0,0,'Données projet'!$E$16+1,1))</f>
        <v>199.58763537752952</v>
      </c>
      <c r="FK59" s="59">
        <f t="shared" si="48"/>
        <v>242.62852778451929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5.0008939685487617</v>
      </c>
      <c r="FS59" s="21">
        <f>EXP(-LN(2)/2)*FS58+(1-EXP(-LN(2)/2))/(LN(2)/2)*FM59*FP59*VLOOKUP('Données projet'!$B$16,Paramètres!$A$1:$I$89,3,0)*0.475*44/12</f>
        <v>1.3136667960473901E-3</v>
      </c>
      <c r="FT59" s="22">
        <f t="shared" si="24"/>
        <v>5.0022076353448091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5.6</v>
      </c>
      <c r="FZ59" s="12">
        <f>IF('Données projet'!$A$244&gt;35,FZ58+FY59-GH58,IF(A59&lt;'Données projet'!$A$244,$FW$205^A59,IF(A59='Données projet'!$A$244,'Données projet'!$B$244,FZ58+FY59-GH58)))</f>
        <v>235.59999999999971</v>
      </c>
      <c r="GA59" s="17">
        <f>FZ59*VLOOKUP('Données projet'!$B$17,Paramètres!$A$1:$I$89,3,0)*VLOOKUP('Données projet'!$B$17,Paramètres!$A$1:$I$89,5,0)</f>
        <v>172.74191999999979</v>
      </c>
      <c r="GB59" s="13">
        <f t="shared" si="49"/>
        <v>43.703549427004376</v>
      </c>
      <c r="GC59" s="20">
        <f t="shared" si="25"/>
        <v>376.97585925203225</v>
      </c>
      <c r="GD59" s="59">
        <f t="shared" si="26"/>
        <v>670.30919258536551</v>
      </c>
      <c r="GE59" s="59">
        <f ca="1">AVERAGE(OFFSET($GD$3,0,0,'Données projet'!$E$17+1,1))-AVERAGE(OFFSET($H$3,0,0,'Données projet'!$E$17+1,1))</f>
        <v>178.12968684094687</v>
      </c>
      <c r="GF59" s="59">
        <f t="shared" si="50"/>
        <v>219.36004077210373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3.7391071810717902</v>
      </c>
      <c r="GN59" s="21">
        <f>EXP(-LN(2)/2)*GN58+(1-EXP(-LN(2)/2))/(LN(2)/2)*GH59*GK59*VLOOKUP('Données projet'!$B$17,Paramètres!$A$1:$I$89,3,0)*0.475*44/12</f>
        <v>1.2106341061613192E-3</v>
      </c>
      <c r="GO59" s="21">
        <f t="shared" si="27"/>
        <v>3.7403178151779515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5.6</v>
      </c>
      <c r="GU59" s="12">
        <f>IF('Données projet'!$A$270&gt;35,GU58+GT59-HC58,IF(A59&lt;'Données projet'!$A$270,$GR$205^A59,IF(A59='Données projet'!$A$270,'Données projet'!$B$270,GU58+GT59-HC58)))</f>
        <v>235.59999999999971</v>
      </c>
      <c r="GV59" s="17">
        <f>GU59*VLOOKUP('Données projet'!$B$18,Paramètres!$A$1:$I$89,3,0)*VLOOKUP('Données projet'!$B$18,Paramètres!$A$1:$I$89,5,0)</f>
        <v>187.44335999999979</v>
      </c>
      <c r="GW59" s="13">
        <f t="shared" si="51"/>
        <v>46.974271155353591</v>
      </c>
      <c r="GX59" s="20">
        <f t="shared" si="28"/>
        <v>408.27737426224047</v>
      </c>
      <c r="GY59" s="59">
        <f t="shared" si="29"/>
        <v>701.61070759557379</v>
      </c>
      <c r="GZ59" s="59">
        <f ca="1">AVERAGE(OFFSET($GY$3,0,0,'Données projet'!$E$18+1,1))-AVERAGE(OFFSET($H$3,0,0,'Données projet'!$E$18+1,1))</f>
        <v>199.58763537752952</v>
      </c>
      <c r="HA59" s="59">
        <f t="shared" si="52"/>
        <v>242.62852778451929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5.0008939685487617</v>
      </c>
      <c r="HI59" s="21">
        <f>EXP(-LN(2)/2)*HI58+(1-EXP(-LN(2)/2))/(LN(2)/2)*HC59*HF59*VLOOKUP('Données projet'!$B$18,Paramètres!$A$1:$I$89,3,0)*0.475*44/12</f>
        <v>1.3136667960473901E-3</v>
      </c>
      <c r="HJ59" s="22">
        <f t="shared" si="30"/>
        <v>5.0022076353448091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9.6586538461538431</v>
      </c>
      <c r="N60" s="13">
        <f>IF('Données projet'!$A$36&gt;35,N59+M60-V59,IF(A60&lt;'Données projet'!$A$36,$K$205^A60,IF(A60='Données projet'!$A$36,'Données projet'!$B$36,N59+M60-V59)))</f>
        <v>238.32852564102546</v>
      </c>
      <c r="O60" s="13">
        <f>N60*VLOOKUP('Données projet'!$B$9,Paramètres!$A$1:$I$89,3,0)*VLOOKUP('Données projet'!$B$9,Paramètres!$A$1:$I$89,5,0)</f>
        <v>215.63964999999985</v>
      </c>
      <c r="P60" s="13">
        <f t="shared" si="33"/>
        <v>53.166083860481116</v>
      </c>
      <c r="Q60" s="20">
        <f t="shared" si="53"/>
        <v>468.16998647367103</v>
      </c>
      <c r="R60" s="59">
        <f t="shared" si="0"/>
        <v>761.50331980700435</v>
      </c>
      <c r="S60" s="59">
        <f ca="1">AVERAGE(OFFSET($R$3,0,0,'Données projet'!$E$9+1,1))-AVERAGE(OFFSET($H$3,0,0,'Données projet'!$E$9+1,1))</f>
        <v>309.07357540707869</v>
      </c>
      <c r="T60" s="59">
        <f t="shared" si="34"/>
        <v>155.9593924683299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7.2307692307692299</v>
      </c>
      <c r="AI60" s="13">
        <f>IF('Données projet'!$A$62&gt;35,AI59+AH60-AQ59,IF(A60&lt;'Données projet'!$A$62,$AF$205^A60,IF(A60='Données projet'!$A$62,'Données projet'!$B$62,AI59+AH60-AQ59)))</f>
        <v>180.75641025641019</v>
      </c>
      <c r="AJ60" s="13">
        <f>AI60*VLOOKUP('Données projet'!$B$10,Paramètres!$A$1:$I$89,3,0)*VLOOKUP('Données projet'!$B$10,Paramètres!$A$1:$I$89,5,0)</f>
        <v>163.54839999999993</v>
      </c>
      <c r="AK60" s="13">
        <f t="shared" si="35"/>
        <v>41.641842320311142</v>
      </c>
      <c r="AL60" s="20">
        <f t="shared" si="4"/>
        <v>357.37300537454183</v>
      </c>
      <c r="AM60" s="59">
        <f t="shared" si="5"/>
        <v>650.70633870787515</v>
      </c>
      <c r="AN60" s="59">
        <f ca="1">AVERAGE(OFFSET($AM$3,0,0,'Données projet'!$E$10+1,1))-AVERAGE(OFFSET($H$3,0,0,'Données projet'!$E$10+1,1))</f>
        <v>234.30804102916278</v>
      </c>
      <c r="AO60" s="59">
        <f t="shared" si="36"/>
        <v>91.137993288782411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14.270329670329668</v>
      </c>
      <c r="BD60" s="12">
        <f>IF('Données projet'!$A$88&gt;35,BD59+BC60-BL59,IF(A60&lt;'Données projet'!$A$88,$BA$205^A60,IF(A60='Données projet'!$A$88,'Données projet'!$B$88,BD59+BC60-BL59)))</f>
        <v>289.55494505494505</v>
      </c>
      <c r="BE60" s="13">
        <f>BD60*VLOOKUP('Données projet'!$B$11,Paramètres!$A$1:$I$89,3,0)*VLOOKUP('Données projet'!$B$11,Paramètres!$A$1:$I$89,5,0)</f>
        <v>135.51171428571428</v>
      </c>
      <c r="BF60" s="13">
        <f t="shared" si="37"/>
        <v>35.26686051307076</v>
      </c>
      <c r="BG60" s="20">
        <f t="shared" si="7"/>
        <v>297.43935110788397</v>
      </c>
      <c r="BH60" s="59">
        <f t="shared" si="8"/>
        <v>590.77268444121728</v>
      </c>
      <c r="BI60" s="59">
        <f ca="1">AVERAGE(OFFSET($BH$3,0,0,'Données projet'!$E$11+1,1))-AVERAGE(OFFSET($H$3,0,0,'Données projet'!$E$11+1,1))</f>
        <v>158.58786357608489</v>
      </c>
      <c r="BJ60" s="59">
        <f t="shared" si="38"/>
        <v>163.20074068819849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11.170769230769238</v>
      </c>
      <c r="BY60" s="12">
        <f>IF('Données projet'!$A$114&gt;35,BY59+BX60-CG59,IF(A60&lt;'Données projet'!$A$114,$BV$205^A60,IF(A60='Données projet'!$A$114,'Données projet'!$B$114,BY59+BX60-CG59)))</f>
        <v>284.43230769230792</v>
      </c>
      <c r="BZ60" s="13">
        <f>BY60*VLOOKUP('Données projet'!$B$12,Paramètres!$A$1:$I$89,3,0)*VLOOKUP('Données projet'!$B$12,Paramètres!$A$1:$I$89,5,0)</f>
        <v>133.11432000000011</v>
      </c>
      <c r="CA60" s="13">
        <f t="shared" si="39"/>
        <v>34.714992732392233</v>
      </c>
      <c r="CB60" s="20">
        <f t="shared" si="10"/>
        <v>292.30271967558332</v>
      </c>
      <c r="CC60" s="59">
        <f t="shared" si="11"/>
        <v>585.63605300891663</v>
      </c>
      <c r="CD60" s="59">
        <f ca="1">AVERAGE(OFFSET($CC$3,0,0,'Données projet'!$E$12+1,1))-AVERAGE(OFFSET($H$3,0,0,'Données projet'!$E$12+1,1))</f>
        <v>123.2823358462245</v>
      </c>
      <c r="CE60" s="59">
        <f t="shared" si="40"/>
        <v>92.75115399786057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10.66307692307692</v>
      </c>
      <c r="CT60" s="12">
        <f>IF('Données projet'!$A$140&gt;35,CT59+CS60-DB59,IF(A60&lt;'Données projet'!$A$140,$CQ$205^A60,IF(A60='Données projet'!$A$140,'Données projet'!$B$140,CT59+CS60-DB59)))</f>
        <v>310.43384615384616</v>
      </c>
      <c r="CU60" s="17">
        <f>CT60*VLOOKUP('Données projet'!$B$13,Paramètres!$A$1:$I$89,3,0)*VLOOKUP('Données projet'!$B$13,Paramètres!$A$1:$I$89,5,0)</f>
        <v>185.63944000000001</v>
      </c>
      <c r="CV60" s="13">
        <f t="shared" si="41"/>
        <v>46.574596113982338</v>
      </c>
      <c r="CW60" s="20">
        <f t="shared" si="13"/>
        <v>404.43944623185251</v>
      </c>
      <c r="CX60" s="59">
        <f t="shared" si="14"/>
        <v>697.77277956518583</v>
      </c>
      <c r="CY60" s="59">
        <f ca="1">AVERAGE(OFFSET($CX$3,0,0,'Données projet'!$E$13+1,1))-AVERAGE(OFFSET($H$3,0,0,'Données projet'!$E$13+1,1))</f>
        <v>179.32848817523677</v>
      </c>
      <c r="CZ60" s="59">
        <f t="shared" si="42"/>
        <v>131.3292389103035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6.234557019058828</v>
      </c>
      <c r="DH60" s="21">
        <f>EXP(-LN(2)/2)*DH59+(1-EXP(-LN(2)/2))/(LN(2)/2)*DB60*DE60*VLOOKUP('Données projet'!$B$13,Paramètres!$A$1:$I$89,3,0)*0.475*44/12</f>
        <v>4.5427375795279216E-4</v>
      </c>
      <c r="DI60" s="22">
        <f t="shared" si="15"/>
        <v>6.2350112928167807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9.6586538461538431</v>
      </c>
      <c r="DO60" s="12">
        <f>IF('Données projet'!$A$166&gt;35,DO59+DN60-DW59,IF(A60&lt;'Données projet'!$A$166,$DL$205^A60,IF(A60='Données projet'!$A$166,'Données projet'!$B$166,DO59+DN60-DW59)))</f>
        <v>238.32852564102546</v>
      </c>
      <c r="DP60" s="17">
        <f>DO60*VLOOKUP('Données projet'!$B$14,Paramètres!$A$1:$I$89,3,0)*VLOOKUP('Données projet'!$B$14,Paramètres!$A$1:$I$89,5,0)</f>
        <v>230.51134999999982</v>
      </c>
      <c r="DQ60" s="13">
        <f t="shared" si="43"/>
        <v>56.393233061798213</v>
      </c>
      <c r="DR60" s="20">
        <f t="shared" si="16"/>
        <v>499.69214883263152</v>
      </c>
      <c r="DS60" s="59">
        <f t="shared" si="17"/>
        <v>793.02548216596483</v>
      </c>
      <c r="DT60" s="59">
        <f ca="1">AVERAGE(OFFSET($DS$3,0,0,'Données projet'!$E$14+1,1))-AVERAGE(OFFSET($H$3,0,0,'Données projet'!$E$14+1,1))</f>
        <v>340.4659523898373</v>
      </c>
      <c r="DU60" s="59">
        <f t="shared" si="44"/>
        <v>170.54530785680572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7.2307692307692299</v>
      </c>
      <c r="EJ60" s="12">
        <f>IF('Données projet'!$A$192&gt;35,EJ59+EI60-ER59,IF(A60&lt;'Données projet'!$A$192,$EG$205^A60,IF(A60='Données projet'!$A$192,'Données projet'!$B$192,EJ59+EI60-ER59)))</f>
        <v>180.75641025641019</v>
      </c>
      <c r="EK60" s="17">
        <f>EJ60*VLOOKUP('Données projet'!$B$15,Paramètres!$A$1:$I$89,3,0)*VLOOKUP('Données projet'!$B$15,Paramètres!$A$1:$I$89,5,0)</f>
        <v>174.82759999999993</v>
      </c>
      <c r="EL60" s="13">
        <f t="shared" si="45"/>
        <v>44.169477015731246</v>
      </c>
      <c r="EM60" s="20">
        <f t="shared" si="19"/>
        <v>381.41990913573176</v>
      </c>
      <c r="EN60" s="59">
        <f t="shared" si="20"/>
        <v>674.75324246906507</v>
      </c>
      <c r="EO60" s="59">
        <f ca="1">AVERAGE(OFFSET($EN$3,0,0,'Données projet'!$E$15+1,1))-AVERAGE(OFFSET($H$3,0,0,'Données projet'!$E$15+1,1))</f>
        <v>262.20955982183017</v>
      </c>
      <c r="EP60" s="59">
        <f t="shared" si="46"/>
        <v>101.35842063036193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5.6</v>
      </c>
      <c r="FE60" s="12">
        <f>IF('Données projet'!$A$218&gt;35,FE59+FD60-FM59,IF(A60&lt;'Données projet'!$A$218,$FB$205^A60,IF(A60='Données projet'!$A$218,'Données projet'!$B$218,FE59+FD60-FM59)))</f>
        <v>241.1999999999997</v>
      </c>
      <c r="FF60" s="17">
        <f>FE60*VLOOKUP('Données projet'!$B$16,Paramètres!$A$1:$I$89,3,0)*VLOOKUP('Données projet'!$B$16,Paramètres!$A$1:$I$89,5,0)</f>
        <v>191.8987199999998</v>
      </c>
      <c r="FG60" s="13">
        <f t="shared" si="47"/>
        <v>47.959489640575512</v>
      </c>
      <c r="FH60" s="20">
        <f t="shared" si="22"/>
        <v>417.7530484573353</v>
      </c>
      <c r="FI60" s="59">
        <f t="shared" si="23"/>
        <v>711.08638179066861</v>
      </c>
      <c r="FJ60" s="59">
        <f ca="1">AVERAGE(OFFSET($FI$3,0,0,'Données projet'!$E$16+1,1))-AVERAGE(OFFSET($H$3,0,0,'Données projet'!$E$16+1,1))</f>
        <v>199.58763537752952</v>
      </c>
      <c r="FK60" s="59">
        <f t="shared" si="48"/>
        <v>242.62852778451929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4.8641442599932114</v>
      </c>
      <c r="FS60" s="21">
        <f>EXP(-LN(2)/2)*FS59+(1-EXP(-LN(2)/2))/(LN(2)/2)*FM60*FP60*VLOOKUP('Données projet'!$B$16,Paramètres!$A$1:$I$89,3,0)*0.475*44/12</f>
        <v>9.2890269970471485E-4</v>
      </c>
      <c r="FT60" s="22">
        <f t="shared" si="24"/>
        <v>4.8650731626929158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5.6</v>
      </c>
      <c r="FZ60" s="12">
        <f>IF('Données projet'!$A$244&gt;35,FZ59+FY60-GH59,IF(A60&lt;'Données projet'!$A$244,$FW$205^A60,IF(A60='Données projet'!$A$244,'Données projet'!$B$244,FZ59+FY60-GH59)))</f>
        <v>241.1999999999997</v>
      </c>
      <c r="GA60" s="17">
        <f>FZ60*VLOOKUP('Données projet'!$B$17,Paramètres!$A$1:$I$89,3,0)*VLOOKUP('Données projet'!$B$17,Paramètres!$A$1:$I$89,5,0)</f>
        <v>176.84783999999976</v>
      </c>
      <c r="GB60" s="13">
        <f t="shared" si="49"/>
        <v>44.620169178759383</v>
      </c>
      <c r="GC60" s="20">
        <f t="shared" si="25"/>
        <v>385.72344931967217</v>
      </c>
      <c r="GD60" s="59">
        <f t="shared" si="26"/>
        <v>679.05678265300548</v>
      </c>
      <c r="GE60" s="59">
        <f ca="1">AVERAGE(OFFSET($GD$3,0,0,'Données projet'!$E$17+1,1))-AVERAGE(OFFSET($H$3,0,0,'Données projet'!$E$17+1,1))</f>
        <v>178.12968684094687</v>
      </c>
      <c r="GF60" s="59">
        <f t="shared" si="50"/>
        <v>219.36004077210373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3.6368610985742813</v>
      </c>
      <c r="GN60" s="21">
        <f>EXP(-LN(2)/2)*GN59+(1-EXP(-LN(2)/2))/(LN(2)/2)*GH60*GK60*VLOOKUP('Données projet'!$B$17,Paramètres!$A$1:$I$89,3,0)*0.475*44/12</f>
        <v>8.5604758600238352E-4</v>
      </c>
      <c r="GO60" s="21">
        <f t="shared" si="27"/>
        <v>3.6377171461602837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5.6</v>
      </c>
      <c r="GU60" s="12">
        <f>IF('Données projet'!$A$270&gt;35,GU59+GT60-HC59,IF(A60&lt;'Données projet'!$A$270,$GR$205^A60,IF(A60='Données projet'!$A$270,'Données projet'!$B$270,GU59+GT60-HC59)))</f>
        <v>241.1999999999997</v>
      </c>
      <c r="GV60" s="17">
        <f>GU60*VLOOKUP('Données projet'!$B$18,Paramètres!$A$1:$I$89,3,0)*VLOOKUP('Données projet'!$B$18,Paramètres!$A$1:$I$89,5,0)</f>
        <v>191.8987199999998</v>
      </c>
      <c r="GW60" s="13">
        <f t="shared" si="51"/>
        <v>47.959489640575512</v>
      </c>
      <c r="GX60" s="20">
        <f t="shared" si="28"/>
        <v>417.7530484573353</v>
      </c>
      <c r="GY60" s="59">
        <f t="shared" si="29"/>
        <v>711.08638179066861</v>
      </c>
      <c r="GZ60" s="59">
        <f ca="1">AVERAGE(OFFSET($GY$3,0,0,'Données projet'!$E$18+1,1))-AVERAGE(OFFSET($H$3,0,0,'Données projet'!$E$18+1,1))</f>
        <v>199.58763537752952</v>
      </c>
      <c r="HA60" s="59">
        <f t="shared" si="52"/>
        <v>242.62852778451929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4.8641442599932114</v>
      </c>
      <c r="HI60" s="21">
        <f>EXP(-LN(2)/2)*HI59+(1-EXP(-LN(2)/2))/(LN(2)/2)*HC60*HF60*VLOOKUP('Données projet'!$B$18,Paramètres!$A$1:$I$89,3,0)*0.475*44/12</f>
        <v>9.2890269970471485E-4</v>
      </c>
      <c r="HJ60" s="22">
        <f t="shared" si="30"/>
        <v>4.8650731626929158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247.98717948717947</v>
      </c>
      <c r="L61" s="12">
        <f>VLOOKUP(A61,'Données projet'!$A$35:$I$55,9,0)</f>
        <v>9.6586538461538431</v>
      </c>
      <c r="M61" s="12">
        <f t="array" ref="M61">INDEX(L:L,MIN(IF(ISNUMBER(L61:L257),ROW(L61:L257),"")))</f>
        <v>9.6586538461538431</v>
      </c>
      <c r="N61" s="13">
        <f>IF('Données projet'!$A$36&gt;35,N60+M61-V60,IF(A61&lt;'Données projet'!$A$36,$K$205^A61,IF(A61='Données projet'!$A$36,'Données projet'!$B$36,N60+M61-V60)))</f>
        <v>247.9871794871793</v>
      </c>
      <c r="O61" s="13">
        <f>N61*VLOOKUP('Données projet'!$B$9,Paramètres!$A$1:$I$89,3,0)*VLOOKUP('Données projet'!$B$9,Paramètres!$A$1:$I$89,5,0)</f>
        <v>224.37879999999984</v>
      </c>
      <c r="P61" s="13">
        <f t="shared" si="33"/>
        <v>55.065501892979434</v>
      </c>
      <c r="Q61" s="20">
        <f t="shared" si="53"/>
        <v>486.69882579693893</v>
      </c>
      <c r="R61" s="59">
        <f t="shared" si="0"/>
        <v>780.03215913027225</v>
      </c>
      <c r="S61" s="59">
        <f ca="1">AVERAGE(OFFSET($R$3,0,0,'Données projet'!$E$9+1,1))-AVERAGE(OFFSET($H$3,0,0,'Données projet'!$E$9+1,1))</f>
        <v>309.07357540707869</v>
      </c>
      <c r="T61" s="59">
        <f t="shared" si="34"/>
        <v>155.9593924683299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47.467948717948715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187.98717948717947</v>
      </c>
      <c r="AG61" s="12">
        <f>VLOOKUP(A61,'Données projet'!$A$61:$I$81,9,0)</f>
        <v>7.2307692307692299</v>
      </c>
      <c r="AH61" s="12">
        <f t="array" ref="AH61">INDEX(AG:AG,MIN(IF(ISNUMBER(AG61:AG257),ROW(AG61:AG257),"")))</f>
        <v>7.2307692307692299</v>
      </c>
      <c r="AI61" s="13">
        <f>IF('Données projet'!$A$62&gt;35,AI60+AH61-AQ60,IF(A61&lt;'Données projet'!$A$62,$AF$205^A61,IF(A61='Données projet'!$A$62,'Données projet'!$B$62,AI60+AH61-AQ60)))</f>
        <v>187.98717948717942</v>
      </c>
      <c r="AJ61" s="13">
        <f>AI61*VLOOKUP('Données projet'!$B$10,Paramètres!$A$1:$I$89,3,0)*VLOOKUP('Données projet'!$B$10,Paramètres!$A$1:$I$89,5,0)</f>
        <v>170.09079999999992</v>
      </c>
      <c r="AK61" s="13">
        <f t="shared" si="35"/>
        <v>43.110359132753665</v>
      </c>
      <c r="AL61" s="20">
        <f t="shared" si="4"/>
        <v>371.32535215621243</v>
      </c>
      <c r="AM61" s="59">
        <f t="shared" si="5"/>
        <v>664.65868548954575</v>
      </c>
      <c r="AN61" s="59">
        <f ca="1">AVERAGE(OFFSET($AM$3,0,0,'Données projet'!$E$10+1,1))-AVERAGE(OFFSET($H$3,0,0,'Données projet'!$E$10+1,1))</f>
        <v>234.30804102916278</v>
      </c>
      <c r="AO61" s="59">
        <f t="shared" si="36"/>
        <v>91.137993288782411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35.88461538461538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14.270329670329668</v>
      </c>
      <c r="BD61" s="12">
        <f>IF('Données projet'!$A$88&gt;35,BD60+BC61-BL60,IF(A61&lt;'Données projet'!$A$88,$BA$205^A61,IF(A61='Données projet'!$A$88,'Données projet'!$B$88,BD60+BC61-BL60)))</f>
        <v>303.82527472527471</v>
      </c>
      <c r="BE61" s="13">
        <f>BD61*VLOOKUP('Données projet'!$B$11,Paramètres!$A$1:$I$89,3,0)*VLOOKUP('Données projet'!$B$11,Paramètres!$A$1:$I$89,5,0)</f>
        <v>142.19022857142855</v>
      </c>
      <c r="BF61" s="13">
        <f t="shared" si="37"/>
        <v>36.798301893816983</v>
      </c>
      <c r="BG61" s="20">
        <f t="shared" si="7"/>
        <v>311.7383572269693</v>
      </c>
      <c r="BH61" s="59">
        <f t="shared" si="8"/>
        <v>605.07169056030261</v>
      </c>
      <c r="BI61" s="59">
        <f ca="1">AVERAGE(OFFSET($BH$3,0,0,'Données projet'!$E$11+1,1))-AVERAGE(OFFSET($H$3,0,0,'Données projet'!$E$11+1,1))</f>
        <v>158.58786357608489</v>
      </c>
      <c r="BJ61" s="59">
        <f t="shared" si="38"/>
        <v>163.20074068819849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11.170769230769238</v>
      </c>
      <c r="BY61" s="12">
        <f>IF('Données projet'!$A$114&gt;35,BY60+BX61-CG60,IF(A61&lt;'Données projet'!$A$114,$BV$205^A61,IF(A61='Données projet'!$A$114,'Données projet'!$B$114,BY60+BX61-CG60)))</f>
        <v>295.60307692307714</v>
      </c>
      <c r="BZ61" s="13">
        <f>BY61*VLOOKUP('Données projet'!$B$12,Paramètres!$A$1:$I$89,3,0)*VLOOKUP('Données projet'!$B$12,Paramètres!$A$1:$I$89,5,0)</f>
        <v>138.34224000000009</v>
      </c>
      <c r="CA61" s="13">
        <f t="shared" si="39"/>
        <v>35.916973077604602</v>
      </c>
      <c r="CB61" s="20">
        <f t="shared" si="10"/>
        <v>303.50146277682819</v>
      </c>
      <c r="CC61" s="59">
        <f t="shared" si="11"/>
        <v>596.83479611016151</v>
      </c>
      <c r="CD61" s="59">
        <f ca="1">AVERAGE(OFFSET($CC$3,0,0,'Données projet'!$E$12+1,1))-AVERAGE(OFFSET($H$3,0,0,'Données projet'!$E$12+1,1))</f>
        <v>123.2823358462245</v>
      </c>
      <c r="CE61" s="59">
        <f t="shared" si="40"/>
        <v>92.75115399786057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10.66307692307692</v>
      </c>
      <c r="CT61" s="12">
        <f>IF('Données projet'!$A$140&gt;35,CT60+CS61-DB60,IF(A61&lt;'Données projet'!$A$140,$CQ$205^A61,IF(A61='Données projet'!$A$140,'Données projet'!$B$140,CT60+CS61-DB60)))</f>
        <v>321.09692307692308</v>
      </c>
      <c r="CU61" s="17">
        <f>CT61*VLOOKUP('Données projet'!$B$13,Paramètres!$A$1:$I$89,3,0)*VLOOKUP('Données projet'!$B$13,Paramètres!$A$1:$I$89,5,0)</f>
        <v>192.01596000000001</v>
      </c>
      <c r="CV61" s="13">
        <f t="shared" si="41"/>
        <v>47.985378835949042</v>
      </c>
      <c r="CW61" s="20">
        <f t="shared" si="13"/>
        <v>418.00233180594455</v>
      </c>
      <c r="CX61" s="59">
        <f t="shared" si="14"/>
        <v>711.33566513927781</v>
      </c>
      <c r="CY61" s="59">
        <f ca="1">AVERAGE(OFFSET($CX$3,0,0,'Données projet'!$E$13+1,1))-AVERAGE(OFFSET($H$3,0,0,'Données projet'!$E$13+1,1))</f>
        <v>179.32848817523677</v>
      </c>
      <c r="CZ61" s="59">
        <f t="shared" si="42"/>
        <v>131.3292389103035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6.06407272951156</v>
      </c>
      <c r="DH61" s="21">
        <f>EXP(-LN(2)/2)*DH60+(1-EXP(-LN(2)/2))/(LN(2)/2)*DB61*DE61*VLOOKUP('Données projet'!$B$13,Paramètres!$A$1:$I$89,3,0)*0.475*44/12</f>
        <v>3.2122005476351565E-4</v>
      </c>
      <c r="DI61" s="22">
        <f t="shared" si="15"/>
        <v>6.0643939495663233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247.98717948717947</v>
      </c>
      <c r="DM61" s="12">
        <f>VLOOKUP(A61,'Données projet'!$A$165:$I$185,9,0)</f>
        <v>9.6586538461538431</v>
      </c>
      <c r="DN61" s="12">
        <f t="array" ref="DN61">INDEX(DM:DM,MIN(IF(ISNUMBER(DM61:DM257),ROW(DM61:DM257),"")))</f>
        <v>9.6586538461538431</v>
      </c>
      <c r="DO61" s="12">
        <f>IF('Données projet'!$A$166&gt;35,DO60+DN61-DW60,IF(A61&lt;'Données projet'!$A$166,$DL$205^A61,IF(A61='Données projet'!$A$166,'Données projet'!$B$166,DO60+DN61-DW60)))</f>
        <v>247.9871794871793</v>
      </c>
      <c r="DP61" s="17">
        <f>DO61*VLOOKUP('Données projet'!$B$14,Paramètres!$A$1:$I$89,3,0)*VLOOKUP('Données projet'!$B$14,Paramètres!$A$1:$I$89,5,0)</f>
        <v>239.85319999999982</v>
      </c>
      <c r="DQ61" s="13">
        <f t="shared" si="43"/>
        <v>58.40794462245313</v>
      </c>
      <c r="DR61" s="20">
        <f t="shared" si="16"/>
        <v>519.47149355077215</v>
      </c>
      <c r="DS61" s="59">
        <f t="shared" si="17"/>
        <v>812.80482688410552</v>
      </c>
      <c r="DT61" s="59">
        <f ca="1">AVERAGE(OFFSET($DS$3,0,0,'Données projet'!$E$14+1,1))-AVERAGE(OFFSET($H$3,0,0,'Données projet'!$E$14+1,1))</f>
        <v>340.4659523898373</v>
      </c>
      <c r="DU61" s="59">
        <f t="shared" si="44"/>
        <v>170.54530785680572</v>
      </c>
      <c r="DV61" s="15">
        <f>IF(ISNA(VLOOKUP(A61,'Données projet'!$A$165:$I$185,3,0)),0,VLOOKUP(A61,'Données projet'!$A$165:$I$185,3,0))</f>
        <v>4</v>
      </c>
      <c r="DW61" s="15">
        <f>IF(ISNA(VLOOKUP(A61,'Données projet'!$A$165:$I$185,4,0)),0,VLOOKUP(A61,'Données projet'!$A$165:$I$185,4,0))</f>
        <v>47.467948717948715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>
        <f>VLOOKUP(A61,'Données projet'!$A$191:$I$211,2,0)</f>
        <v>187.98717948717947</v>
      </c>
      <c r="EH61" s="12">
        <f>VLOOKUP(A61,'Données projet'!$A$191:$I$211,9,0)</f>
        <v>7.2307692307692299</v>
      </c>
      <c r="EI61" s="12">
        <f t="array" ref="EI61">INDEX(EH:EH,MIN(IF(ISNUMBER(EH61:EH257),ROW(EH61:EH257),"")))</f>
        <v>7.2307692307692299</v>
      </c>
      <c r="EJ61" s="12">
        <f>IF('Données projet'!$A$192&gt;35,EJ60+EI61-ER60,IF(A61&lt;'Données projet'!$A$192,$EG$205^A61,IF(A61='Données projet'!$A$192,'Données projet'!$B$192,EJ60+EI61-ER60)))</f>
        <v>187.98717948717942</v>
      </c>
      <c r="EK61" s="17">
        <f>EJ61*VLOOKUP('Données projet'!$B$15,Paramètres!$A$1:$I$89,3,0)*VLOOKUP('Données projet'!$B$15,Paramètres!$A$1:$I$89,5,0)</f>
        <v>181.82119999999995</v>
      </c>
      <c r="EL61" s="13">
        <f t="shared" si="45"/>
        <v>45.727131912348462</v>
      </c>
      <c r="EM61" s="20">
        <f t="shared" si="19"/>
        <v>396.31334474734012</v>
      </c>
      <c r="EN61" s="59">
        <f t="shared" si="20"/>
        <v>689.64667808067338</v>
      </c>
      <c r="EO61" s="59">
        <f ca="1">AVERAGE(OFFSET($EN$3,0,0,'Données projet'!$E$15+1,1))-AVERAGE(OFFSET($H$3,0,0,'Données projet'!$E$15+1,1))</f>
        <v>262.20955982183017</v>
      </c>
      <c r="EP61" s="59">
        <f t="shared" si="46"/>
        <v>101.35842063036193</v>
      </c>
      <c r="EQ61" s="15">
        <f>IF(ISNA(VLOOKUP(A61,'Données projet'!$A$191:$I$211,3,0)),0,VLOOKUP(A61,'Données projet'!$A$191:$I$211,3,0))</f>
        <v>3</v>
      </c>
      <c r="ER61" s="15">
        <f>IF(ISNA(VLOOKUP(A61,'Données projet'!$A$191:$I$211,4,0)),0,VLOOKUP(A61,'Données projet'!$A$191:$I$211,4,0))</f>
        <v>35.88461538461538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5.6</v>
      </c>
      <c r="FE61" s="12">
        <f>IF('Données projet'!$A$218&gt;35,FE60+FD61-FM60,IF(A61&lt;'Données projet'!$A$218,$FB$205^A61,IF(A61='Données projet'!$A$218,'Données projet'!$B$218,FE60+FD61-FM60)))</f>
        <v>246.7999999999997</v>
      </c>
      <c r="FF61" s="17">
        <f>FE61*VLOOKUP('Données projet'!$B$16,Paramètres!$A$1:$I$89,3,0)*VLOOKUP('Données projet'!$B$16,Paramètres!$A$1:$I$89,5,0)</f>
        <v>196.35407999999978</v>
      </c>
      <c r="FG61" s="13">
        <f t="shared" si="47"/>
        <v>48.942048927099485</v>
      </c>
      <c r="FH61" s="20">
        <f t="shared" si="22"/>
        <v>427.22409121469786</v>
      </c>
      <c r="FI61" s="59">
        <f t="shared" si="23"/>
        <v>720.55742454803112</v>
      </c>
      <c r="FJ61" s="59">
        <f ca="1">AVERAGE(OFFSET($FI$3,0,0,'Données projet'!$E$16+1,1))-AVERAGE(OFFSET($H$3,0,0,'Données projet'!$E$16+1,1))</f>
        <v>199.58763537752952</v>
      </c>
      <c r="FK61" s="59">
        <f t="shared" si="48"/>
        <v>242.62852778451929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4.731133979409468</v>
      </c>
      <c r="FS61" s="21">
        <f>EXP(-LN(2)/2)*FS60+(1-EXP(-LN(2)/2))/(LN(2)/2)*FM61*FP61*VLOOKUP('Données projet'!$B$16,Paramètres!$A$1:$I$89,3,0)*0.475*44/12</f>
        <v>6.5683339802369506E-4</v>
      </c>
      <c r="FT61" s="22">
        <f t="shared" si="24"/>
        <v>4.7317908128074917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5.6</v>
      </c>
      <c r="FZ61" s="12">
        <f>IF('Données projet'!$A$244&gt;35,FZ60+FY61-GH60,IF(A61&lt;'Données projet'!$A$244,$FW$205^A61,IF(A61='Données projet'!$A$244,'Données projet'!$B$244,FZ60+FY61-GH60)))</f>
        <v>246.7999999999997</v>
      </c>
      <c r="GA61" s="17">
        <f>FZ61*VLOOKUP('Données projet'!$B$17,Paramètres!$A$1:$I$89,3,0)*VLOOKUP('Données projet'!$B$17,Paramètres!$A$1:$I$89,5,0)</f>
        <v>180.95375999999979</v>
      </c>
      <c r="GB61" s="13">
        <f t="shared" si="49"/>
        <v>45.534314886343658</v>
      </c>
      <c r="GC61" s="20">
        <f t="shared" si="25"/>
        <v>394.46673042704816</v>
      </c>
      <c r="GD61" s="59">
        <f t="shared" si="26"/>
        <v>687.80006376038148</v>
      </c>
      <c r="GE61" s="59">
        <f ca="1">AVERAGE(OFFSET($GD$3,0,0,'Données projet'!$E$17+1,1))-AVERAGE(OFFSET($H$3,0,0,'Données projet'!$E$17+1,1))</f>
        <v>178.12968684094687</v>
      </c>
      <c r="GF61" s="59">
        <f t="shared" si="50"/>
        <v>219.36004077210373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3.5374109405795546</v>
      </c>
      <c r="GN61" s="21">
        <f>EXP(-LN(2)/2)*GN60+(1-EXP(-LN(2)/2))/(LN(2)/2)*GH61*GK61*VLOOKUP('Données projet'!$B$17,Paramètres!$A$1:$I$89,3,0)*0.475*44/12</f>
        <v>6.0531705308065962E-4</v>
      </c>
      <c r="GO61" s="21">
        <f t="shared" si="27"/>
        <v>3.5380162576326355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5.6</v>
      </c>
      <c r="GU61" s="12">
        <f>IF('Données projet'!$A$270&gt;35,GU60+GT61-HC60,IF(A61&lt;'Données projet'!$A$270,$GR$205^A61,IF(A61='Données projet'!$A$270,'Données projet'!$B$270,GU60+GT61-HC60)))</f>
        <v>246.7999999999997</v>
      </c>
      <c r="GV61" s="17">
        <f>GU61*VLOOKUP('Données projet'!$B$18,Paramètres!$A$1:$I$89,3,0)*VLOOKUP('Données projet'!$B$18,Paramètres!$A$1:$I$89,5,0)</f>
        <v>196.35407999999978</v>
      </c>
      <c r="GW61" s="13">
        <f t="shared" si="51"/>
        <v>48.942048927099485</v>
      </c>
      <c r="GX61" s="20">
        <f t="shared" si="28"/>
        <v>427.22409121469786</v>
      </c>
      <c r="GY61" s="59">
        <f t="shared" si="29"/>
        <v>720.55742454803112</v>
      </c>
      <c r="GZ61" s="59">
        <f ca="1">AVERAGE(OFFSET($GY$3,0,0,'Données projet'!$E$18+1,1))-AVERAGE(OFFSET($H$3,0,0,'Données projet'!$E$18+1,1))</f>
        <v>199.58763537752952</v>
      </c>
      <c r="HA61" s="59">
        <f t="shared" si="52"/>
        <v>242.62852778451929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4.731133979409468</v>
      </c>
      <c r="HI61" s="21">
        <f>EXP(-LN(2)/2)*HI60+(1-EXP(-LN(2)/2))/(LN(2)/2)*HC61*HF61*VLOOKUP('Données projet'!$B$18,Paramètres!$A$1:$I$89,3,0)*0.475*44/12</f>
        <v>6.5683339802369506E-4</v>
      </c>
      <c r="HJ61" s="22">
        <f t="shared" si="30"/>
        <v>4.7317908128074917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9.2219551282051242</v>
      </c>
      <c r="N62" s="13">
        <f>IF('Données projet'!$A$36&gt;35,N61+M62-V61,IF(A62&lt;'Données projet'!$A$36,$K$205^A62,IF(A62='Données projet'!$A$36,'Données projet'!$B$36,N61+M62-V61)))</f>
        <v>209.74118589743568</v>
      </c>
      <c r="O62" s="13">
        <f>N62*VLOOKUP('Données projet'!$B$9,Paramètres!$A$1:$I$89,3,0)*VLOOKUP('Données projet'!$B$9,Paramètres!$A$1:$I$89,5,0)</f>
        <v>189.77382499999979</v>
      </c>
      <c r="P62" s="13">
        <f t="shared" si="33"/>
        <v>47.489945304141962</v>
      </c>
      <c r="Q62" s="20">
        <f t="shared" si="53"/>
        <v>413.23439994638017</v>
      </c>
      <c r="R62" s="59">
        <f t="shared" si="0"/>
        <v>706.56773327971348</v>
      </c>
      <c r="S62" s="59">
        <f ca="1">AVERAGE(OFFSET($R$3,0,0,'Données projet'!$E$9+1,1))-AVERAGE(OFFSET($H$3,0,0,'Données projet'!$E$9+1,1))</f>
        <v>309.07357540707869</v>
      </c>
      <c r="T62" s="59">
        <f t="shared" si="34"/>
        <v>155.9593924683299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6.9975961538461569</v>
      </c>
      <c r="AI62" s="13">
        <f>IF('Données projet'!$A$62&gt;35,AI61+AH62-AQ61,IF(A62&lt;'Données projet'!$A$62,$AF$205^A62,IF(A62='Données projet'!$A$62,'Données projet'!$B$62,AI61+AH62-AQ61)))</f>
        <v>159.10016025641019</v>
      </c>
      <c r="AJ62" s="13">
        <f>AI62*VLOOKUP('Données projet'!$B$10,Paramètres!$A$1:$I$89,3,0)*VLOOKUP('Données projet'!$B$10,Paramètres!$A$1:$I$89,5,0)</f>
        <v>143.95382499999994</v>
      </c>
      <c r="AK62" s="13">
        <f t="shared" si="35"/>
        <v>37.201297925394421</v>
      </c>
      <c r="AL62" s="20">
        <f t="shared" si="4"/>
        <v>315.51183909506182</v>
      </c>
      <c r="AM62" s="59">
        <f t="shared" si="5"/>
        <v>608.84517242839513</v>
      </c>
      <c r="AN62" s="59">
        <f ca="1">AVERAGE(OFFSET($AM$3,0,0,'Données projet'!$E$10+1,1))-AVERAGE(OFFSET($H$3,0,0,'Données projet'!$E$10+1,1))</f>
        <v>234.30804102916278</v>
      </c>
      <c r="AO62" s="59">
        <f t="shared" si="36"/>
        <v>91.137993288782411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14.270329670329668</v>
      </c>
      <c r="BD62" s="12">
        <f>IF('Données projet'!$A$88&gt;35,BD61+BC62-BL61,IF(A62&lt;'Données projet'!$A$88,$BA$205^A62,IF(A62='Données projet'!$A$88,'Données projet'!$B$88,BD61+BC62-BL61)))</f>
        <v>318.09560439560437</v>
      </c>
      <c r="BE62" s="13">
        <f>BD62*VLOOKUP('Données projet'!$B$11,Paramètres!$A$1:$I$89,3,0)*VLOOKUP('Données projet'!$B$11,Paramètres!$A$1:$I$89,5,0)</f>
        <v>148.86874285714285</v>
      </c>
      <c r="BF62" s="13">
        <f t="shared" si="37"/>
        <v>38.321390217280914</v>
      </c>
      <c r="BG62" s="20">
        <f t="shared" si="7"/>
        <v>326.02281510462137</v>
      </c>
      <c r="BH62" s="59">
        <f t="shared" si="8"/>
        <v>619.35614843795474</v>
      </c>
      <c r="BI62" s="59">
        <f ca="1">AVERAGE(OFFSET($BH$3,0,0,'Données projet'!$E$11+1,1))-AVERAGE(OFFSET($H$3,0,0,'Données projet'!$E$11+1,1))</f>
        <v>158.58786357608489</v>
      </c>
      <c r="BJ62" s="59">
        <f t="shared" si="38"/>
        <v>163.20074068819849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11.170769230769238</v>
      </c>
      <c r="BY62" s="12">
        <f>IF('Données projet'!$A$114&gt;35,BY61+BX62-CG61,IF(A62&lt;'Données projet'!$A$114,$BV$205^A62,IF(A62='Données projet'!$A$114,'Données projet'!$B$114,BY61+BX62-CG61)))</f>
        <v>306.77384615384636</v>
      </c>
      <c r="BZ62" s="13">
        <f>BY62*VLOOKUP('Données projet'!$B$12,Paramètres!$A$1:$I$89,3,0)*VLOOKUP('Données projet'!$B$12,Paramètres!$A$1:$I$89,5,0)</f>
        <v>143.5701600000001</v>
      </c>
      <c r="CA62" s="13">
        <f t="shared" si="39"/>
        <v>37.113676523004848</v>
      </c>
      <c r="CB62" s="20">
        <f t="shared" si="10"/>
        <v>314.69101527756692</v>
      </c>
      <c r="CC62" s="59">
        <f t="shared" si="11"/>
        <v>608.02434861090023</v>
      </c>
      <c r="CD62" s="59">
        <f ca="1">AVERAGE(OFFSET($CC$3,0,0,'Données projet'!$E$12+1,1))-AVERAGE(OFFSET($H$3,0,0,'Données projet'!$E$12+1,1))</f>
        <v>123.2823358462245</v>
      </c>
      <c r="CE62" s="59">
        <f t="shared" si="40"/>
        <v>92.75115399786057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10.66307692307692</v>
      </c>
      <c r="CT62" s="12">
        <f>IF('Données projet'!$A$140&gt;35,CT61+CS62-DB61,IF(A62&lt;'Données projet'!$A$140,$CQ$205^A62,IF(A62='Données projet'!$A$140,'Données projet'!$B$140,CT61+CS62-DB61)))</f>
        <v>331.76</v>
      </c>
      <c r="CU62" s="17">
        <f>CT62*VLOOKUP('Données projet'!$B$13,Paramètres!$A$1:$I$89,3,0)*VLOOKUP('Données projet'!$B$13,Paramètres!$A$1:$I$89,5,0)</f>
        <v>198.39248000000001</v>
      </c>
      <c r="CV62" s="13">
        <f t="shared" si="41"/>
        <v>49.39071772551025</v>
      </c>
      <c r="CW62" s="20">
        <f t="shared" si="13"/>
        <v>431.55573603859699</v>
      </c>
      <c r="CX62" s="59">
        <f t="shared" si="14"/>
        <v>724.8890693719303</v>
      </c>
      <c r="CY62" s="59">
        <f ca="1">AVERAGE(OFFSET($CX$3,0,0,'Données projet'!$E$13+1,1))-AVERAGE(OFFSET($H$3,0,0,'Données projet'!$E$13+1,1))</f>
        <v>179.32848817523677</v>
      </c>
      <c r="CZ62" s="59">
        <f t="shared" si="42"/>
        <v>131.3292389103035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5.8982503418273415</v>
      </c>
      <c r="DH62" s="21">
        <f>EXP(-LN(2)/2)*DH61+(1-EXP(-LN(2)/2))/(LN(2)/2)*DB62*DE62*VLOOKUP('Données projet'!$B$13,Paramètres!$A$1:$I$89,3,0)*0.475*44/12</f>
        <v>2.2713687897639608E-4</v>
      </c>
      <c r="DI62" s="22">
        <f t="shared" si="15"/>
        <v>5.8984774787063179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9.2219551282051242</v>
      </c>
      <c r="DO62" s="12">
        <f>IF('Données projet'!$A$166&gt;35,DO61+DN62-DW61,IF(A62&lt;'Données projet'!$A$166,$DL$205^A62,IF(A62='Données projet'!$A$166,'Données projet'!$B$166,DO61+DN62-DW61)))</f>
        <v>209.74118589743568</v>
      </c>
      <c r="DP62" s="17">
        <f>DO62*VLOOKUP('Données projet'!$B$14,Paramètres!$A$1:$I$89,3,0)*VLOOKUP('Données projet'!$B$14,Paramètres!$A$1:$I$89,5,0)</f>
        <v>202.86167499999979</v>
      </c>
      <c r="DQ62" s="13">
        <f t="shared" si="43"/>
        <v>50.372556320989389</v>
      </c>
      <c r="DR62" s="20">
        <f t="shared" si="16"/>
        <v>441.04961955072281</v>
      </c>
      <c r="DS62" s="59">
        <f t="shared" si="17"/>
        <v>734.38295288405607</v>
      </c>
      <c r="DT62" s="59">
        <f ca="1">AVERAGE(OFFSET($DS$3,0,0,'Données projet'!$E$14+1,1))-AVERAGE(OFFSET($H$3,0,0,'Données projet'!$E$14+1,1))</f>
        <v>340.4659523898373</v>
      </c>
      <c r="DU62" s="59">
        <f t="shared" si="44"/>
        <v>170.54530785680572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6.9975961538461569</v>
      </c>
      <c r="EJ62" s="12">
        <f>IF('Données projet'!$A$192&gt;35,EJ61+EI62-ER61,IF(A62&lt;'Données projet'!$A$192,$EG$205^A62,IF(A62='Données projet'!$A$192,'Données projet'!$B$192,EJ61+EI62-ER61)))</f>
        <v>159.10016025641019</v>
      </c>
      <c r="EK62" s="17">
        <f>EJ62*VLOOKUP('Données projet'!$B$15,Paramètres!$A$1:$I$89,3,0)*VLOOKUP('Données projet'!$B$15,Paramètres!$A$1:$I$89,5,0)</f>
        <v>153.88167499999994</v>
      </c>
      <c r="EL62" s="13">
        <f t="shared" si="45"/>
        <v>39.459394256185782</v>
      </c>
      <c r="EM62" s="20">
        <f t="shared" si="19"/>
        <v>336.73569562119013</v>
      </c>
      <c r="EN62" s="59">
        <f t="shared" si="20"/>
        <v>630.06902895452345</v>
      </c>
      <c r="EO62" s="59">
        <f ca="1">AVERAGE(OFFSET($EN$3,0,0,'Données projet'!$E$15+1,1))-AVERAGE(OFFSET($H$3,0,0,'Données projet'!$E$15+1,1))</f>
        <v>262.20955982183017</v>
      </c>
      <c r="EP62" s="59">
        <f t="shared" si="46"/>
        <v>101.35842063036193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5.6</v>
      </c>
      <c r="FE62" s="12">
        <f>IF('Données projet'!$A$218&gt;35,FE61+FD62-FM61,IF(A62&lt;'Données projet'!$A$218,$FB$205^A62,IF(A62='Données projet'!$A$218,'Données projet'!$B$218,FE61+FD62-FM61)))</f>
        <v>252.39999999999969</v>
      </c>
      <c r="FF62" s="17">
        <f>FE62*VLOOKUP('Données projet'!$B$16,Paramètres!$A$1:$I$89,3,0)*VLOOKUP('Données projet'!$B$16,Paramètres!$A$1:$I$89,5,0)</f>
        <v>200.80943999999977</v>
      </c>
      <c r="FG62" s="13">
        <f t="shared" si="47"/>
        <v>49.922016299484262</v>
      </c>
      <c r="FH62" s="20">
        <f t="shared" si="22"/>
        <v>436.69061972160131</v>
      </c>
      <c r="FI62" s="59">
        <f t="shared" si="23"/>
        <v>730.02395305493462</v>
      </c>
      <c r="FJ62" s="59">
        <f ca="1">AVERAGE(OFFSET($FI$3,0,0,'Données projet'!$E$16+1,1))-AVERAGE(OFFSET($H$3,0,0,'Données projet'!$E$16+1,1))</f>
        <v>199.58763537752952</v>
      </c>
      <c r="FK62" s="59">
        <f t="shared" si="48"/>
        <v>242.62852778451929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4.601760871942993</v>
      </c>
      <c r="FS62" s="21">
        <f>EXP(-LN(2)/2)*FS61+(1-EXP(-LN(2)/2))/(LN(2)/2)*FM62*FP62*VLOOKUP('Données projet'!$B$16,Paramètres!$A$1:$I$89,3,0)*0.475*44/12</f>
        <v>4.6445134985235743E-4</v>
      </c>
      <c r="FT62" s="22">
        <f t="shared" si="24"/>
        <v>4.6022253232928456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5.6</v>
      </c>
      <c r="FZ62" s="12">
        <f>IF('Données projet'!$A$244&gt;35,FZ61+FY62-GH61,IF(A62&lt;'Données projet'!$A$244,$FW$205^A62,IF(A62='Données projet'!$A$244,'Données projet'!$B$244,FZ61+FY62-GH61)))</f>
        <v>252.39999999999969</v>
      </c>
      <c r="GA62" s="17">
        <f>FZ62*VLOOKUP('Données projet'!$B$17,Paramètres!$A$1:$I$89,3,0)*VLOOKUP('Données projet'!$B$17,Paramètres!$A$1:$I$89,5,0)</f>
        <v>185.05967999999976</v>
      </c>
      <c r="GB62" s="13">
        <f t="shared" si="49"/>
        <v>46.446049149430465</v>
      </c>
      <c r="GC62" s="20">
        <f t="shared" si="25"/>
        <v>403.20581160192432</v>
      </c>
      <c r="GD62" s="59">
        <f t="shared" si="26"/>
        <v>696.53914493525758</v>
      </c>
      <c r="GE62" s="59">
        <f ca="1">AVERAGE(OFFSET($GD$3,0,0,'Données projet'!$E$17+1,1))-AVERAGE(OFFSET($H$3,0,0,'Données projet'!$E$17+1,1))</f>
        <v>178.12968684094687</v>
      </c>
      <c r="GF62" s="59">
        <f t="shared" si="50"/>
        <v>219.36004077210373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3.4406802523850502</v>
      </c>
      <c r="GN62" s="21">
        <f>EXP(-LN(2)/2)*GN61+(1-EXP(-LN(2)/2))/(LN(2)/2)*GH62*GK62*VLOOKUP('Données projet'!$B$17,Paramètres!$A$1:$I$89,3,0)*0.475*44/12</f>
        <v>4.2802379300119176E-4</v>
      </c>
      <c r="GO62" s="21">
        <f t="shared" si="27"/>
        <v>3.4411082761780514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5.6</v>
      </c>
      <c r="GU62" s="12">
        <f>IF('Données projet'!$A$270&gt;35,GU61+GT62-HC61,IF(A62&lt;'Données projet'!$A$270,$GR$205^A62,IF(A62='Données projet'!$A$270,'Données projet'!$B$270,GU61+GT62-HC61)))</f>
        <v>252.39999999999969</v>
      </c>
      <c r="GV62" s="17">
        <f>GU62*VLOOKUP('Données projet'!$B$18,Paramètres!$A$1:$I$89,3,0)*VLOOKUP('Données projet'!$B$18,Paramètres!$A$1:$I$89,5,0)</f>
        <v>200.80943999999977</v>
      </c>
      <c r="GW62" s="13">
        <f t="shared" si="51"/>
        <v>49.922016299484262</v>
      </c>
      <c r="GX62" s="20">
        <f t="shared" si="28"/>
        <v>436.69061972160131</v>
      </c>
      <c r="GY62" s="59">
        <f t="shared" si="29"/>
        <v>730.02395305493462</v>
      </c>
      <c r="GZ62" s="59">
        <f ca="1">AVERAGE(OFFSET($GY$3,0,0,'Données projet'!$E$18+1,1))-AVERAGE(OFFSET($H$3,0,0,'Données projet'!$E$18+1,1))</f>
        <v>199.58763537752952</v>
      </c>
      <c r="HA62" s="59">
        <f t="shared" si="52"/>
        <v>242.62852778451929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4.601760871942993</v>
      </c>
      <c r="HI62" s="21">
        <f>EXP(-LN(2)/2)*HI61+(1-EXP(-LN(2)/2))/(LN(2)/2)*HC62*HF62*VLOOKUP('Données projet'!$B$18,Paramètres!$A$1:$I$89,3,0)*0.475*44/12</f>
        <v>4.6445134985235743E-4</v>
      </c>
      <c r="HJ62" s="22">
        <f t="shared" si="30"/>
        <v>4.6022253232928456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9.2219551282051242</v>
      </c>
      <c r="N63" s="13">
        <f>IF('Données projet'!$A$36&gt;35,N62+M63-V62,IF(A63&lt;'Données projet'!$A$36,$K$205^A63,IF(A63='Données projet'!$A$36,'Données projet'!$B$36,N62+M63-V62)))</f>
        <v>218.96314102564082</v>
      </c>
      <c r="O63" s="13">
        <f>N63*VLOOKUP('Données projet'!$B$9,Paramètres!$A$1:$I$89,3,0)*VLOOKUP('Données projet'!$B$9,Paramètres!$A$1:$I$89,5,0)</f>
        <v>198.11784999999981</v>
      </c>
      <c r="P63" s="13">
        <f t="shared" si="33"/>
        <v>49.330300772275599</v>
      </c>
      <c r="Q63" s="20">
        <f t="shared" si="53"/>
        <v>430.97219592837968</v>
      </c>
      <c r="R63" s="59">
        <f t="shared" si="0"/>
        <v>724.30552926171299</v>
      </c>
      <c r="S63" s="59">
        <f ca="1">AVERAGE(OFFSET($R$3,0,0,'Données projet'!$E$9+1,1))-AVERAGE(OFFSET($H$3,0,0,'Données projet'!$E$9+1,1))</f>
        <v>309.07357540707869</v>
      </c>
      <c r="T63" s="59">
        <f t="shared" si="34"/>
        <v>155.9593924683299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6.9975961538461569</v>
      </c>
      <c r="AI63" s="13">
        <f>IF('Données projet'!$A$62&gt;35,AI62+AH63-AQ62,IF(A63&lt;'Données projet'!$A$62,$AF$205^A63,IF(A63='Données projet'!$A$62,'Données projet'!$B$62,AI62+AH63-AQ62)))</f>
        <v>166.09775641025635</v>
      </c>
      <c r="AJ63" s="13">
        <f>AI63*VLOOKUP('Données projet'!$B$10,Paramètres!$A$1:$I$89,3,0)*VLOOKUP('Données projet'!$B$10,Paramètres!$A$1:$I$89,5,0)</f>
        <v>150.28524999999993</v>
      </c>
      <c r="AK63" s="13">
        <f t="shared" si="35"/>
        <v>38.643402537471232</v>
      </c>
      <c r="AL63" s="20">
        <f t="shared" si="4"/>
        <v>329.05073650276228</v>
      </c>
      <c r="AM63" s="59">
        <f t="shared" si="5"/>
        <v>622.38406983609559</v>
      </c>
      <c r="AN63" s="59">
        <f ca="1">AVERAGE(OFFSET($AM$3,0,0,'Données projet'!$E$10+1,1))-AVERAGE(OFFSET($H$3,0,0,'Données projet'!$E$10+1,1))</f>
        <v>234.30804102916278</v>
      </c>
      <c r="AO63" s="59">
        <f t="shared" si="36"/>
        <v>91.137993288782411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14.270329670329668</v>
      </c>
      <c r="BD63" s="12">
        <f>IF('Données projet'!$A$88&gt;35,BD62+BC63-BL62,IF(A63&lt;'Données projet'!$A$88,$BA$205^A63,IF(A63='Données projet'!$A$88,'Données projet'!$B$88,BD62+BC63-BL62)))</f>
        <v>332.36593406593403</v>
      </c>
      <c r="BE63" s="13">
        <f>BD63*VLOOKUP('Données projet'!$B$11,Paramètres!$A$1:$I$89,3,0)*VLOOKUP('Données projet'!$B$11,Paramètres!$A$1:$I$89,5,0)</f>
        <v>155.54725714285712</v>
      </c>
      <c r="BF63" s="13">
        <f t="shared" si="37"/>
        <v>39.836543030962723</v>
      </c>
      <c r="BG63" s="20">
        <f t="shared" si="7"/>
        <v>340.29345196940289</v>
      </c>
      <c r="BH63" s="59">
        <f t="shared" si="8"/>
        <v>633.62678530273615</v>
      </c>
      <c r="BI63" s="59">
        <f ca="1">AVERAGE(OFFSET($BH$3,0,0,'Données projet'!$E$11+1,1))-AVERAGE(OFFSET($H$3,0,0,'Données projet'!$E$11+1,1))</f>
        <v>158.58786357608489</v>
      </c>
      <c r="BJ63" s="59">
        <f t="shared" si="38"/>
        <v>163.20074068819849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11.170769230769238</v>
      </c>
      <c r="BY63" s="12">
        <f>IF('Données projet'!$A$114&gt;35,BY62+BX63-CG62,IF(A63&lt;'Données projet'!$A$114,$BV$205^A63,IF(A63='Données projet'!$A$114,'Données projet'!$B$114,BY62+BX63-CG62)))</f>
        <v>317.94461538461559</v>
      </c>
      <c r="BZ63" s="13">
        <f>BY63*VLOOKUP('Données projet'!$B$12,Paramètres!$A$1:$I$89,3,0)*VLOOKUP('Données projet'!$B$12,Paramètres!$A$1:$I$89,5,0)</f>
        <v>148.79808000000008</v>
      </c>
      <c r="CA63" s="13">
        <f t="shared" si="39"/>
        <v>38.305317228732633</v>
      </c>
      <c r="CB63" s="20">
        <f t="shared" si="10"/>
        <v>325.87175017337614</v>
      </c>
      <c r="CC63" s="59">
        <f t="shared" si="11"/>
        <v>619.20508350670946</v>
      </c>
      <c r="CD63" s="59">
        <f ca="1">AVERAGE(OFFSET($CC$3,0,0,'Données projet'!$E$12+1,1))-AVERAGE(OFFSET($H$3,0,0,'Données projet'!$E$12+1,1))</f>
        <v>123.2823358462245</v>
      </c>
      <c r="CE63" s="59">
        <f t="shared" si="40"/>
        <v>92.75115399786057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342.42307692307691</v>
      </c>
      <c r="CR63" s="12">
        <f>VLOOKUP(A63,'Données projet'!$A$139:$I$159,9,0)</f>
        <v>10.66307692307692</v>
      </c>
      <c r="CS63" s="12">
        <f t="array" ref="CS63">INDEX(CR:CR,MIN(IF(ISNUMBER(CR63:CR259),ROW(CR63:CR259),"")))</f>
        <v>10.66307692307692</v>
      </c>
      <c r="CT63" s="12">
        <f>IF('Données projet'!$A$140&gt;35,CT62+CS63-DB62,IF(A63&lt;'Données projet'!$A$140,$CQ$205^A63,IF(A63='Données projet'!$A$140,'Données projet'!$B$140,CT62+CS63-DB62)))</f>
        <v>342.42307692307691</v>
      </c>
      <c r="CU63" s="17">
        <f>CT63*VLOOKUP('Données projet'!$B$13,Paramètres!$A$1:$I$89,3,0)*VLOOKUP('Données projet'!$B$13,Paramètres!$A$1:$I$89,5,0)</f>
        <v>204.76900000000001</v>
      </c>
      <c r="CV63" s="13">
        <f t="shared" si="41"/>
        <v>50.790807822254017</v>
      </c>
      <c r="CW63" s="20">
        <f t="shared" si="13"/>
        <v>445.09999862375906</v>
      </c>
      <c r="CX63" s="59">
        <f t="shared" si="14"/>
        <v>738.43333195709238</v>
      </c>
      <c r="CY63" s="59">
        <f ca="1">AVERAGE(OFFSET($CX$3,0,0,'Données projet'!$E$13+1,1))-AVERAGE(OFFSET($H$3,0,0,'Données projet'!$E$13+1,1))</f>
        <v>179.32848817523677</v>
      </c>
      <c r="CZ63" s="59">
        <f t="shared" si="42"/>
        <v>131.3292389103035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54.261538461538464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5.736962376054568</v>
      </c>
      <c r="DH63" s="21">
        <f>EXP(-LN(2)/2)*DH62+(1-EXP(-LN(2)/2))/(LN(2)/2)*DB63*DE63*VLOOKUP('Données projet'!$B$13,Paramètres!$A$1:$I$89,3,0)*0.475*44/12</f>
        <v>1.6061002738175783E-4</v>
      </c>
      <c r="DI63" s="22">
        <f t="shared" si="15"/>
        <v>5.7371229860819497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9.2219551282051242</v>
      </c>
      <c r="DO63" s="12">
        <f>IF('Données projet'!$A$166&gt;35,DO62+DN63-DW62,IF(A63&lt;'Données projet'!$A$166,$DL$205^A63,IF(A63='Données projet'!$A$166,'Données projet'!$B$166,DO62+DN63-DW62)))</f>
        <v>218.96314102564082</v>
      </c>
      <c r="DP63" s="17">
        <f>DO63*VLOOKUP('Données projet'!$B$14,Paramètres!$A$1:$I$89,3,0)*VLOOKUP('Données projet'!$B$14,Paramètres!$A$1:$I$89,5,0)</f>
        <v>211.7811499999998</v>
      </c>
      <c r="DQ63" s="13">
        <f t="shared" si="43"/>
        <v>52.324620255270545</v>
      </c>
      <c r="DR63" s="20">
        <f t="shared" si="16"/>
        <v>459.98421652792916</v>
      </c>
      <c r="DS63" s="59">
        <f t="shared" si="17"/>
        <v>753.31754986126248</v>
      </c>
      <c r="DT63" s="59">
        <f ca="1">AVERAGE(OFFSET($DS$3,0,0,'Données projet'!$E$14+1,1))-AVERAGE(OFFSET($H$3,0,0,'Données projet'!$E$14+1,1))</f>
        <v>340.4659523898373</v>
      </c>
      <c r="DU63" s="59">
        <f t="shared" si="44"/>
        <v>170.54530785680572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6.9975961538461569</v>
      </c>
      <c r="EJ63" s="12">
        <f>IF('Données projet'!$A$192&gt;35,EJ62+EI63-ER62,IF(A63&lt;'Données projet'!$A$192,$EG$205^A63,IF(A63='Données projet'!$A$192,'Données projet'!$B$192,EJ62+EI63-ER62)))</f>
        <v>166.09775641025635</v>
      </c>
      <c r="EK63" s="17">
        <f>EJ63*VLOOKUP('Données projet'!$B$15,Paramètres!$A$1:$I$89,3,0)*VLOOKUP('Données projet'!$B$15,Paramètres!$A$1:$I$89,5,0)</f>
        <v>160.64974999999995</v>
      </c>
      <c r="EL63" s="13">
        <f t="shared" si="45"/>
        <v>40.98903374781645</v>
      </c>
      <c r="EM63" s="20">
        <f t="shared" si="19"/>
        <v>351.18754836078023</v>
      </c>
      <c r="EN63" s="59">
        <f t="shared" si="20"/>
        <v>644.52088169411354</v>
      </c>
      <c r="EO63" s="59">
        <f ca="1">AVERAGE(OFFSET($EN$3,0,0,'Données projet'!$E$15+1,1))-AVERAGE(OFFSET($H$3,0,0,'Données projet'!$E$15+1,1))</f>
        <v>262.20955982183017</v>
      </c>
      <c r="EP63" s="59">
        <f t="shared" si="46"/>
        <v>101.35842063036193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258</v>
      </c>
      <c r="FC63" s="12">
        <f>VLOOKUP(A63,'Données projet'!$A$217:$I$237,9,0)</f>
        <v>5.6</v>
      </c>
      <c r="FD63" s="12">
        <f t="array" ref="FD63">INDEX(FC:FC,MIN(IF(ISNUMBER(FC63:FC259),ROW(FC63:FC259),"")))</f>
        <v>5.6</v>
      </c>
      <c r="FE63" s="12">
        <f>IF('Données projet'!$A$218&gt;35,FE62+FD63-FM62,IF(A63&lt;'Données projet'!$A$218,$FB$205^A63,IF(A63='Données projet'!$A$218,'Données projet'!$B$218,FE62+FD63-FM62)))</f>
        <v>257.99999999999972</v>
      </c>
      <c r="FF63" s="17">
        <f>FE63*VLOOKUP('Données projet'!$B$16,Paramètres!$A$1:$I$89,3,0)*VLOOKUP('Données projet'!$B$16,Paramètres!$A$1:$I$89,5,0)</f>
        <v>205.26479999999981</v>
      </c>
      <c r="FG63" s="13">
        <f t="shared" si="47"/>
        <v>50.899455886133694</v>
      </c>
      <c r="FH63" s="20">
        <f t="shared" si="22"/>
        <v>446.15274566834916</v>
      </c>
      <c r="FI63" s="59">
        <f t="shared" si="23"/>
        <v>739.48607900168247</v>
      </c>
      <c r="FJ63" s="59">
        <f ca="1">AVERAGE(OFFSET($FI$3,0,0,'Données projet'!$E$16+1,1))-AVERAGE(OFFSET($H$3,0,0,'Données projet'!$E$16+1,1))</f>
        <v>199.58763537752952</v>
      </c>
      <c r="FK63" s="59">
        <f t="shared" si="48"/>
        <v>242.62852778451929</v>
      </c>
      <c r="FL63" s="15">
        <f>IF(ISNA(VLOOKUP(A63,'Données projet'!$A$217:$I$237,3,0)),0,VLOOKUP(A63,'Données projet'!$A$217:$I$237,3,0))</f>
        <v>5</v>
      </c>
      <c r="FM63" s="15">
        <f>IF(ISNA(VLOOKUP(A63,'Données projet'!$A$217:$I$237,4,0)),0,VLOOKUP(A63,'Données projet'!$A$217:$I$237,4,0))</f>
        <v>25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4.4759254789036254</v>
      </c>
      <c r="FS63" s="21">
        <f>EXP(-LN(2)/2)*FS62+(1-EXP(-LN(2)/2))/(LN(2)/2)*FM63*FP63*VLOOKUP('Données projet'!$B$16,Paramètres!$A$1:$I$89,3,0)*0.475*44/12</f>
        <v>3.2841669901184753E-4</v>
      </c>
      <c r="FT63" s="22">
        <f t="shared" si="24"/>
        <v>4.4762538956026372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258</v>
      </c>
      <c r="FX63" s="12">
        <f>VLOOKUP(A63,'Données projet'!$A$243:$I$263,9,0)</f>
        <v>5.6</v>
      </c>
      <c r="FY63" s="12">
        <f t="array" ref="FY63">INDEX(FX:FX,MIN(IF(ISNUMBER(FX63:FX259),ROW(FX63:FX259),"")))</f>
        <v>5.6</v>
      </c>
      <c r="FZ63" s="12">
        <f>IF('Données projet'!$A$244&gt;35,FZ62+FY63-GH62,IF(A63&lt;'Données projet'!$A$244,$FW$205^A63,IF(A63='Données projet'!$A$244,'Données projet'!$B$244,FZ62+FY63-GH62)))</f>
        <v>257.99999999999972</v>
      </c>
      <c r="GA63" s="17">
        <f>FZ63*VLOOKUP('Données projet'!$B$17,Paramètres!$A$1:$I$89,3,0)*VLOOKUP('Données projet'!$B$17,Paramètres!$A$1:$I$89,5,0)</f>
        <v>189.16559999999978</v>
      </c>
      <c r="GB63" s="13">
        <f t="shared" si="49"/>
        <v>47.355431631295232</v>
      </c>
      <c r="GC63" s="20">
        <f t="shared" si="25"/>
        <v>411.94079675783877</v>
      </c>
      <c r="GD63" s="59">
        <f t="shared" si="26"/>
        <v>705.27413009117208</v>
      </c>
      <c r="GE63" s="59">
        <f ca="1">AVERAGE(OFFSET($GD$3,0,0,'Données projet'!$E$17+1,1))-AVERAGE(OFFSET($H$3,0,0,'Données projet'!$E$17+1,1))</f>
        <v>178.12968684094687</v>
      </c>
      <c r="GF63" s="59">
        <f t="shared" si="50"/>
        <v>219.36004077210373</v>
      </c>
      <c r="GG63" s="15">
        <f>IF(ISNA(VLOOKUP(A63,'Données projet'!$A$243:$I$263,3,0)),0,VLOOKUP(A63,'Données projet'!$A$243:$I$263,3,0))</f>
        <v>5</v>
      </c>
      <c r="GH63" s="15">
        <f>IF(ISNA(VLOOKUP(A63,'Données projet'!$A$243:$I$263,4,0)),0,VLOOKUP(A63,'Données projet'!$A$243:$I$263,4,0))</f>
        <v>25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3.3465946699460702</v>
      </c>
      <c r="GN63" s="21">
        <f>EXP(-LN(2)/2)*GN62+(1-EXP(-LN(2)/2))/(LN(2)/2)*GH63*GK63*VLOOKUP('Données projet'!$B$17,Paramètres!$A$1:$I$89,3,0)*0.475*44/12</f>
        <v>3.0265852654032981E-4</v>
      </c>
      <c r="GO63" s="21">
        <f t="shared" si="27"/>
        <v>3.3468973284726107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258</v>
      </c>
      <c r="GS63" s="12">
        <f>VLOOKUP(A63,'Données projet'!$A$269:$I$289,9,0)</f>
        <v>5.6</v>
      </c>
      <c r="GT63" s="12">
        <f t="array" ref="GT63">INDEX(GS:GS,MIN(IF(ISNUMBER(GS63:GS259),ROW(GS63:GS259),"")))</f>
        <v>5.6</v>
      </c>
      <c r="GU63" s="12">
        <f>IF('Données projet'!$A$270&gt;35,GU62+GT63-HC62,IF(A63&lt;'Données projet'!$A$270,$GR$205^A63,IF(A63='Données projet'!$A$270,'Données projet'!$B$270,GU62+GT63-HC62)))</f>
        <v>257.99999999999972</v>
      </c>
      <c r="GV63" s="17">
        <f>GU63*VLOOKUP('Données projet'!$B$18,Paramètres!$A$1:$I$89,3,0)*VLOOKUP('Données projet'!$B$18,Paramètres!$A$1:$I$89,5,0)</f>
        <v>205.26479999999981</v>
      </c>
      <c r="GW63" s="13">
        <f t="shared" si="51"/>
        <v>50.899455886133694</v>
      </c>
      <c r="GX63" s="20">
        <f t="shared" si="28"/>
        <v>446.15274566834916</v>
      </c>
      <c r="GY63" s="59">
        <f t="shared" si="29"/>
        <v>739.48607900168247</v>
      </c>
      <c r="GZ63" s="59">
        <f ca="1">AVERAGE(OFFSET($GY$3,0,0,'Données projet'!$E$18+1,1))-AVERAGE(OFFSET($H$3,0,0,'Données projet'!$E$18+1,1))</f>
        <v>199.58763537752952</v>
      </c>
      <c r="HA63" s="59">
        <f t="shared" si="52"/>
        <v>242.62852778451929</v>
      </c>
      <c r="HB63" s="15">
        <f>IF(ISNA(VLOOKUP(A63,'Données projet'!$A$269:$I$289,3,0)),0,VLOOKUP(A63,'Données projet'!$A$269:$I$289,3,0))</f>
        <v>5</v>
      </c>
      <c r="HC63" s="15">
        <f>IF(ISNA(VLOOKUP(A63,'Données projet'!$A$269:$I$289,4,0)),0,VLOOKUP(A63,'Données projet'!$A$269:$I$289,4,0))</f>
        <v>25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>
        <f>EXP(-LN(2)/35)*HG62+(1-EXP(-LN(2)/35))/(LN(2)/35)*HC63*HD63*VLOOKUP('Données projet'!$B$18,Paramètres!$A$1:$I$89,3,0)*0.475*44/12</f>
        <v>0</v>
      </c>
      <c r="HH63" s="21">
        <f>EXP(-LN(2)/25)*HH62+(1-EXP(-LN(2)/25))/(LN(2)/25)*Calculateur!HC63*Calculateur!HE63*VLOOKUP('Données projet'!$B$18,Paramètres!$A$1:$I$89,3,0)*0.475*44/12</f>
        <v>4.4759254789036254</v>
      </c>
      <c r="HI63" s="21">
        <f>EXP(-LN(2)/2)*HI62+(1-EXP(-LN(2)/2))/(LN(2)/2)*HC63*HF63*VLOOKUP('Données projet'!$B$18,Paramètres!$A$1:$I$89,3,0)*0.475*44/12</f>
        <v>3.2841669901184753E-4</v>
      </c>
      <c r="HJ63" s="22">
        <f t="shared" si="30"/>
        <v>4.4762538956026372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9.2219551282051242</v>
      </c>
      <c r="N64" s="13">
        <f>IF('Données projet'!$A$36&gt;35,N63+M64-V63,IF(A64&lt;'Données projet'!$A$36,$K$205^A64,IF(A64='Données projet'!$A$36,'Données projet'!$B$36,N63+M64-V63)))</f>
        <v>228.18509615384596</v>
      </c>
      <c r="O64" s="13">
        <f>N64*VLOOKUP('Données projet'!$B$9,Paramètres!$A$1:$I$89,3,0)*VLOOKUP('Données projet'!$B$9,Paramètres!$A$1:$I$89,5,0)</f>
        <v>206.46187499999985</v>
      </c>
      <c r="P64" s="13">
        <f t="shared" si="33"/>
        <v>51.161653428040907</v>
      </c>
      <c r="Q64" s="20">
        <f t="shared" si="53"/>
        <v>448.69431201217094</v>
      </c>
      <c r="R64" s="59">
        <f t="shared" si="0"/>
        <v>742.0276453455042</v>
      </c>
      <c r="S64" s="59">
        <f ca="1">AVERAGE(OFFSET($R$3,0,0,'Données projet'!$E$9+1,1))-AVERAGE(OFFSET($H$3,0,0,'Données projet'!$E$9+1,1))</f>
        <v>309.07357540707869</v>
      </c>
      <c r="T64" s="59">
        <f t="shared" si="34"/>
        <v>155.9593924683299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6.9975961538461569</v>
      </c>
      <c r="AI64" s="13">
        <f>IF('Données projet'!$A$62&gt;35,AI63+AH64-AQ63,IF(A64&lt;'Données projet'!$A$62,$AF$205^A64,IF(A64='Données projet'!$A$62,'Données projet'!$B$62,AI63+AH64-AQ63)))</f>
        <v>173.09535256410251</v>
      </c>
      <c r="AJ64" s="13">
        <f>AI64*VLOOKUP('Données projet'!$B$10,Paramètres!$A$1:$I$89,3,0)*VLOOKUP('Données projet'!$B$10,Paramètres!$A$1:$I$89,5,0)</f>
        <v>156.61667499999993</v>
      </c>
      <c r="AK64" s="13">
        <f t="shared" si="35"/>
        <v>40.078450376926561</v>
      </c>
      <c r="AL64" s="20">
        <f t="shared" si="4"/>
        <v>342.57734336481366</v>
      </c>
      <c r="AM64" s="59">
        <f t="shared" si="5"/>
        <v>635.91067669814697</v>
      </c>
      <c r="AN64" s="59">
        <f ca="1">AVERAGE(OFFSET($AM$3,0,0,'Données projet'!$E$10+1,1))-AVERAGE(OFFSET($H$3,0,0,'Données projet'!$E$10+1,1))</f>
        <v>234.30804102916278</v>
      </c>
      <c r="AO64" s="59">
        <f t="shared" si="36"/>
        <v>91.137993288782411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14.270329670329668</v>
      </c>
      <c r="BD64" s="12">
        <f>IF('Données projet'!$A$88&gt;35,BD63+BC64-BL63,IF(A64&lt;'Données projet'!$A$88,$BA$205^A64,IF(A64='Données projet'!$A$88,'Données projet'!$B$88,BD63+BC64-BL63)))</f>
        <v>346.63626373626369</v>
      </c>
      <c r="BE64" s="13">
        <f>BD64*VLOOKUP('Données projet'!$B$11,Paramètres!$A$1:$I$89,3,0)*VLOOKUP('Données projet'!$B$11,Paramètres!$A$1:$I$89,5,0)</f>
        <v>162.22577142857142</v>
      </c>
      <c r="BF64" s="13">
        <f t="shared" si="37"/>
        <v>41.344139999178246</v>
      </c>
      <c r="BG64" s="20">
        <f t="shared" si="7"/>
        <v>354.55092906999738</v>
      </c>
      <c r="BH64" s="59">
        <f t="shared" si="8"/>
        <v>647.88426240333069</v>
      </c>
      <c r="BI64" s="59">
        <f ca="1">AVERAGE(OFFSET($BH$3,0,0,'Données projet'!$E$11+1,1))-AVERAGE(OFFSET($H$3,0,0,'Données projet'!$E$11+1,1))</f>
        <v>158.58786357608489</v>
      </c>
      <c r="BJ64" s="59">
        <f t="shared" si="38"/>
        <v>163.20074068819849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>
        <f>VLOOKUP(A64,'Données projet'!$A$113:$I$133,2,0)</f>
        <v>329.11538461538464</v>
      </c>
      <c r="BW64" s="12">
        <f>VLOOKUP(A64,'Données projet'!$A$113:$I$133,9,0)</f>
        <v>11.170769230769238</v>
      </c>
      <c r="BX64" s="12">
        <f t="array" ref="BX64">INDEX(BW:BW,MIN(IF(ISNUMBER(BW64:BW260),ROW(BW64:BW260),"")))</f>
        <v>11.170769230769238</v>
      </c>
      <c r="BY64" s="12">
        <f>IF('Données projet'!$A$114&gt;35,BY63+BX64-CG63,IF(A64&lt;'Données projet'!$A$114,$BV$205^A64,IF(A64='Données projet'!$A$114,'Données projet'!$B$114,BY63+BX64-CG63)))</f>
        <v>329.11538461538481</v>
      </c>
      <c r="BZ64" s="13">
        <f>BY64*VLOOKUP('Données projet'!$B$12,Paramètres!$A$1:$I$89,3,0)*VLOOKUP('Données projet'!$B$12,Paramètres!$A$1:$I$89,5,0)</f>
        <v>154.0260000000001</v>
      </c>
      <c r="CA64" s="13">
        <f t="shared" si="39"/>
        <v>39.492093452898274</v>
      </c>
      <c r="CB64" s="20">
        <f t="shared" si="10"/>
        <v>337.04401276379798</v>
      </c>
      <c r="CC64" s="59">
        <f t="shared" si="11"/>
        <v>630.37734609713129</v>
      </c>
      <c r="CD64" s="59">
        <f ca="1">AVERAGE(OFFSET($CC$3,0,0,'Données projet'!$E$12+1,1))-AVERAGE(OFFSET($H$3,0,0,'Données projet'!$E$12+1,1))</f>
        <v>123.2823358462245</v>
      </c>
      <c r="CE64" s="59">
        <f t="shared" si="40"/>
        <v>92.75115399786057</v>
      </c>
      <c r="CF64" s="15">
        <f>IF(ISNA(VLOOKUP(A64,'Données projet'!$A$113:$I$133,3,0)),0,VLOOKUP(A64,'Données projet'!$A$113:$I$133,3,0))</f>
        <v>2</v>
      </c>
      <c r="CG64" s="15">
        <f>IF(ISNA(VLOOKUP(A64,'Données projet'!$A$113:$I$133,4,0)),0,VLOOKUP(A64,'Données projet'!$A$113:$I$133,4,0))</f>
        <v>94.76153846153845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9.1830769230769249</v>
      </c>
      <c r="CT64" s="12">
        <f>IF('Données projet'!$A$140&gt;35,CT63+CS64-DB63,IF(A64&lt;'Données projet'!$A$140,$CQ$205^A64,IF(A64='Données projet'!$A$140,'Données projet'!$B$140,CT63+CS64-DB63)))</f>
        <v>297.34461538461534</v>
      </c>
      <c r="CU64" s="17">
        <f>CT64*VLOOKUP('Données projet'!$B$13,Paramètres!$A$1:$I$89,3,0)*VLOOKUP('Données projet'!$B$13,Paramètres!$A$1:$I$89,5,0)</f>
        <v>177.81207999999998</v>
      </c>
      <c r="CV64" s="13">
        <f t="shared" si="41"/>
        <v>44.835068353066951</v>
      </c>
      <c r="CW64" s="20">
        <f t="shared" si="13"/>
        <v>387.77711671492489</v>
      </c>
      <c r="CX64" s="59">
        <f t="shared" si="14"/>
        <v>681.11045004825814</v>
      </c>
      <c r="CY64" s="59">
        <f ca="1">AVERAGE(OFFSET($CX$3,0,0,'Données projet'!$E$13+1,1))-AVERAGE(OFFSET($H$3,0,0,'Données projet'!$E$13+1,1))</f>
        <v>179.32848817523677</v>
      </c>
      <c r="CZ64" s="59">
        <f t="shared" si="42"/>
        <v>131.3292389103035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5.5800848381876165</v>
      </c>
      <c r="DH64" s="21">
        <f>EXP(-LN(2)/2)*DH63+(1-EXP(-LN(2)/2))/(LN(2)/2)*DB64*DE64*VLOOKUP('Données projet'!$B$13,Paramètres!$A$1:$I$89,3,0)*0.475*44/12</f>
        <v>1.1356843948819804E-4</v>
      </c>
      <c r="DI64" s="22">
        <f t="shared" si="15"/>
        <v>5.5801984066271046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9.2219551282051242</v>
      </c>
      <c r="DO64" s="12">
        <f>IF('Données projet'!$A$166&gt;35,DO63+DN64-DW63,IF(A64&lt;'Données projet'!$A$166,$DL$205^A64,IF(A64='Données projet'!$A$166,'Données projet'!$B$166,DO63+DN64-DW63)))</f>
        <v>228.18509615384596</v>
      </c>
      <c r="DP64" s="17">
        <f>DO64*VLOOKUP('Données projet'!$B$14,Paramètres!$A$1:$I$89,3,0)*VLOOKUP('Données projet'!$B$14,Paramètres!$A$1:$I$89,5,0)</f>
        <v>220.70062499999983</v>
      </c>
      <c r="DQ64" s="13">
        <f t="shared" si="43"/>
        <v>54.267134911906453</v>
      </c>
      <c r="DR64" s="20">
        <f t="shared" si="16"/>
        <v>478.90218184657004</v>
      </c>
      <c r="DS64" s="59">
        <f t="shared" si="17"/>
        <v>772.23551517990336</v>
      </c>
      <c r="DT64" s="59">
        <f ca="1">AVERAGE(OFFSET($DS$3,0,0,'Données projet'!$E$14+1,1))-AVERAGE(OFFSET($H$3,0,0,'Données projet'!$E$14+1,1))</f>
        <v>340.4659523898373</v>
      </c>
      <c r="DU64" s="59">
        <f t="shared" si="44"/>
        <v>170.54530785680572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6.9975961538461569</v>
      </c>
      <c r="EJ64" s="12">
        <f>IF('Données projet'!$A$192&gt;35,EJ63+EI64-ER63,IF(A64&lt;'Données projet'!$A$192,$EG$205^A64,IF(A64='Données projet'!$A$192,'Données projet'!$B$192,EJ63+EI64-ER63)))</f>
        <v>173.09535256410251</v>
      </c>
      <c r="EK64" s="17">
        <f>EJ64*VLOOKUP('Données projet'!$B$15,Paramètres!$A$1:$I$89,3,0)*VLOOKUP('Données projet'!$B$15,Paramètres!$A$1:$I$89,5,0)</f>
        <v>167.41782499999994</v>
      </c>
      <c r="EL64" s="13">
        <f t="shared" si="45"/>
        <v>42.511188124986745</v>
      </c>
      <c r="EM64" s="20">
        <f t="shared" si="19"/>
        <v>365.62636452601845</v>
      </c>
      <c r="EN64" s="59">
        <f t="shared" si="20"/>
        <v>658.95969785935176</v>
      </c>
      <c r="EO64" s="59">
        <f ca="1">AVERAGE(OFFSET($EN$3,0,0,'Données projet'!$E$15+1,1))-AVERAGE(OFFSET($H$3,0,0,'Données projet'!$E$15+1,1))</f>
        <v>262.20955982183017</v>
      </c>
      <c r="EP64" s="59">
        <f t="shared" si="46"/>
        <v>101.35842063036193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4.0999999999999996</v>
      </c>
      <c r="FE64" s="12">
        <f>IF('Données projet'!$A$218&gt;35,FE63+FD64-FM63,IF(A64&lt;'Données projet'!$A$218,$FB$205^A64,IF(A64='Données projet'!$A$218,'Données projet'!$B$218,FE63+FD64-FM63)))</f>
        <v>237.09999999999974</v>
      </c>
      <c r="FF64" s="17">
        <f>FE64*VLOOKUP('Données projet'!$B$16,Paramètres!$A$1:$I$89,3,0)*VLOOKUP('Données projet'!$B$16,Paramètres!$A$1:$I$89,5,0)</f>
        <v>188.63675999999978</v>
      </c>
      <c r="FG64" s="13">
        <f t="shared" si="47"/>
        <v>47.238433649202641</v>
      </c>
      <c r="FH64" s="20">
        <f t="shared" si="22"/>
        <v>410.81596227236088</v>
      </c>
      <c r="FI64" s="59">
        <f t="shared" si="23"/>
        <v>704.14929560569419</v>
      </c>
      <c r="FJ64" s="59">
        <f ca="1">AVERAGE(OFFSET($FI$3,0,0,'Données projet'!$E$16+1,1))-AVERAGE(OFFSET($H$3,0,0,'Données projet'!$E$16+1,1))</f>
        <v>199.58763537752952</v>
      </c>
      <c r="FK64" s="59">
        <f t="shared" si="48"/>
        <v>242.62852778451929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4.3535310613043148</v>
      </c>
      <c r="FS64" s="21">
        <f>EXP(-LN(2)/2)*FS63+(1-EXP(-LN(2)/2))/(LN(2)/2)*FM64*FP64*VLOOKUP('Données projet'!$B$16,Paramètres!$A$1:$I$89,3,0)*0.475*44/12</f>
        <v>2.3222567492617871E-4</v>
      </c>
      <c r="FT64" s="22">
        <f t="shared" si="24"/>
        <v>4.3537632869792411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4.0999999999999996</v>
      </c>
      <c r="FZ64" s="12">
        <f>IF('Données projet'!$A$244&gt;35,FZ63+FY64-GH63,IF(A64&lt;'Données projet'!$A$244,$FW$205^A64,IF(A64='Données projet'!$A$244,'Données projet'!$B$244,FZ63+FY64-GH63)))</f>
        <v>237.09999999999974</v>
      </c>
      <c r="GA64" s="17">
        <f>FZ64*VLOOKUP('Données projet'!$B$17,Paramètres!$A$1:$I$89,3,0)*VLOOKUP('Données projet'!$B$17,Paramètres!$A$1:$I$89,5,0)</f>
        <v>173.84171999999981</v>
      </c>
      <c r="GB64" s="13">
        <f t="shared" si="49"/>
        <v>43.949318830610693</v>
      </c>
      <c r="GC64" s="20">
        <f t="shared" si="25"/>
        <v>379.31939262997997</v>
      </c>
      <c r="GD64" s="59">
        <f t="shared" si="26"/>
        <v>672.65272596331329</v>
      </c>
      <c r="GE64" s="59">
        <f ca="1">AVERAGE(OFFSET($GD$3,0,0,'Données projet'!$E$17+1,1))-AVERAGE(OFFSET($H$3,0,0,'Données projet'!$E$17+1,1))</f>
        <v>178.12968684094687</v>
      </c>
      <c r="GF64" s="59">
        <f t="shared" si="50"/>
        <v>219.36004077210373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3.2550818627066298</v>
      </c>
      <c r="GN64" s="21">
        <f>EXP(-LN(2)/2)*GN63+(1-EXP(-LN(2)/2))/(LN(2)/2)*GH64*GK64*VLOOKUP('Données projet'!$B$17,Paramètres!$A$1:$I$89,3,0)*0.475*44/12</f>
        <v>2.1401189650059588E-4</v>
      </c>
      <c r="GO64" s="21">
        <f t="shared" si="27"/>
        <v>3.2552958746031302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4.0999999999999996</v>
      </c>
      <c r="GU64" s="12">
        <f>IF('Données projet'!$A$270&gt;35,GU63+GT64-HC63,IF(A64&lt;'Données projet'!$A$270,$GR$205^A64,IF(A64='Données projet'!$A$270,'Données projet'!$B$270,GU63+GT64-HC63)))</f>
        <v>237.09999999999974</v>
      </c>
      <c r="GV64" s="17">
        <f>GU64*VLOOKUP('Données projet'!$B$18,Paramètres!$A$1:$I$89,3,0)*VLOOKUP('Données projet'!$B$18,Paramètres!$A$1:$I$89,5,0)</f>
        <v>188.63675999999978</v>
      </c>
      <c r="GW64" s="13">
        <f t="shared" si="51"/>
        <v>47.238433649202641</v>
      </c>
      <c r="GX64" s="20">
        <f t="shared" si="28"/>
        <v>410.81596227236088</v>
      </c>
      <c r="GY64" s="59">
        <f t="shared" si="29"/>
        <v>704.14929560569419</v>
      </c>
      <c r="GZ64" s="59">
        <f ca="1">AVERAGE(OFFSET($GY$3,0,0,'Données projet'!$E$18+1,1))-AVERAGE(OFFSET($H$3,0,0,'Données projet'!$E$18+1,1))</f>
        <v>199.58763537752952</v>
      </c>
      <c r="HA64" s="59">
        <f t="shared" si="52"/>
        <v>242.62852778451929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0</v>
      </c>
      <c r="HH64" s="21">
        <f>EXP(-LN(2)/25)*HH63+(1-EXP(-LN(2)/25))/(LN(2)/25)*Calculateur!HC64*Calculateur!HE64*VLOOKUP('Données projet'!$B$18,Paramètres!$A$1:$I$89,3,0)*0.475*44/12</f>
        <v>4.3535310613043148</v>
      </c>
      <c r="HI64" s="21">
        <f>EXP(-LN(2)/2)*HI63+(1-EXP(-LN(2)/2))/(LN(2)/2)*HC64*HF64*VLOOKUP('Données projet'!$B$18,Paramètres!$A$1:$I$89,3,0)*0.475*44/12</f>
        <v>2.3222567492617871E-4</v>
      </c>
      <c r="HJ64" s="22">
        <f t="shared" si="30"/>
        <v>4.3537632869792411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9.2219551282051242</v>
      </c>
      <c r="N65" s="13">
        <f>IF('Données projet'!$A$36&gt;35,N64+M65-V64,IF(A65&lt;'Données projet'!$A$36,$K$205^A65,IF(A65='Données projet'!$A$36,'Données projet'!$B$36,N64+M65-V64)))</f>
        <v>237.4070512820511</v>
      </c>
      <c r="O65" s="13">
        <f>N65*VLOOKUP('Données projet'!$B$9,Paramètres!$A$1:$I$89,3,0)*VLOOKUP('Données projet'!$B$9,Paramètres!$A$1:$I$89,5,0)</f>
        <v>214.80589999999981</v>
      </c>
      <c r="P65" s="13">
        <f t="shared" si="33"/>
        <v>52.984408736730096</v>
      </c>
      <c r="Q65" s="20">
        <f t="shared" si="53"/>
        <v>466.40145438313789</v>
      </c>
      <c r="R65" s="59">
        <f t="shared" si="0"/>
        <v>759.73478771647115</v>
      </c>
      <c r="S65" s="59">
        <f ca="1">AVERAGE(OFFSET($R$3,0,0,'Données projet'!$E$9+1,1))-AVERAGE(OFFSET($H$3,0,0,'Données projet'!$E$9+1,1))</f>
        <v>309.07357540707869</v>
      </c>
      <c r="T65" s="59">
        <f t="shared" si="34"/>
        <v>155.9593924683299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6.9975961538461569</v>
      </c>
      <c r="AI65" s="13">
        <f>IF('Données projet'!$A$62&gt;35,AI64+AH65-AQ64,IF(A65&lt;'Données projet'!$A$62,$AF$205^A65,IF(A65='Données projet'!$A$62,'Données projet'!$B$62,AI64+AH65-AQ64)))</f>
        <v>180.09294871794867</v>
      </c>
      <c r="AJ65" s="13">
        <f>AI65*VLOOKUP('Données projet'!$B$10,Paramètres!$A$1:$I$89,3,0)*VLOOKUP('Données projet'!$B$10,Paramètres!$A$1:$I$89,5,0)</f>
        <v>162.94809999999995</v>
      </c>
      <c r="AK65" s="13">
        <f t="shared" si="35"/>
        <v>41.506759357421487</v>
      </c>
      <c r="AL65" s="20">
        <f t="shared" si="4"/>
        <v>356.09221338084234</v>
      </c>
      <c r="AM65" s="59">
        <f t="shared" si="5"/>
        <v>649.42554671417565</v>
      </c>
      <c r="AN65" s="59">
        <f ca="1">AVERAGE(OFFSET($AM$3,0,0,'Données projet'!$E$10+1,1))-AVERAGE(OFFSET($H$3,0,0,'Données projet'!$E$10+1,1))</f>
        <v>234.30804102916278</v>
      </c>
      <c r="AO65" s="59">
        <f t="shared" si="36"/>
        <v>91.137993288782411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14.270329670329668</v>
      </c>
      <c r="BD65" s="12">
        <f>IF('Données projet'!$A$88&gt;35,BD64+BC65-BL64,IF(A65&lt;'Données projet'!$A$88,$BA$205^A65,IF(A65='Données projet'!$A$88,'Données projet'!$B$88,BD64+BC65-BL64)))</f>
        <v>360.90659340659334</v>
      </c>
      <c r="BE65" s="13">
        <f>BD65*VLOOKUP('Données projet'!$B$11,Paramètres!$A$1:$I$89,3,0)*VLOOKUP('Données projet'!$B$11,Paramètres!$A$1:$I$89,5,0)</f>
        <v>168.90428571428566</v>
      </c>
      <c r="BF65" s="13">
        <f t="shared" si="37"/>
        <v>42.844527757373569</v>
      </c>
      <c r="BG65" s="20">
        <f t="shared" si="7"/>
        <v>368.79585012980647</v>
      </c>
      <c r="BH65" s="59">
        <f t="shared" si="8"/>
        <v>662.12918346313973</v>
      </c>
      <c r="BI65" s="59">
        <f ca="1">AVERAGE(OFFSET($BH$3,0,0,'Données projet'!$E$11+1,1))-AVERAGE(OFFSET($H$3,0,0,'Données projet'!$E$11+1,1))</f>
        <v>158.58786357608489</v>
      </c>
      <c r="BJ65" s="59">
        <f t="shared" si="38"/>
        <v>163.20074068819849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10.314743589743586</v>
      </c>
      <c r="BY65" s="12">
        <f>IF('Données projet'!$A$114&gt;35,BY64+BX65-CG64,IF(A65&lt;'Données projet'!$A$114,$BV$205^A65,IF(A65='Données projet'!$A$114,'Données projet'!$B$114,BY64+BX65-CG64)))</f>
        <v>244.66858974358996</v>
      </c>
      <c r="BZ65" s="13">
        <f>BY65*VLOOKUP('Données projet'!$B$12,Paramètres!$A$1:$I$89,3,0)*VLOOKUP('Données projet'!$B$12,Paramètres!$A$1:$I$89,5,0)</f>
        <v>114.50490000000011</v>
      </c>
      <c r="CA65" s="13">
        <f t="shared" si="39"/>
        <v>30.389882066052234</v>
      </c>
      <c r="CB65" s="20">
        <f t="shared" si="10"/>
        <v>252.35841209837443</v>
      </c>
      <c r="CC65" s="59">
        <f t="shared" si="11"/>
        <v>545.69174543170777</v>
      </c>
      <c r="CD65" s="59">
        <f ca="1">AVERAGE(OFFSET($CC$3,0,0,'Données projet'!$E$12+1,1))-AVERAGE(OFFSET($H$3,0,0,'Données projet'!$E$12+1,1))</f>
        <v>123.2823358462245</v>
      </c>
      <c r="CE65" s="59">
        <f t="shared" si="40"/>
        <v>92.75115399786057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9.1830769230769249</v>
      </c>
      <c r="CT65" s="12">
        <f>IF('Données projet'!$A$140&gt;35,CT64+CS65-DB64,IF(A65&lt;'Données projet'!$A$140,$CQ$205^A65,IF(A65='Données projet'!$A$140,'Données projet'!$B$140,CT64+CS65-DB64)))</f>
        <v>306.52769230769229</v>
      </c>
      <c r="CU65" s="17">
        <f>CT65*VLOOKUP('Données projet'!$B$13,Paramètres!$A$1:$I$89,3,0)*VLOOKUP('Données projet'!$B$13,Paramètres!$A$1:$I$89,5,0)</f>
        <v>183.30356</v>
      </c>
      <c r="CV65" s="13">
        <f t="shared" si="41"/>
        <v>46.056387641494027</v>
      </c>
      <c r="CW65" s="20">
        <f t="shared" si="13"/>
        <v>399.46857547560211</v>
      </c>
      <c r="CX65" s="59">
        <f t="shared" si="14"/>
        <v>692.80190880893542</v>
      </c>
      <c r="CY65" s="59">
        <f ca="1">AVERAGE(OFFSET($CX$3,0,0,'Données projet'!$E$13+1,1))-AVERAGE(OFFSET($H$3,0,0,'Données projet'!$E$13+1,1))</f>
        <v>179.32848817523677</v>
      </c>
      <c r="CZ65" s="59">
        <f t="shared" si="42"/>
        <v>131.3292389103035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5.4274971248434678</v>
      </c>
      <c r="DH65" s="21">
        <f>EXP(-LN(2)/2)*DH64+(1-EXP(-LN(2)/2))/(LN(2)/2)*DB65*DE65*VLOOKUP('Données projet'!$B$13,Paramètres!$A$1:$I$89,3,0)*0.475*44/12</f>
        <v>8.0305013690878913E-5</v>
      </c>
      <c r="DI65" s="22">
        <f t="shared" si="15"/>
        <v>5.4275774298571591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9.2219551282051242</v>
      </c>
      <c r="DO65" s="12">
        <f>IF('Données projet'!$A$166&gt;35,DO64+DN65-DW64,IF(A65&lt;'Données projet'!$A$166,$DL$205^A65,IF(A65='Données projet'!$A$166,'Données projet'!$B$166,DO64+DN65-DW64)))</f>
        <v>237.4070512820511</v>
      </c>
      <c r="DP65" s="17">
        <f>DO65*VLOOKUP('Données projet'!$B$14,Paramètres!$A$1:$I$89,3,0)*VLOOKUP('Données projet'!$B$14,Paramètres!$A$1:$I$89,5,0)</f>
        <v>229.62009999999984</v>
      </c>
      <c r="DQ65" s="13">
        <f t="shared" si="43"/>
        <v>56.200530367687662</v>
      </c>
      <c r="DR65" s="20">
        <f t="shared" si="16"/>
        <v>497.80426455705566</v>
      </c>
      <c r="DS65" s="59">
        <f t="shared" si="17"/>
        <v>791.13759789038897</v>
      </c>
      <c r="DT65" s="59">
        <f ca="1">AVERAGE(OFFSET($DS$3,0,0,'Données projet'!$E$14+1,1))-AVERAGE(OFFSET($H$3,0,0,'Données projet'!$E$14+1,1))</f>
        <v>340.4659523898373</v>
      </c>
      <c r="DU65" s="59">
        <f t="shared" si="44"/>
        <v>170.54530785680572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6.9975961538461569</v>
      </c>
      <c r="EJ65" s="12">
        <f>IF('Données projet'!$A$192&gt;35,EJ64+EI65-ER64,IF(A65&lt;'Données projet'!$A$192,$EG$205^A65,IF(A65='Données projet'!$A$192,'Données projet'!$B$192,EJ64+EI65-ER64)))</f>
        <v>180.09294871794867</v>
      </c>
      <c r="EK65" s="17">
        <f>EJ65*VLOOKUP('Données projet'!$B$15,Paramètres!$A$1:$I$89,3,0)*VLOOKUP('Données projet'!$B$15,Paramètres!$A$1:$I$89,5,0)</f>
        <v>174.18589999999998</v>
      </c>
      <c r="EL65" s="13">
        <f t="shared" si="45"/>
        <v>44.026194598525095</v>
      </c>
      <c r="EM65" s="20">
        <f t="shared" si="19"/>
        <v>380.05273142576448</v>
      </c>
      <c r="EN65" s="59">
        <f t="shared" si="20"/>
        <v>673.38606475909774</v>
      </c>
      <c r="EO65" s="59">
        <f ca="1">AVERAGE(OFFSET($EN$3,0,0,'Données projet'!$E$15+1,1))-AVERAGE(OFFSET($H$3,0,0,'Données projet'!$E$15+1,1))</f>
        <v>262.20955982183017</v>
      </c>
      <c r="EP65" s="59">
        <f t="shared" si="46"/>
        <v>101.35842063036193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4.0999999999999996</v>
      </c>
      <c r="FE65" s="12">
        <f>IF('Données projet'!$A$218&gt;35,FE64+FD65-FM64,IF(A65&lt;'Données projet'!$A$218,$FB$205^A65,IF(A65='Données projet'!$A$218,'Données projet'!$B$218,FE64+FD65-FM64)))</f>
        <v>241.19999999999973</v>
      </c>
      <c r="FF65" s="17">
        <f>FE65*VLOOKUP('Données projet'!$B$16,Paramètres!$A$1:$I$89,3,0)*VLOOKUP('Données projet'!$B$16,Paramètres!$A$1:$I$89,5,0)</f>
        <v>191.8987199999998</v>
      </c>
      <c r="FG65" s="13">
        <f t="shared" si="47"/>
        <v>47.959489640575512</v>
      </c>
      <c r="FH65" s="20">
        <f t="shared" si="22"/>
        <v>417.7530484573353</v>
      </c>
      <c r="FI65" s="59">
        <f t="shared" si="23"/>
        <v>711.08638179066861</v>
      </c>
      <c r="FJ65" s="59">
        <f ca="1">AVERAGE(OFFSET($FI$3,0,0,'Données projet'!$E$16+1,1))-AVERAGE(OFFSET($H$3,0,0,'Données projet'!$E$16+1,1))</f>
        <v>199.58763537752952</v>
      </c>
      <c r="FK65" s="59">
        <f t="shared" si="48"/>
        <v>242.62852778451929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4.2344835254906998</v>
      </c>
      <c r="FS65" s="21">
        <f>EXP(-LN(2)/2)*FS64+(1-EXP(-LN(2)/2))/(LN(2)/2)*FM65*FP65*VLOOKUP('Données projet'!$B$16,Paramètres!$A$1:$I$89,3,0)*0.475*44/12</f>
        <v>1.6420834950592377E-4</v>
      </c>
      <c r="FT65" s="22">
        <f t="shared" si="24"/>
        <v>4.2346477338402062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4.0999999999999996</v>
      </c>
      <c r="FZ65" s="12">
        <f>IF('Données projet'!$A$244&gt;35,FZ64+FY65-GH64,IF(A65&lt;'Données projet'!$A$244,$FW$205^A65,IF(A65='Données projet'!$A$244,'Données projet'!$B$244,FZ64+FY65-GH64)))</f>
        <v>241.19999999999973</v>
      </c>
      <c r="GA65" s="17">
        <f>FZ65*VLOOKUP('Données projet'!$B$17,Paramètres!$A$1:$I$89,3,0)*VLOOKUP('Données projet'!$B$17,Paramètres!$A$1:$I$89,5,0)</f>
        <v>176.84783999999979</v>
      </c>
      <c r="GB65" s="13">
        <f t="shared" si="49"/>
        <v>44.620169178759383</v>
      </c>
      <c r="GC65" s="20">
        <f t="shared" si="25"/>
        <v>385.72344931967223</v>
      </c>
      <c r="GD65" s="59">
        <f t="shared" si="26"/>
        <v>679.05678265300548</v>
      </c>
      <c r="GE65" s="59">
        <f ca="1">AVERAGE(OFFSET($GD$3,0,0,'Données projet'!$E$17+1,1))-AVERAGE(OFFSET($H$3,0,0,'Données projet'!$E$17+1,1))</f>
        <v>178.12968684094687</v>
      </c>
      <c r="GF65" s="59">
        <f t="shared" si="50"/>
        <v>219.36004077210373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3.1660714779936012</v>
      </c>
      <c r="GN65" s="21">
        <f>EXP(-LN(2)/2)*GN64+(1-EXP(-LN(2)/2))/(LN(2)/2)*GH65*GK65*VLOOKUP('Données projet'!$B$17,Paramètres!$A$1:$I$89,3,0)*0.475*44/12</f>
        <v>1.5132926327016491E-4</v>
      </c>
      <c r="GO65" s="21">
        <f t="shared" si="27"/>
        <v>3.1662228072568714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4.0999999999999996</v>
      </c>
      <c r="GU65" s="12">
        <f>IF('Données projet'!$A$270&gt;35,GU64+GT65-HC64,IF(A65&lt;'Données projet'!$A$270,$GR$205^A65,IF(A65='Données projet'!$A$270,'Données projet'!$B$270,GU64+GT65-HC64)))</f>
        <v>241.19999999999973</v>
      </c>
      <c r="GV65" s="17">
        <f>GU65*VLOOKUP('Données projet'!$B$18,Paramètres!$A$1:$I$89,3,0)*VLOOKUP('Données projet'!$B$18,Paramètres!$A$1:$I$89,5,0)</f>
        <v>191.8987199999998</v>
      </c>
      <c r="GW65" s="13">
        <f t="shared" si="51"/>
        <v>47.959489640575512</v>
      </c>
      <c r="GX65" s="20">
        <f t="shared" si="28"/>
        <v>417.7530484573353</v>
      </c>
      <c r="GY65" s="59">
        <f t="shared" si="29"/>
        <v>711.08638179066861</v>
      </c>
      <c r="GZ65" s="59">
        <f ca="1">AVERAGE(OFFSET($GY$3,0,0,'Données projet'!$E$18+1,1))-AVERAGE(OFFSET($H$3,0,0,'Données projet'!$E$18+1,1))</f>
        <v>199.58763537752952</v>
      </c>
      <c r="HA65" s="59">
        <f t="shared" si="52"/>
        <v>242.62852778451929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0</v>
      </c>
      <c r="HH65" s="21">
        <f>EXP(-LN(2)/25)*HH64+(1-EXP(-LN(2)/25))/(LN(2)/25)*Calculateur!HC65*Calculateur!HE65*VLOOKUP('Données projet'!$B$18,Paramètres!$A$1:$I$89,3,0)*0.475*44/12</f>
        <v>4.2344835254906998</v>
      </c>
      <c r="HI65" s="21">
        <f>EXP(-LN(2)/2)*HI64+(1-EXP(-LN(2)/2))/(LN(2)/2)*HC65*HF65*VLOOKUP('Données projet'!$B$18,Paramètres!$A$1:$I$89,3,0)*0.475*44/12</f>
        <v>1.6420834950592377E-4</v>
      </c>
      <c r="HJ65" s="22">
        <f t="shared" si="30"/>
        <v>4.2346477338402062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9.2219551282051242</v>
      </c>
      <c r="N66" s="13">
        <f>IF('Données projet'!$A$36&gt;35,N65+M66-V65,IF(A66&lt;'Données projet'!$A$36,$K$205^A66,IF(A66='Données projet'!$A$36,'Données projet'!$B$36,N65+M66-V65)))</f>
        <v>246.62900641025624</v>
      </c>
      <c r="O66" s="13">
        <f>N66*VLOOKUP('Données projet'!$B$9,Paramètres!$A$1:$I$89,3,0)*VLOOKUP('Données projet'!$B$9,Paramètres!$A$1:$I$89,5,0)</f>
        <v>223.14992499999985</v>
      </c>
      <c r="P66" s="13">
        <f t="shared" si="33"/>
        <v>54.798938879785823</v>
      </c>
      <c r="Q66" s="20">
        <f t="shared" si="53"/>
        <v>484.09427125729331</v>
      </c>
      <c r="R66" s="59">
        <f t="shared" si="0"/>
        <v>777.42760459062663</v>
      </c>
      <c r="S66" s="59">
        <f ca="1">AVERAGE(OFFSET($R$3,0,0,'Données projet'!$E$9+1,1))-AVERAGE(OFFSET($H$3,0,0,'Données projet'!$E$9+1,1))</f>
        <v>309.07357540707869</v>
      </c>
      <c r="T66" s="59">
        <f t="shared" si="34"/>
        <v>155.9593924683299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6.9975961538461569</v>
      </c>
      <c r="AI66" s="13">
        <f>IF('Données projet'!$A$62&gt;35,AI65+AH66-AQ65,IF(A66&lt;'Données projet'!$A$62,$AF$205^A66,IF(A66='Données projet'!$A$62,'Données projet'!$B$62,AI65+AH66-AQ65)))</f>
        <v>187.09054487179483</v>
      </c>
      <c r="AJ66" s="13">
        <f>AI66*VLOOKUP('Données projet'!$B$10,Paramètres!$A$1:$I$89,3,0)*VLOOKUP('Données projet'!$B$10,Paramètres!$A$1:$I$89,5,0)</f>
        <v>169.27952499999995</v>
      </c>
      <c r="AK66" s="13">
        <f t="shared" si="35"/>
        <v>42.928621288335492</v>
      </c>
      <c r="AL66" s="20">
        <f t="shared" si="4"/>
        <v>369.59585478551753</v>
      </c>
      <c r="AM66" s="59">
        <f t="shared" si="5"/>
        <v>662.92918811885079</v>
      </c>
      <c r="AN66" s="59">
        <f ca="1">AVERAGE(OFFSET($AM$3,0,0,'Données projet'!$E$10+1,1))-AVERAGE(OFFSET($H$3,0,0,'Données projet'!$E$10+1,1))</f>
        <v>234.30804102916278</v>
      </c>
      <c r="AO66" s="59">
        <f t="shared" si="36"/>
        <v>91.137993288782411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375.17692307692306</v>
      </c>
      <c r="BB66" s="12">
        <f>VLOOKUP(A66,'Données projet'!$A$87:$I$107,9,0)</f>
        <v>14.270329670329668</v>
      </c>
      <c r="BC66" s="12">
        <f t="array" ref="BC66">INDEX(BB:BB,MIN(IF(ISNUMBER(BB66:BB262),ROW(BB66:BB262),"")))</f>
        <v>14.270329670329668</v>
      </c>
      <c r="BD66" s="12">
        <f>IF('Données projet'!$A$88&gt;35,BD65+BC66-BL65,IF(A66&lt;'Données projet'!$A$88,$BA$205^A66,IF(A66='Données projet'!$A$88,'Données projet'!$B$88,BD65+BC66-BL65)))</f>
        <v>375.176923076923</v>
      </c>
      <c r="BE66" s="13">
        <f>BD66*VLOOKUP('Données projet'!$B$11,Paramètres!$A$1:$I$89,3,0)*VLOOKUP('Données projet'!$B$11,Paramètres!$A$1:$I$89,5,0)</f>
        <v>175.58279999999996</v>
      </c>
      <c r="BF66" s="13">
        <f t="shared" si="37"/>
        <v>44.338023977070598</v>
      </c>
      <c r="BG66" s="20">
        <f t="shared" si="7"/>
        <v>383.02876842673123</v>
      </c>
      <c r="BH66" s="59">
        <f t="shared" si="8"/>
        <v>676.36210176006455</v>
      </c>
      <c r="BI66" s="59">
        <f ca="1">AVERAGE(OFFSET($BH$3,0,0,'Données projet'!$E$11+1,1))-AVERAGE(OFFSET($H$3,0,0,'Données projet'!$E$11+1,1))</f>
        <v>158.58786357608489</v>
      </c>
      <c r="BJ66" s="59">
        <f t="shared" si="38"/>
        <v>163.20074068819849</v>
      </c>
      <c r="BK66" s="15">
        <f>IF(ISNA(VLOOKUP(A66,'Données projet'!$A$87:$I$107,3,0)),0,VLOOKUP(A66,'Données projet'!$A$87:$I$107,3,0))</f>
        <v>4</v>
      </c>
      <c r="BL66" s="15">
        <f>IF(ISNA(VLOOKUP(A66,'Données projet'!$A$87:$I$107,4,0)),0,VLOOKUP(A66,'Données projet'!$A$87:$I$107,4,0))</f>
        <v>71.123076923076923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10.314743589743586</v>
      </c>
      <c r="BY66" s="12">
        <f>IF('Données projet'!$A$114&gt;35,BY65+BX66-CG65,IF(A66&lt;'Données projet'!$A$114,$BV$205^A66,IF(A66='Données projet'!$A$114,'Données projet'!$B$114,BY65+BX66-CG65)))</f>
        <v>254.98333333333355</v>
      </c>
      <c r="BZ66" s="13">
        <f>BY66*VLOOKUP('Données projet'!$B$12,Paramètres!$A$1:$I$89,3,0)*VLOOKUP('Données projet'!$B$12,Paramètres!$A$1:$I$89,5,0)</f>
        <v>119.33220000000009</v>
      </c>
      <c r="CA66" s="13">
        <f t="shared" si="39"/>
        <v>31.519195359992793</v>
      </c>
      <c r="CB66" s="20">
        <f t="shared" si="10"/>
        <v>262.73284691865422</v>
      </c>
      <c r="CC66" s="59">
        <f t="shared" si="11"/>
        <v>556.06618025198759</v>
      </c>
      <c r="CD66" s="59">
        <f ca="1">AVERAGE(OFFSET($CC$3,0,0,'Données projet'!$E$12+1,1))-AVERAGE(OFFSET($H$3,0,0,'Données projet'!$E$12+1,1))</f>
        <v>123.2823358462245</v>
      </c>
      <c r="CE66" s="59">
        <f t="shared" si="40"/>
        <v>92.75115399786057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9.1830769230769249</v>
      </c>
      <c r="CT66" s="12">
        <f>IF('Données projet'!$A$140&gt;35,CT65+CS66-DB65,IF(A66&lt;'Données projet'!$A$140,$CQ$205^A66,IF(A66='Données projet'!$A$140,'Données projet'!$B$140,CT65+CS66-DB65)))</f>
        <v>315.71076923076919</v>
      </c>
      <c r="CU66" s="17">
        <f>CT66*VLOOKUP('Données projet'!$B$13,Paramètres!$A$1:$I$89,3,0)*VLOOKUP('Données projet'!$B$13,Paramètres!$A$1:$I$89,5,0)</f>
        <v>188.79504</v>
      </c>
      <c r="CV66" s="13">
        <f t="shared" si="41"/>
        <v>47.273454743056831</v>
      </c>
      <c r="CW66" s="20">
        <f t="shared" si="13"/>
        <v>411.15262834415722</v>
      </c>
      <c r="CX66" s="59">
        <f t="shared" si="14"/>
        <v>704.48596167749054</v>
      </c>
      <c r="CY66" s="59">
        <f ca="1">AVERAGE(OFFSET($CX$3,0,0,'Données projet'!$E$13+1,1))-AVERAGE(OFFSET($H$3,0,0,'Données projet'!$E$13+1,1))</f>
        <v>179.32848817523677</v>
      </c>
      <c r="CZ66" s="59">
        <f t="shared" si="42"/>
        <v>131.3292389103035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5.2790819305449537</v>
      </c>
      <c r="DH66" s="21">
        <f>EXP(-LN(2)/2)*DH65+(1-EXP(-LN(2)/2))/(LN(2)/2)*DB66*DE66*VLOOKUP('Données projet'!$B$13,Paramètres!$A$1:$I$89,3,0)*0.475*44/12</f>
        <v>5.678421974409902E-5</v>
      </c>
      <c r="DI66" s="22">
        <f t="shared" si="15"/>
        <v>5.2791387147646978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9.2219551282051242</v>
      </c>
      <c r="DO66" s="12">
        <f>IF('Données projet'!$A$166&gt;35,DO65+DN66-DW65,IF(A66&lt;'Données projet'!$A$166,$DL$205^A66,IF(A66='Données projet'!$A$166,'Données projet'!$B$166,DO65+DN66-DW65)))</f>
        <v>246.62900641025624</v>
      </c>
      <c r="DP66" s="17">
        <f>DO66*VLOOKUP('Données projet'!$B$14,Paramètres!$A$1:$I$89,3,0)*VLOOKUP('Données projet'!$B$14,Paramètres!$A$1:$I$89,5,0)</f>
        <v>238.53957499999987</v>
      </c>
      <c r="DQ66" s="13">
        <f t="shared" si="43"/>
        <v>58.125201395245952</v>
      </c>
      <c r="DR66" s="20">
        <f t="shared" si="16"/>
        <v>516.69115222171979</v>
      </c>
      <c r="DS66" s="59">
        <f t="shared" si="17"/>
        <v>810.02448555505316</v>
      </c>
      <c r="DT66" s="59">
        <f ca="1">AVERAGE(OFFSET($DS$3,0,0,'Données projet'!$E$14+1,1))-AVERAGE(OFFSET($H$3,0,0,'Données projet'!$E$14+1,1))</f>
        <v>340.4659523898373</v>
      </c>
      <c r="DU66" s="59">
        <f t="shared" si="44"/>
        <v>170.54530785680572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6.9975961538461569</v>
      </c>
      <c r="EJ66" s="12">
        <f>IF('Données projet'!$A$192&gt;35,EJ65+EI66-ER65,IF(A66&lt;'Données projet'!$A$192,$EG$205^A66,IF(A66='Données projet'!$A$192,'Données projet'!$B$192,EJ65+EI66-ER65)))</f>
        <v>187.09054487179483</v>
      </c>
      <c r="EK66" s="17">
        <f>EJ66*VLOOKUP('Données projet'!$B$15,Paramètres!$A$1:$I$89,3,0)*VLOOKUP('Données projet'!$B$15,Paramètres!$A$1:$I$89,5,0)</f>
        <v>180.95397499999999</v>
      </c>
      <c r="EL66" s="13">
        <f t="shared" si="45"/>
        <v>45.534362690464114</v>
      </c>
      <c r="EM66" s="20">
        <f t="shared" si="19"/>
        <v>394.46718814422502</v>
      </c>
      <c r="EN66" s="59">
        <f t="shared" si="20"/>
        <v>687.80052147755828</v>
      </c>
      <c r="EO66" s="59">
        <f ca="1">AVERAGE(OFFSET($EN$3,0,0,'Données projet'!$E$15+1,1))-AVERAGE(OFFSET($H$3,0,0,'Données projet'!$E$15+1,1))</f>
        <v>262.20955982183017</v>
      </c>
      <c r="EP66" s="59">
        <f t="shared" si="46"/>
        <v>101.35842063036193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4.0999999999999996</v>
      </c>
      <c r="FE66" s="12">
        <f>IF('Données projet'!$A$218&gt;35,FE65+FD66-FM65,IF(A66&lt;'Données projet'!$A$218,$FB$205^A66,IF(A66='Données projet'!$A$218,'Données projet'!$B$218,FE65+FD66-FM65)))</f>
        <v>245.29999999999973</v>
      </c>
      <c r="FF66" s="17">
        <f>FE66*VLOOKUP('Données projet'!$B$16,Paramètres!$A$1:$I$89,3,0)*VLOOKUP('Données projet'!$B$16,Paramètres!$A$1:$I$89,5,0)</f>
        <v>195.16067999999979</v>
      </c>
      <c r="FG66" s="13">
        <f t="shared" si="47"/>
        <v>48.679120283467881</v>
      </c>
      <c r="FH66" s="20">
        <f t="shared" si="22"/>
        <v>424.68765216037281</v>
      </c>
      <c r="FI66" s="59">
        <f t="shared" si="23"/>
        <v>718.02098549370612</v>
      </c>
      <c r="FJ66" s="59">
        <f ca="1">AVERAGE(OFFSET($FI$3,0,0,'Données projet'!$E$16+1,1))-AVERAGE(OFFSET($H$3,0,0,'Données projet'!$E$16+1,1))</f>
        <v>199.58763537752952</v>
      </c>
      <c r="FK66" s="59">
        <f t="shared" si="48"/>
        <v>242.62852778451929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4.1186913508043457</v>
      </c>
      <c r="FS66" s="21">
        <f>EXP(-LN(2)/2)*FS65+(1-EXP(-LN(2)/2))/(LN(2)/2)*FM66*FP66*VLOOKUP('Données projet'!$B$16,Paramètres!$A$1:$I$89,3,0)*0.475*44/12</f>
        <v>1.1611283746308936E-4</v>
      </c>
      <c r="FT66" s="22">
        <f t="shared" si="24"/>
        <v>4.1188074636418088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4.0999999999999996</v>
      </c>
      <c r="FZ66" s="12">
        <f>IF('Données projet'!$A$244&gt;35,FZ65+FY66-GH65,IF(A66&lt;'Données projet'!$A$244,$FW$205^A66,IF(A66='Données projet'!$A$244,'Données projet'!$B$244,FZ65+FY66-GH65)))</f>
        <v>245.29999999999973</v>
      </c>
      <c r="GA66" s="17">
        <f>FZ66*VLOOKUP('Données projet'!$B$17,Paramètres!$A$1:$I$89,3,0)*VLOOKUP('Données projet'!$B$17,Paramètres!$A$1:$I$89,5,0)</f>
        <v>179.8539599999998</v>
      </c>
      <c r="GB66" s="13">
        <f t="shared" si="49"/>
        <v>45.289693422506019</v>
      </c>
      <c r="GC66" s="20">
        <f t="shared" si="25"/>
        <v>392.12519637753098</v>
      </c>
      <c r="GD66" s="59">
        <f t="shared" si="26"/>
        <v>685.45852971086424</v>
      </c>
      <c r="GE66" s="59">
        <f ca="1">AVERAGE(OFFSET($GD$3,0,0,'Données projet'!$E$17+1,1))-AVERAGE(OFFSET($H$3,0,0,'Données projet'!$E$17+1,1))</f>
        <v>178.12968684094687</v>
      </c>
      <c r="GF66" s="59">
        <f t="shared" si="50"/>
        <v>219.36004077210373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3.0794950869314035</v>
      </c>
      <c r="GN66" s="21">
        <f>EXP(-LN(2)/2)*GN65+(1-EXP(-LN(2)/2))/(LN(2)/2)*GH66*GK66*VLOOKUP('Données projet'!$B$17,Paramètres!$A$1:$I$89,3,0)*0.475*44/12</f>
        <v>1.0700594825029794E-4</v>
      </c>
      <c r="GO66" s="21">
        <f t="shared" si="27"/>
        <v>3.0796020928796537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4.0999999999999996</v>
      </c>
      <c r="GU66" s="12">
        <f>IF('Données projet'!$A$270&gt;35,GU65+GT66-HC65,IF(A66&lt;'Données projet'!$A$270,$GR$205^A66,IF(A66='Données projet'!$A$270,'Données projet'!$B$270,GU65+GT66-HC65)))</f>
        <v>245.29999999999973</v>
      </c>
      <c r="GV66" s="17">
        <f>GU66*VLOOKUP('Données projet'!$B$18,Paramètres!$A$1:$I$89,3,0)*VLOOKUP('Données projet'!$B$18,Paramètres!$A$1:$I$89,5,0)</f>
        <v>195.16067999999979</v>
      </c>
      <c r="GW66" s="13">
        <f t="shared" si="51"/>
        <v>48.679120283467881</v>
      </c>
      <c r="GX66" s="20">
        <f t="shared" si="28"/>
        <v>424.68765216037281</v>
      </c>
      <c r="GY66" s="59">
        <f t="shared" si="29"/>
        <v>718.02098549370612</v>
      </c>
      <c r="GZ66" s="59">
        <f ca="1">AVERAGE(OFFSET($GY$3,0,0,'Données projet'!$E$18+1,1))-AVERAGE(OFFSET($H$3,0,0,'Données projet'!$E$18+1,1))</f>
        <v>199.58763537752952</v>
      </c>
      <c r="HA66" s="59">
        <f t="shared" si="52"/>
        <v>242.62852778451929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0</v>
      </c>
      <c r="HH66" s="21">
        <f>EXP(-LN(2)/25)*HH65+(1-EXP(-LN(2)/25))/(LN(2)/25)*Calculateur!HC66*Calculateur!HE66*VLOOKUP('Données projet'!$B$18,Paramètres!$A$1:$I$89,3,0)*0.475*44/12</f>
        <v>4.1186913508043457</v>
      </c>
      <c r="HI66" s="21">
        <f>EXP(-LN(2)/2)*HI65+(1-EXP(-LN(2)/2))/(LN(2)/2)*HC66*HF66*VLOOKUP('Données projet'!$B$18,Paramètres!$A$1:$I$89,3,0)*0.475*44/12</f>
        <v>1.1611283746308936E-4</v>
      </c>
      <c r="HJ66" s="22">
        <f t="shared" si="30"/>
        <v>4.1188074636418088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9.2219551282051242</v>
      </c>
      <c r="N67" s="13">
        <f>IF('Données projet'!$A$36&gt;35,N66+M67-V66,IF(A67&lt;'Données projet'!$A$36,$K$205^A67,IF(A67='Données projet'!$A$36,'Données projet'!$B$36,N66+M67-V66)))</f>
        <v>255.85096153846138</v>
      </c>
      <c r="O67" s="13">
        <f>N67*VLOOKUP('Données projet'!$B$9,Paramètres!$A$1:$I$89,3,0)*VLOOKUP('Données projet'!$B$9,Paramètres!$A$1:$I$89,5,0)</f>
        <v>231.49394999999984</v>
      </c>
      <c r="P67" s="13">
        <f t="shared" si="33"/>
        <v>56.605586628604179</v>
      </c>
      <c r="Q67" s="20">
        <f t="shared" ref="Q67:Q98" si="54">(O67+P67)*0.475*44/12</f>
        <v>501.77335962815204</v>
      </c>
      <c r="R67" s="59">
        <f t="shared" ref="R67:R130" si="55">Q67+(I67+J67)*44/12</f>
        <v>795.10669296148535</v>
      </c>
      <c r="S67" s="59">
        <f ca="1">AVERAGE(OFFSET($R$3,0,0,'Données projet'!$E$9+1,1))-AVERAGE(OFFSET($H$3,0,0,'Données projet'!$E$9+1,1))</f>
        <v>309.07357540707869</v>
      </c>
      <c r="T67" s="59">
        <f t="shared" si="34"/>
        <v>155.9593924683299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6.9975961538461569</v>
      </c>
      <c r="AI67" s="13">
        <f>IF('Données projet'!$A$62&gt;35,AI66+AH67-AQ66,IF(A67&lt;'Données projet'!$A$62,$AF$205^A67,IF(A67='Données projet'!$A$62,'Données projet'!$B$62,AI66+AH67-AQ66)))</f>
        <v>194.08814102564099</v>
      </c>
      <c r="AJ67" s="13">
        <f>AI67*VLOOKUP('Données projet'!$B$10,Paramètres!$A$1:$I$89,3,0)*VLOOKUP('Données projet'!$B$10,Paramètres!$A$1:$I$89,5,0)</f>
        <v>175.61094999999997</v>
      </c>
      <c r="AK67" s="13">
        <f t="shared" si="35"/>
        <v>44.344304913788655</v>
      </c>
      <c r="AL67" s="20">
        <f t="shared" si="4"/>
        <v>383.08873564151514</v>
      </c>
      <c r="AM67" s="59">
        <f t="shared" si="5"/>
        <v>676.42206897484846</v>
      </c>
      <c r="AN67" s="59">
        <f ca="1">AVERAGE(OFFSET($AM$3,0,0,'Données projet'!$E$10+1,1))-AVERAGE(OFFSET($H$3,0,0,'Données projet'!$E$10+1,1))</f>
        <v>234.30804102916278</v>
      </c>
      <c r="AO67" s="59">
        <f t="shared" si="36"/>
        <v>91.137993288782411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13.737499999999997</v>
      </c>
      <c r="BD67" s="12">
        <f>IF('Données projet'!$A$88&gt;35,BD66+BC67-BL66,IF(A67&lt;'Données projet'!$A$88,$BA$205^A67,IF(A67='Données projet'!$A$88,'Données projet'!$B$88,BD66+BC67-BL66)))</f>
        <v>317.79134615384612</v>
      </c>
      <c r="BE67" s="13">
        <f>BD67*VLOOKUP('Données projet'!$B$11,Paramètres!$A$1:$I$89,3,0)*VLOOKUP('Données projet'!$B$11,Paramètres!$A$1:$I$89,5,0)</f>
        <v>148.72635</v>
      </c>
      <c r="BF67" s="13">
        <f t="shared" si="37"/>
        <v>38.289000598915827</v>
      </c>
      <c r="BG67" s="20">
        <f t="shared" si="7"/>
        <v>325.71840229311169</v>
      </c>
      <c r="BH67" s="59">
        <f t="shared" si="8"/>
        <v>619.05173562644495</v>
      </c>
      <c r="BI67" s="59">
        <f ca="1">AVERAGE(OFFSET($BH$3,0,0,'Données projet'!$E$11+1,1))-AVERAGE(OFFSET($H$3,0,0,'Données projet'!$E$11+1,1))</f>
        <v>158.58786357608489</v>
      </c>
      <c r="BJ67" s="59">
        <f t="shared" si="38"/>
        <v>163.20074068819849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10.314743589743586</v>
      </c>
      <c r="BY67" s="12">
        <f>IF('Données projet'!$A$114&gt;35,BY66+BX67-CG66,IF(A67&lt;'Données projet'!$A$114,$BV$205^A67,IF(A67='Données projet'!$A$114,'Données projet'!$B$114,BY66+BX67-CG66)))</f>
        <v>265.29807692307713</v>
      </c>
      <c r="BZ67" s="13">
        <f>BY67*VLOOKUP('Données projet'!$B$12,Paramètres!$A$1:$I$89,3,0)*VLOOKUP('Données projet'!$B$12,Paramètres!$A$1:$I$89,5,0)</f>
        <v>124.15950000000009</v>
      </c>
      <c r="CA67" s="13">
        <f t="shared" si="39"/>
        <v>32.643202044796318</v>
      </c>
      <c r="CB67" s="20">
        <f t="shared" si="10"/>
        <v>273.09803939468708</v>
      </c>
      <c r="CC67" s="59">
        <f t="shared" si="11"/>
        <v>566.43137272802039</v>
      </c>
      <c r="CD67" s="59">
        <f ca="1">AVERAGE(OFFSET($CC$3,0,0,'Données projet'!$E$12+1,1))-AVERAGE(OFFSET($H$3,0,0,'Données projet'!$E$12+1,1))</f>
        <v>123.2823358462245</v>
      </c>
      <c r="CE67" s="59">
        <f t="shared" si="40"/>
        <v>92.75115399786057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9.1830769230769249</v>
      </c>
      <c r="CT67" s="12">
        <f>IF('Données projet'!$A$140&gt;35,CT66+CS67-DB66,IF(A67&lt;'Données projet'!$A$140,$CQ$205^A67,IF(A67='Données projet'!$A$140,'Données projet'!$B$140,CT66+CS67-DB66)))</f>
        <v>324.89384615384608</v>
      </c>
      <c r="CU67" s="17">
        <f>CT67*VLOOKUP('Données projet'!$B$13,Paramètres!$A$1:$I$89,3,0)*VLOOKUP('Données projet'!$B$13,Paramètres!$A$1:$I$89,5,0)</f>
        <v>194.28651999999997</v>
      </c>
      <c r="CV67" s="13">
        <f t="shared" si="41"/>
        <v>48.486407543748122</v>
      </c>
      <c r="CW67" s="20">
        <f t="shared" si="13"/>
        <v>422.82951547202788</v>
      </c>
      <c r="CX67" s="59">
        <f t="shared" si="14"/>
        <v>716.16284880536114</v>
      </c>
      <c r="CY67" s="59">
        <f ca="1">AVERAGE(OFFSET($CX$3,0,0,'Données projet'!$E$13+1,1))-AVERAGE(OFFSET($H$3,0,0,'Données projet'!$E$13+1,1))</f>
        <v>179.32848817523677</v>
      </c>
      <c r="CZ67" s="59">
        <f t="shared" si="42"/>
        <v>131.3292389103035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5.1347251575393491</v>
      </c>
      <c r="DH67" s="21">
        <f>EXP(-LN(2)/2)*DH66+(1-EXP(-LN(2)/2))/(LN(2)/2)*DB67*DE67*VLOOKUP('Données projet'!$B$13,Paramètres!$A$1:$I$89,3,0)*0.475*44/12</f>
        <v>4.0152506845439457E-5</v>
      </c>
      <c r="DI67" s="22">
        <f t="shared" si="15"/>
        <v>5.1347653100461947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9.2219551282051242</v>
      </c>
      <c r="DO67" s="12">
        <f>IF('Données projet'!$A$166&gt;35,DO66+DN67-DW66,IF(A67&lt;'Données projet'!$A$166,$DL$205^A67,IF(A67='Données projet'!$A$166,'Données projet'!$B$166,DO66+DN67-DW66)))</f>
        <v>255.85096153846138</v>
      </c>
      <c r="DP67" s="17">
        <f>DO67*VLOOKUP('Données projet'!$B$14,Paramètres!$A$1:$I$89,3,0)*VLOOKUP('Données projet'!$B$14,Paramètres!$A$1:$I$89,5,0)</f>
        <v>247.45904999999982</v>
      </c>
      <c r="DQ67" s="13">
        <f t="shared" si="43"/>
        <v>60.041511571994128</v>
      </c>
      <c r="DR67" s="20">
        <f t="shared" si="16"/>
        <v>535.56347807122279</v>
      </c>
      <c r="DS67" s="59">
        <f t="shared" si="17"/>
        <v>828.89681140455605</v>
      </c>
      <c r="DT67" s="59">
        <f ca="1">AVERAGE(OFFSET($DS$3,0,0,'Données projet'!$E$14+1,1))-AVERAGE(OFFSET($H$3,0,0,'Données projet'!$E$14+1,1))</f>
        <v>340.4659523898373</v>
      </c>
      <c r="DU67" s="59">
        <f t="shared" si="44"/>
        <v>170.54530785680572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0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6.9975961538461569</v>
      </c>
      <c r="EJ67" s="12">
        <f>IF('Données projet'!$A$192&gt;35,EJ66+EI67-ER66,IF(A67&lt;'Données projet'!$A$192,$EG$205^A67,IF(A67='Données projet'!$A$192,'Données projet'!$B$192,EJ66+EI67-ER66)))</f>
        <v>194.08814102564099</v>
      </c>
      <c r="EK67" s="17">
        <f>EJ67*VLOOKUP('Données projet'!$B$15,Paramètres!$A$1:$I$89,3,0)*VLOOKUP('Données projet'!$B$15,Paramètres!$A$1:$I$89,5,0)</f>
        <v>187.72204999999997</v>
      </c>
      <c r="EL67" s="13">
        <f t="shared" si="45"/>
        <v>47.035977457529825</v>
      </c>
      <c r="EM67" s="20">
        <f t="shared" si="19"/>
        <v>408.8702311551977</v>
      </c>
      <c r="EN67" s="59">
        <f t="shared" si="20"/>
        <v>702.20356448853101</v>
      </c>
      <c r="EO67" s="59">
        <f ca="1">AVERAGE(OFFSET($EN$3,0,0,'Données projet'!$E$15+1,1))-AVERAGE(OFFSET($H$3,0,0,'Données projet'!$E$15+1,1))</f>
        <v>262.20955982183017</v>
      </c>
      <c r="EP67" s="59">
        <f t="shared" si="46"/>
        <v>101.35842063036193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4.0999999999999996</v>
      </c>
      <c r="FE67" s="12">
        <f>IF('Données projet'!$A$218&gt;35,FE66+FD67-FM66,IF(A67&lt;'Données projet'!$A$218,$FB$205^A67,IF(A67='Données projet'!$A$218,'Données projet'!$B$218,FE66+FD67-FM66)))</f>
        <v>249.39999999999972</v>
      </c>
      <c r="FF67" s="17">
        <f>FE67*VLOOKUP('Données projet'!$B$16,Paramètres!$A$1:$I$89,3,0)*VLOOKUP('Données projet'!$B$16,Paramètres!$A$1:$I$89,5,0)</f>
        <v>198.4226399999998</v>
      </c>
      <c r="FG67" s="13">
        <f t="shared" si="47"/>
        <v>49.397352151183213</v>
      </c>
      <c r="FH67" s="20">
        <f t="shared" si="22"/>
        <v>431.61981966331041</v>
      </c>
      <c r="FI67" s="59">
        <f t="shared" si="23"/>
        <v>724.95315299664367</v>
      </c>
      <c r="FJ67" s="59">
        <f ca="1">AVERAGE(OFFSET($FI$3,0,0,'Données projet'!$E$16+1,1))-AVERAGE(OFFSET($H$3,0,0,'Données projet'!$E$16+1,1))</f>
        <v>199.58763537752952</v>
      </c>
      <c r="FK67" s="59">
        <f t="shared" si="48"/>
        <v>242.62852778451929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4.0060655192240358</v>
      </c>
      <c r="FS67" s="21">
        <f>EXP(-LN(2)/2)*FS66+(1-EXP(-LN(2)/2))/(LN(2)/2)*FM67*FP67*VLOOKUP('Données projet'!$B$16,Paramètres!$A$1:$I$89,3,0)*0.475*44/12</f>
        <v>8.2104174752961883E-5</v>
      </c>
      <c r="FT67" s="22">
        <f t="shared" si="24"/>
        <v>4.0061476233987889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4.0999999999999996</v>
      </c>
      <c r="FZ67" s="12">
        <f>IF('Données projet'!$A$244&gt;35,FZ66+FY67-GH66,IF(A67&lt;'Données projet'!$A$244,$FW$205^A67,IF(A67='Données projet'!$A$244,'Données projet'!$B$244,FZ66+FY67-GH66)))</f>
        <v>249.39999999999972</v>
      </c>
      <c r="GA67" s="17">
        <f>FZ67*VLOOKUP('Données projet'!$B$17,Paramètres!$A$1:$I$89,3,0)*VLOOKUP('Données projet'!$B$17,Paramètres!$A$1:$I$89,5,0)</f>
        <v>182.86007999999978</v>
      </c>
      <c r="GB67" s="13">
        <f t="shared" si="49"/>
        <v>45.957916284909437</v>
      </c>
      <c r="GC67" s="20">
        <f t="shared" si="25"/>
        <v>398.5246768628835</v>
      </c>
      <c r="GD67" s="59">
        <f t="shared" si="26"/>
        <v>691.85801019621681</v>
      </c>
      <c r="GE67" s="59">
        <f ca="1">AVERAGE(OFFSET($GD$3,0,0,'Données projet'!$E$17+1,1))-AVERAGE(OFFSET($H$3,0,0,'Données projet'!$E$17+1,1))</f>
        <v>178.12968684094687</v>
      </c>
      <c r="GF67" s="59">
        <f t="shared" si="50"/>
        <v>219.36004077210373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2.9952861318356558</v>
      </c>
      <c r="GN67" s="21">
        <f>EXP(-LN(2)/2)*GN66+(1-EXP(-LN(2)/2))/(LN(2)/2)*GH67*GK67*VLOOKUP('Données projet'!$B$17,Paramètres!$A$1:$I$89,3,0)*0.475*44/12</f>
        <v>7.5664631635082453E-5</v>
      </c>
      <c r="GO67" s="21">
        <f t="shared" si="27"/>
        <v>2.9953617964672907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4.0999999999999996</v>
      </c>
      <c r="GU67" s="12">
        <f>IF('Données projet'!$A$270&gt;35,GU66+GT67-HC66,IF(A67&lt;'Données projet'!$A$270,$GR$205^A67,IF(A67='Données projet'!$A$270,'Données projet'!$B$270,GU66+GT67-HC66)))</f>
        <v>249.39999999999972</v>
      </c>
      <c r="GV67" s="17">
        <f>GU67*VLOOKUP('Données projet'!$B$18,Paramètres!$A$1:$I$89,3,0)*VLOOKUP('Données projet'!$B$18,Paramètres!$A$1:$I$89,5,0)</f>
        <v>198.4226399999998</v>
      </c>
      <c r="GW67" s="13">
        <f t="shared" si="51"/>
        <v>49.397352151183213</v>
      </c>
      <c r="GX67" s="20">
        <f t="shared" si="28"/>
        <v>431.61981966331041</v>
      </c>
      <c r="GY67" s="59">
        <f t="shared" si="29"/>
        <v>724.95315299664367</v>
      </c>
      <c r="GZ67" s="59">
        <f ca="1">AVERAGE(OFFSET($GY$3,0,0,'Données projet'!$E$18+1,1))-AVERAGE(OFFSET($H$3,0,0,'Données projet'!$E$18+1,1))</f>
        <v>199.58763537752952</v>
      </c>
      <c r="HA67" s="59">
        <f t="shared" si="52"/>
        <v>242.62852778451929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0</v>
      </c>
      <c r="HH67" s="21">
        <f>EXP(-LN(2)/25)*HH66+(1-EXP(-LN(2)/25))/(LN(2)/25)*Calculateur!HC67*Calculateur!HE67*VLOOKUP('Données projet'!$B$18,Paramètres!$A$1:$I$89,3,0)*0.475*44/12</f>
        <v>4.0060655192240358</v>
      </c>
      <c r="HI67" s="21">
        <f>EXP(-LN(2)/2)*HI66+(1-EXP(-LN(2)/2))/(LN(2)/2)*HC67*HF67*VLOOKUP('Données projet'!$B$18,Paramètres!$A$1:$I$89,3,0)*0.475*44/12</f>
        <v>8.2104174752961883E-5</v>
      </c>
      <c r="HJ67" s="22">
        <f t="shared" si="30"/>
        <v>4.0061476233987889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9.2219551282051242</v>
      </c>
      <c r="N68" s="13">
        <f>IF('Données projet'!$A$36&gt;35,N67+M68-V67,IF(A68&lt;'Données projet'!$A$36,$K$205^A68,IF(A68='Données projet'!$A$36,'Données projet'!$B$36,N67+M68-V67)))</f>
        <v>265.07291666666652</v>
      </c>
      <c r="O68" s="13">
        <f>N68*VLOOKUP('Données projet'!$B$9,Paramètres!$A$1:$I$89,3,0)*VLOOKUP('Données projet'!$B$9,Paramètres!$A$1:$I$89,5,0)</f>
        <v>239.83797499999986</v>
      </c>
      <c r="P68" s="13">
        <f t="shared" si="33"/>
        <v>58.404668644128165</v>
      </c>
      <c r="Q68" s="20">
        <f t="shared" si="54"/>
        <v>519.4392710135229</v>
      </c>
      <c r="R68" s="59">
        <f t="shared" si="55"/>
        <v>812.77260434685627</v>
      </c>
      <c r="S68" s="59">
        <f ca="1">AVERAGE(OFFSET($R$3,0,0,'Données projet'!$E$9+1,1))-AVERAGE(OFFSET($H$3,0,0,'Données projet'!$E$9+1,1))</f>
        <v>309.07357540707869</v>
      </c>
      <c r="T68" s="59">
        <f t="shared" si="34"/>
        <v>155.9593924683299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6.9975961538461569</v>
      </c>
      <c r="AI68" s="13">
        <f>IF('Données projet'!$A$62&gt;35,AI67+AH68-AQ67,IF(A68&lt;'Données projet'!$A$62,$AF$205^A68,IF(A68='Données projet'!$A$62,'Données projet'!$B$62,AI67+AH68-AQ67)))</f>
        <v>201.08573717948715</v>
      </c>
      <c r="AJ68" s="13">
        <f>AI68*VLOOKUP('Données projet'!$B$10,Paramètres!$A$1:$I$89,3,0)*VLOOKUP('Données projet'!$B$10,Paramètres!$A$1:$I$89,5,0)</f>
        <v>181.94237499999997</v>
      </c>
      <c r="AK68" s="13">
        <f t="shared" si="35"/>
        <v>45.754058501074866</v>
      </c>
      <c r="AL68" s="20">
        <f t="shared" ref="AL68:AL131" si="58">(AJ68+AK68)*0.475*44/12</f>
        <v>396.57128834770532</v>
      </c>
      <c r="AM68" s="59">
        <f t="shared" ref="AM68:AM131" si="59">AL68+(AD68+AE68)*44/12</f>
        <v>689.90462168103863</v>
      </c>
      <c r="AN68" s="59">
        <f ca="1">AVERAGE(OFFSET($AM$3,0,0,'Données projet'!$E$10+1,1))-AVERAGE(OFFSET($H$3,0,0,'Données projet'!$E$10+1,1))</f>
        <v>234.30804102916278</v>
      </c>
      <c r="AO68" s="59">
        <f t="shared" si="36"/>
        <v>91.137993288782411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13.737499999999997</v>
      </c>
      <c r="BD68" s="12">
        <f>IF('Données projet'!$A$88&gt;35,BD67+BC68-BL67,IF(A68&lt;'Données projet'!$A$88,$BA$205^A68,IF(A68='Données projet'!$A$88,'Données projet'!$B$88,BD67+BC68-BL67)))</f>
        <v>331.52884615384613</v>
      </c>
      <c r="BE68" s="13">
        <f>BD68*VLOOKUP('Données projet'!$B$11,Paramètres!$A$1:$I$89,3,0)*VLOOKUP('Données projet'!$B$11,Paramètres!$A$1:$I$89,5,0)</f>
        <v>155.15549999999999</v>
      </c>
      <c r="BF68" s="13">
        <f t="shared" si="37"/>
        <v>39.74787733410745</v>
      </c>
      <c r="BG68" s="20">
        <f t="shared" ref="BG68:BG131" si="61">(BE68+BF68)*0.475*44/12</f>
        <v>339.45671552357044</v>
      </c>
      <c r="BH68" s="59">
        <f t="shared" ref="BH68:BH131" si="62">BG68+(AY68+AZ68)*44/12</f>
        <v>632.7900488569037</v>
      </c>
      <c r="BI68" s="59">
        <f ca="1">AVERAGE(OFFSET($BH$3,0,0,'Données projet'!$E$11+1,1))-AVERAGE(OFFSET($H$3,0,0,'Données projet'!$E$11+1,1))</f>
        <v>158.58786357608489</v>
      </c>
      <c r="BJ68" s="59">
        <f t="shared" si="38"/>
        <v>163.20074068819849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10.314743589743586</v>
      </c>
      <c r="BY68" s="12">
        <f>IF('Données projet'!$A$114&gt;35,BY67+BX68-CG67,IF(A68&lt;'Données projet'!$A$114,$BV$205^A68,IF(A68='Données projet'!$A$114,'Données projet'!$B$114,BY67+BX68-CG67)))</f>
        <v>275.61282051282069</v>
      </c>
      <c r="BZ68" s="13">
        <f>BY68*VLOOKUP('Données projet'!$B$12,Paramètres!$A$1:$I$89,3,0)*VLOOKUP('Données projet'!$B$12,Paramètres!$A$1:$I$89,5,0)</f>
        <v>128.98680000000007</v>
      </c>
      <c r="CA68" s="13">
        <f t="shared" si="39"/>
        <v>33.762132053733033</v>
      </c>
      <c r="CB68" s="20">
        <f t="shared" ref="CB68:CB131" si="64">(BZ68+CA68)*0.475*44/12</f>
        <v>283.45438999358515</v>
      </c>
      <c r="CC68" s="59">
        <f t="shared" ref="CC68:CC131" si="65">CB68+(BT68+BU68)*44/12</f>
        <v>576.78772332691847</v>
      </c>
      <c r="CD68" s="59">
        <f ca="1">AVERAGE(OFFSET($CC$3,0,0,'Données projet'!$E$12+1,1))-AVERAGE(OFFSET($H$3,0,0,'Données projet'!$E$12+1,1))</f>
        <v>123.2823358462245</v>
      </c>
      <c r="CE68" s="59">
        <f t="shared" si="40"/>
        <v>92.75115399786057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9.1830769230769249</v>
      </c>
      <c r="CT68" s="12">
        <f>IF('Données projet'!$A$140&gt;35,CT67+CS68-DB67,IF(A68&lt;'Données projet'!$A$140,$CQ$205^A68,IF(A68='Données projet'!$A$140,'Données projet'!$B$140,CT67+CS68-DB67)))</f>
        <v>334.07692307692298</v>
      </c>
      <c r="CU68" s="17">
        <f>CT68*VLOOKUP('Données projet'!$B$13,Paramètres!$A$1:$I$89,3,0)*VLOOKUP('Données projet'!$B$13,Paramètres!$A$1:$I$89,5,0)</f>
        <v>199.77799999999996</v>
      </c>
      <c r="CV68" s="13">
        <f t="shared" si="41"/>
        <v>49.695375691492842</v>
      </c>
      <c r="CW68" s="20">
        <f t="shared" ref="CW68:CW131" si="67">(CU68+CV68)*0.475*44/12</f>
        <v>434.4994626626833</v>
      </c>
      <c r="CX68" s="59">
        <f t="shared" ref="CX68:CX131" si="68">CW68+(CO68+CP68)*44/12</f>
        <v>727.83279599601656</v>
      </c>
      <c r="CY68" s="59">
        <f ca="1">AVERAGE(OFFSET($CX$3,0,0,'Données projet'!$E$13+1,1))-AVERAGE(OFFSET($H$3,0,0,'Données projet'!$E$13+1,1))</f>
        <v>179.32848817523677</v>
      </c>
      <c r="CZ68" s="59">
        <f t="shared" si="42"/>
        <v>131.3292389103035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4.9943158280829749</v>
      </c>
      <c r="DH68" s="21">
        <f>EXP(-LN(2)/2)*DH67+(1-EXP(-LN(2)/2))/(LN(2)/2)*DB68*DE68*VLOOKUP('Données projet'!$B$13,Paramètres!$A$1:$I$89,3,0)*0.475*44/12</f>
        <v>2.839210987204951E-5</v>
      </c>
      <c r="DI68" s="22">
        <f t="shared" ref="DI68:DI131" si="69">SUM(DF68:DH68)</f>
        <v>4.994344220192847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9.2219551282051242</v>
      </c>
      <c r="DO68" s="12">
        <f>IF('Données projet'!$A$166&gt;35,DO67+DN68-DW67,IF(A68&lt;'Données projet'!$A$166,$DL$205^A68,IF(A68='Données projet'!$A$166,'Données projet'!$B$166,DO67+DN68-DW67)))</f>
        <v>265.07291666666652</v>
      </c>
      <c r="DP68" s="17">
        <f>DO68*VLOOKUP('Données projet'!$B$14,Paramètres!$A$1:$I$89,3,0)*VLOOKUP('Données projet'!$B$14,Paramètres!$A$1:$I$89,5,0)</f>
        <v>256.37852499999985</v>
      </c>
      <c r="DQ68" s="13">
        <f t="shared" si="43"/>
        <v>61.94979678000329</v>
      </c>
      <c r="DR68" s="20">
        <f t="shared" ref="DR68:DR131" si="70">(DP68+DQ68)*0.475*44/12</f>
        <v>554.4218271001721</v>
      </c>
      <c r="DS68" s="59">
        <f t="shared" ref="DS68:DS131" si="71">DR68+(DJ68+DK68)*44/12</f>
        <v>847.75516043350535</v>
      </c>
      <c r="DT68" s="59">
        <f ca="1">AVERAGE(OFFSET($DS$3,0,0,'Données projet'!$E$14+1,1))-AVERAGE(OFFSET($H$3,0,0,'Données projet'!$E$14+1,1))</f>
        <v>340.4659523898373</v>
      </c>
      <c r="DU68" s="59">
        <f t="shared" si="44"/>
        <v>170.54530785680572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0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6.9975961538461569</v>
      </c>
      <c r="EJ68" s="12">
        <f>IF('Données projet'!$A$192&gt;35,EJ67+EI68-ER67,IF(A68&lt;'Données projet'!$A$192,$EG$205^A68,IF(A68='Données projet'!$A$192,'Données projet'!$B$192,EJ67+EI68-ER67)))</f>
        <v>201.08573717948715</v>
      </c>
      <c r="EK68" s="17">
        <f>EJ68*VLOOKUP('Données projet'!$B$15,Paramètres!$A$1:$I$89,3,0)*VLOOKUP('Données projet'!$B$15,Paramètres!$A$1:$I$89,5,0)</f>
        <v>194.49012499999998</v>
      </c>
      <c r="EL68" s="13">
        <f t="shared" si="45"/>
        <v>48.531302236690927</v>
      </c>
      <c r="EM68" s="20">
        <f t="shared" ref="EM68:EM131" si="73">(EK68+EL68)*0.475*44/12</f>
        <v>423.26231910390328</v>
      </c>
      <c r="EN68" s="59">
        <f t="shared" ref="EN68:EN131" si="74">EM68+(EE68+EF68)*44/12</f>
        <v>716.59565243723659</v>
      </c>
      <c r="EO68" s="59">
        <f ca="1">AVERAGE(OFFSET($EN$3,0,0,'Données projet'!$E$15+1,1))-AVERAGE(OFFSET($H$3,0,0,'Données projet'!$E$15+1,1))</f>
        <v>262.20955982183017</v>
      </c>
      <c r="EP68" s="59">
        <f t="shared" si="46"/>
        <v>101.35842063036193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4.0999999999999996</v>
      </c>
      <c r="FE68" s="12">
        <f>IF('Données projet'!$A$218&gt;35,FE67+FD68-FM67,IF(A68&lt;'Données projet'!$A$218,$FB$205^A68,IF(A68='Données projet'!$A$218,'Données projet'!$B$218,FE67+FD68-FM67)))</f>
        <v>253.49999999999972</v>
      </c>
      <c r="FF68" s="17">
        <f>FE68*VLOOKUP('Données projet'!$B$16,Paramètres!$A$1:$I$89,3,0)*VLOOKUP('Données projet'!$B$16,Paramètres!$A$1:$I$89,5,0)</f>
        <v>201.68459999999979</v>
      </c>
      <c r="FG68" s="13">
        <f t="shared" si="47"/>
        <v>50.114210893233739</v>
      </c>
      <c r="FH68" s="20">
        <f t="shared" ref="FH68:FH131" si="76">(FF68+FG68)*0.475*44/12</f>
        <v>438.54959563904839</v>
      </c>
      <c r="FI68" s="59">
        <f t="shared" ref="FI68:FI131" si="77">FH68+(EZ68+FA68)*44/12</f>
        <v>731.88292897238171</v>
      </c>
      <c r="FJ68" s="59">
        <f ca="1">AVERAGE(OFFSET($FI$3,0,0,'Données projet'!$E$16+1,1))-AVERAGE(OFFSET($H$3,0,0,'Données projet'!$E$16+1,1))</f>
        <v>199.58763537752952</v>
      </c>
      <c r="FK68" s="59">
        <f t="shared" si="48"/>
        <v>242.62852778451929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3.8965194469310247</v>
      </c>
      <c r="FS68" s="21">
        <f>EXP(-LN(2)/2)*FS67+(1-EXP(-LN(2)/2))/(LN(2)/2)*FM68*FP68*VLOOKUP('Données projet'!$B$16,Paramètres!$A$1:$I$89,3,0)*0.475*44/12</f>
        <v>5.8056418731544678E-5</v>
      </c>
      <c r="FT68" s="22">
        <f t="shared" ref="FT68:FT131" si="78">SUM(FQ68:FS68)</f>
        <v>3.8965775033497563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4.0999999999999996</v>
      </c>
      <c r="FZ68" s="12">
        <f>IF('Données projet'!$A$244&gt;35,FZ67+FY68-GH67,IF(A68&lt;'Données projet'!$A$244,$FW$205^A68,IF(A68='Données projet'!$A$244,'Données projet'!$B$244,FZ67+FY68-GH67)))</f>
        <v>253.49999999999972</v>
      </c>
      <c r="GA68" s="17">
        <f>FZ68*VLOOKUP('Données projet'!$B$17,Paramètres!$A$1:$I$89,3,0)*VLOOKUP('Données projet'!$B$17,Paramètres!$A$1:$I$89,5,0)</f>
        <v>185.86619999999976</v>
      </c>
      <c r="GB68" s="13">
        <f t="shared" si="49"/>
        <v>46.624861629559298</v>
      </c>
      <c r="GC68" s="20">
        <f t="shared" ref="GC68:GC131" si="79">(GA68+GB68)*0.475*44/12</f>
        <v>404.92193233814868</v>
      </c>
      <c r="GD68" s="59">
        <f t="shared" ref="GD68:GD131" si="80">GC68+(FU68+FV68)*44/12</f>
        <v>698.25526567148199</v>
      </c>
      <c r="GE68" s="59">
        <f ca="1">AVERAGE(OFFSET($GD$3,0,0,'Données projet'!$E$17+1,1))-AVERAGE(OFFSET($H$3,0,0,'Données projet'!$E$17+1,1))</f>
        <v>178.12968684094687</v>
      </c>
      <c r="GF68" s="59">
        <f t="shared" si="50"/>
        <v>219.36004077210373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2.9133798750453579</v>
      </c>
      <c r="GN68" s="21">
        <f>EXP(-LN(2)/2)*GN67+(1-EXP(-LN(2)/2))/(LN(2)/2)*GH68*GK68*VLOOKUP('Données projet'!$B$17,Paramètres!$A$1:$I$89,3,0)*0.475*44/12</f>
        <v>5.350297412514897E-5</v>
      </c>
      <c r="GO68" s="21">
        <f t="shared" ref="GO68:GO131" si="81">SUM(GL68:GN68)</f>
        <v>2.9134333780194832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4.0999999999999996</v>
      </c>
      <c r="GU68" s="12">
        <f>IF('Données projet'!$A$270&gt;35,GU67+GT68-HC67,IF(A68&lt;'Données projet'!$A$270,$GR$205^A68,IF(A68='Données projet'!$A$270,'Données projet'!$B$270,GU67+GT68-HC67)))</f>
        <v>253.49999999999972</v>
      </c>
      <c r="GV68" s="17">
        <f>GU68*VLOOKUP('Données projet'!$B$18,Paramètres!$A$1:$I$89,3,0)*VLOOKUP('Données projet'!$B$18,Paramètres!$A$1:$I$89,5,0)</f>
        <v>201.68459999999979</v>
      </c>
      <c r="GW68" s="13">
        <f t="shared" si="51"/>
        <v>50.114210893233739</v>
      </c>
      <c r="GX68" s="20">
        <f t="shared" ref="GX68:GX131" si="82">(GV68+GW68)*0.475*44/12</f>
        <v>438.54959563904839</v>
      </c>
      <c r="GY68" s="59">
        <f t="shared" ref="GY68:GY131" si="83">GX68+(GP68+GQ68)*44/12</f>
        <v>731.88292897238171</v>
      </c>
      <c r="GZ68" s="59">
        <f ca="1">AVERAGE(OFFSET($GY$3,0,0,'Données projet'!$E$18+1,1))-AVERAGE(OFFSET($H$3,0,0,'Données projet'!$E$18+1,1))</f>
        <v>199.58763537752952</v>
      </c>
      <c r="HA68" s="59">
        <f t="shared" si="52"/>
        <v>242.62852778451929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>
        <f>EXP(-LN(2)/35)*HG67+(1-EXP(-LN(2)/35))/(LN(2)/35)*HC68*HD68*VLOOKUP('Données projet'!$B$18,Paramètres!$A$1:$I$89,3,0)*0.475*44/12</f>
        <v>0</v>
      </c>
      <c r="HH68" s="21">
        <f>EXP(-LN(2)/25)*HH67+(1-EXP(-LN(2)/25))/(LN(2)/25)*Calculateur!HC68*Calculateur!HE68*VLOOKUP('Données projet'!$B$18,Paramètres!$A$1:$I$89,3,0)*0.475*44/12</f>
        <v>3.8965194469310247</v>
      </c>
      <c r="HI68" s="21">
        <f>EXP(-LN(2)/2)*HI67+(1-EXP(-LN(2)/2))/(LN(2)/2)*HC68*HF68*VLOOKUP('Données projet'!$B$18,Paramètres!$A$1:$I$89,3,0)*0.475*44/12</f>
        <v>5.8056418731544678E-5</v>
      </c>
      <c r="HJ68" s="22">
        <f t="shared" ref="HJ68:HJ131" si="84">SUM(HG68:HI68)</f>
        <v>3.8965775033497563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274.29487179487177</v>
      </c>
      <c r="L69" s="12">
        <f>VLOOKUP(A69,'Données projet'!$A$35:$I$55,9,0)</f>
        <v>9.2219551282051242</v>
      </c>
      <c r="M69" s="12">
        <f t="array" ref="M69">INDEX(L:L,MIN(IF(ISNUMBER(L69:L265),ROW(L69:L265),"")))</f>
        <v>9.2219551282051242</v>
      </c>
      <c r="N69" s="13">
        <f>IF('Données projet'!$A$36&gt;35,N68+M69-V68,IF(A69&lt;'Données projet'!$A$36,$K$205^A69,IF(A69='Données projet'!$A$36,'Données projet'!$B$36,N68+M69-V68)))</f>
        <v>274.29487179487165</v>
      </c>
      <c r="O69" s="13">
        <f>N69*VLOOKUP('Données projet'!$B$9,Paramètres!$A$1:$I$89,3,0)*VLOOKUP('Données projet'!$B$9,Paramètres!$A$1:$I$89,5,0)</f>
        <v>248.18199999999985</v>
      </c>
      <c r="P69" s="13">
        <f t="shared" ref="P69:P132" si="87">EXP(-1.0587+0.8836*LN(O69)+0.284)</f>
        <v>60.196478304365186</v>
      </c>
      <c r="Q69" s="20">
        <f t="shared" si="54"/>
        <v>537.09251638010244</v>
      </c>
      <c r="R69" s="59">
        <f t="shared" si="55"/>
        <v>830.42584971343581</v>
      </c>
      <c r="S69" s="59">
        <f ca="1">AVERAGE(OFFSET($R$3,0,0,'Données projet'!$E$9+1,1))-AVERAGE(OFFSET($H$3,0,0,'Données projet'!$E$9+1,1))</f>
        <v>309.07357540707869</v>
      </c>
      <c r="T69" s="59">
        <f t="shared" ref="T69:T132" si="88">$T$3</f>
        <v>155.9593924683299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54.141025641025635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208.08333333333334</v>
      </c>
      <c r="AG69" s="12">
        <f>VLOOKUP(A69,'Données projet'!$A$61:$I$81,9,0)</f>
        <v>6.9975961538461569</v>
      </c>
      <c r="AH69" s="12">
        <f t="array" ref="AH69">INDEX(AG:AG,MIN(IF(ISNUMBER(AG69:AG265),ROW(AG69:AG265),"")))</f>
        <v>6.9975961538461569</v>
      </c>
      <c r="AI69" s="13">
        <f>IF('Données projet'!$A$62&gt;35,AI68+AH69-AQ68,IF(A69&lt;'Données projet'!$A$62,$AF$205^A69,IF(A69='Données projet'!$A$62,'Données projet'!$B$62,AI68+AH69-AQ68)))</f>
        <v>208.08333333333331</v>
      </c>
      <c r="AJ69" s="13">
        <f>AI69*VLOOKUP('Données projet'!$B$10,Paramètres!$A$1:$I$89,3,0)*VLOOKUP('Données projet'!$B$10,Paramètres!$A$1:$I$89,5,0)</f>
        <v>188.27379999999999</v>
      </c>
      <c r="AK69" s="13">
        <f t="shared" ref="AK69:AK132" si="89">EXP(-1.0587+0.8836*LN(AJ69)+0.284)</f>
        <v>47.158112058671684</v>
      </c>
      <c r="AL69" s="20">
        <f t="shared" si="58"/>
        <v>410.04391350218651</v>
      </c>
      <c r="AM69" s="59">
        <f t="shared" si="59"/>
        <v>703.37724683551983</v>
      </c>
      <c r="AN69" s="59">
        <f ca="1">AVERAGE(OFFSET($AM$3,0,0,'Données projet'!$E$10+1,1))-AVERAGE(OFFSET($H$3,0,0,'Données projet'!$E$10+1,1))</f>
        <v>234.30804102916278</v>
      </c>
      <c r="AO69" s="59">
        <f t="shared" ref="AO69:AO132" si="90">$AO$3</f>
        <v>91.137993288782411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39.166666666666664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13.737499999999997</v>
      </c>
      <c r="BD69" s="12">
        <f>IF('Données projet'!$A$88&gt;35,BD68+BC69-BL68,IF(A69&lt;'Données projet'!$A$88,$BA$205^A69,IF(A69='Données projet'!$A$88,'Données projet'!$B$88,BD68+BC69-BL68)))</f>
        <v>345.26634615384614</v>
      </c>
      <c r="BE69" s="13">
        <f>BD69*VLOOKUP('Données projet'!$B$11,Paramètres!$A$1:$I$89,3,0)*VLOOKUP('Données projet'!$B$11,Paramètres!$A$1:$I$89,5,0)</f>
        <v>161.58464999999998</v>
      </c>
      <c r="BF69" s="13">
        <f t="shared" ref="BF69:BF132" si="91">EXP(-1.0587+0.8836*LN(BE69)+0.284)</f>
        <v>41.199732368807574</v>
      </c>
      <c r="BG69" s="20">
        <f t="shared" si="61"/>
        <v>353.18279929233978</v>
      </c>
      <c r="BH69" s="59">
        <f t="shared" si="62"/>
        <v>646.51613262567309</v>
      </c>
      <c r="BI69" s="59">
        <f ca="1">AVERAGE(OFFSET($BH$3,0,0,'Données projet'!$E$11+1,1))-AVERAGE(OFFSET($H$3,0,0,'Données projet'!$E$11+1,1))</f>
        <v>158.58786357608489</v>
      </c>
      <c r="BJ69" s="59">
        <f t="shared" ref="BJ69:BJ132" si="92">$BJ$3</f>
        <v>163.20074068819849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10.314743589743586</v>
      </c>
      <c r="BY69" s="12">
        <f>IF('Données projet'!$A$114&gt;35,BY68+BX69-CG68,IF(A69&lt;'Données projet'!$A$114,$BV$205^A69,IF(A69='Données projet'!$A$114,'Données projet'!$B$114,BY68+BX69-CG68)))</f>
        <v>285.92756410256425</v>
      </c>
      <c r="BZ69" s="13">
        <f>BY69*VLOOKUP('Données projet'!$B$12,Paramètres!$A$1:$I$89,3,0)*VLOOKUP('Données projet'!$B$12,Paramètres!$A$1:$I$89,5,0)</f>
        <v>133.81410000000005</v>
      </c>
      <c r="CA69" s="13">
        <f t="shared" ref="CA69:CA132" si="93">EXP(-1.0587+0.8836*LN(BZ69)+0.284)</f>
        <v>34.876197134679366</v>
      </c>
      <c r="CB69" s="20">
        <f t="shared" si="64"/>
        <v>293.8022675095666</v>
      </c>
      <c r="CC69" s="59">
        <f t="shared" si="65"/>
        <v>587.13560084289998</v>
      </c>
      <c r="CD69" s="59">
        <f ca="1">AVERAGE(OFFSET($CC$3,0,0,'Données projet'!$E$12+1,1))-AVERAGE(OFFSET($H$3,0,0,'Données projet'!$E$12+1,1))</f>
        <v>123.2823358462245</v>
      </c>
      <c r="CE69" s="59">
        <f t="shared" ref="CE69:CE132" si="94">$CE$3</f>
        <v>92.75115399786057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9.1830769230769249</v>
      </c>
      <c r="CT69" s="12">
        <f>IF('Données projet'!$A$140&gt;35,CT68+CS69-DB68,IF(A69&lt;'Données projet'!$A$140,$CQ$205^A69,IF(A69='Données projet'!$A$140,'Données projet'!$B$140,CT68+CS69-DB68)))</f>
        <v>343.25999999999988</v>
      </c>
      <c r="CU69" s="17">
        <f>CT69*VLOOKUP('Données projet'!$B$13,Paramètres!$A$1:$I$89,3,0)*VLOOKUP('Données projet'!$B$13,Paramètres!$A$1:$I$89,5,0)</f>
        <v>205.26947999999996</v>
      </c>
      <c r="CV69" s="13">
        <f t="shared" ref="CV69:CV132" si="95">EXP(-1.0587+0.8836*LN(CU69)+0.284)</f>
        <v>50.900481301079942</v>
      </c>
      <c r="CW69" s="20">
        <f t="shared" si="67"/>
        <v>446.16268259938084</v>
      </c>
      <c r="CX69" s="59">
        <f t="shared" si="68"/>
        <v>739.49601593271416</v>
      </c>
      <c r="CY69" s="59">
        <f ca="1">AVERAGE(OFFSET($CX$3,0,0,'Données projet'!$E$13+1,1))-AVERAGE(OFFSET($H$3,0,0,'Données projet'!$E$13+1,1))</f>
        <v>179.32848817523677</v>
      </c>
      <c r="CZ69" s="59">
        <f t="shared" ref="CZ69:CZ132" si="96">$CZ$3</f>
        <v>131.3292389103035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4.8577459991243916</v>
      </c>
      <c r="DH69" s="21">
        <f>EXP(-LN(2)/2)*DH68+(1-EXP(-LN(2)/2))/(LN(2)/2)*DB69*DE69*VLOOKUP('Données projet'!$B$13,Paramètres!$A$1:$I$89,3,0)*0.475*44/12</f>
        <v>2.0076253422719728E-5</v>
      </c>
      <c r="DI69" s="22">
        <f t="shared" si="69"/>
        <v>4.857766075377814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274.29487179487177</v>
      </c>
      <c r="DM69" s="12">
        <f>VLOOKUP(A69,'Données projet'!$A$165:$I$185,9,0)</f>
        <v>9.2219551282051242</v>
      </c>
      <c r="DN69" s="12">
        <f t="array" ref="DN69">INDEX(DM:DM,MIN(IF(ISNUMBER(DM69:DM265),ROW(DM69:DM265),"")))</f>
        <v>9.2219551282051242</v>
      </c>
      <c r="DO69" s="12">
        <f>IF('Données projet'!$A$166&gt;35,DO68+DN69-DW68,IF(A69&lt;'Données projet'!$A$166,$DL$205^A69,IF(A69='Données projet'!$A$166,'Données projet'!$B$166,DO68+DN69-DW68)))</f>
        <v>274.29487179487165</v>
      </c>
      <c r="DP69" s="17">
        <f>DO69*VLOOKUP('Données projet'!$B$14,Paramètres!$A$1:$I$89,3,0)*VLOOKUP('Données projet'!$B$14,Paramètres!$A$1:$I$89,5,0)</f>
        <v>265.29799999999989</v>
      </c>
      <c r="DQ69" s="13">
        <f t="shared" ref="DQ69:DQ132" si="97">EXP(-1.0587+0.8836*LN(DP69)+0.284)</f>
        <v>63.850368205148889</v>
      </c>
      <c r="DR69" s="20">
        <f t="shared" si="70"/>
        <v>573.26674129063406</v>
      </c>
      <c r="DS69" s="59">
        <f t="shared" si="71"/>
        <v>866.60007462396743</v>
      </c>
      <c r="DT69" s="59">
        <f ca="1">AVERAGE(OFFSET($DS$3,0,0,'Données projet'!$E$14+1,1))-AVERAGE(OFFSET($H$3,0,0,'Données projet'!$E$14+1,1))</f>
        <v>340.4659523898373</v>
      </c>
      <c r="DU69" s="59">
        <f t="shared" ref="DU69:DU132" si="98">$DU$3</f>
        <v>170.54530785680572</v>
      </c>
      <c r="DV69" s="15">
        <f>IF(ISNA(VLOOKUP(A69,'Données projet'!$A$165:$I$185,3,0)),0,VLOOKUP(A69,'Données projet'!$A$165:$I$185,3,0))</f>
        <v>5</v>
      </c>
      <c r="DW69" s="15">
        <f>IF(ISNA(VLOOKUP(A69,'Données projet'!$A$165:$I$185,4,0)),0,VLOOKUP(A69,'Données projet'!$A$165:$I$185,4,0))</f>
        <v>54.141025641025635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0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>
        <f>VLOOKUP(A69,'Données projet'!$A$191:$I$211,2,0)</f>
        <v>208.08333333333334</v>
      </c>
      <c r="EH69" s="12">
        <f>VLOOKUP(A69,'Données projet'!$A$191:$I$211,9,0)</f>
        <v>6.9975961538461569</v>
      </c>
      <c r="EI69" s="12">
        <f t="array" ref="EI69">INDEX(EH:EH,MIN(IF(ISNUMBER(EH69:EH265),ROW(EH69:EH265),"")))</f>
        <v>6.9975961538461569</v>
      </c>
      <c r="EJ69" s="12">
        <f>IF('Données projet'!$A$192&gt;35,EJ68+EI69-ER68,IF(A69&lt;'Données projet'!$A$192,$EG$205^A69,IF(A69='Données projet'!$A$192,'Données projet'!$B$192,EJ68+EI69-ER68)))</f>
        <v>208.08333333333331</v>
      </c>
      <c r="EK69" s="17">
        <f>EJ69*VLOOKUP('Données projet'!$B$15,Paramètres!$A$1:$I$89,3,0)*VLOOKUP('Données projet'!$B$15,Paramètres!$A$1:$I$89,5,0)</f>
        <v>201.25819999999999</v>
      </c>
      <c r="EL69" s="13">
        <f t="shared" ref="EL69:EL132" si="99">EXP(-1.0587+0.8836*LN(EK69)+0.284)</f>
        <v>50.02058099780087</v>
      </c>
      <c r="EM69" s="20">
        <f t="shared" si="73"/>
        <v>437.64387690450309</v>
      </c>
      <c r="EN69" s="59">
        <f t="shared" si="74"/>
        <v>730.9772102378364</v>
      </c>
      <c r="EO69" s="59">
        <f ca="1">AVERAGE(OFFSET($EN$3,0,0,'Données projet'!$E$15+1,1))-AVERAGE(OFFSET($H$3,0,0,'Données projet'!$E$15+1,1))</f>
        <v>262.20955982183017</v>
      </c>
      <c r="EP69" s="59">
        <f t="shared" ref="EP69:EP132" si="100">$EP$3</f>
        <v>101.35842063036193</v>
      </c>
      <c r="EQ69" s="15">
        <f>IF(ISNA(VLOOKUP(A69,'Données projet'!$A$191:$I$211,3,0)),0,VLOOKUP(A69,'Données projet'!$A$191:$I$211,3,0))</f>
        <v>4</v>
      </c>
      <c r="ER69" s="15">
        <f>IF(ISNA(VLOOKUP(A69,'Données projet'!$A$191:$I$211,4,0)),0,VLOOKUP(A69,'Données projet'!$A$191:$I$211,4,0))</f>
        <v>39.166666666666664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4.0999999999999996</v>
      </c>
      <c r="FE69" s="12">
        <f>IF('Données projet'!$A$218&gt;35,FE68+FD69-FM68,IF(A69&lt;'Données projet'!$A$218,$FB$205^A69,IF(A69='Données projet'!$A$218,'Données projet'!$B$218,FE68+FD69-FM68)))</f>
        <v>257.59999999999974</v>
      </c>
      <c r="FF69" s="17">
        <f>FE69*VLOOKUP('Données projet'!$B$16,Paramètres!$A$1:$I$89,3,0)*VLOOKUP('Données projet'!$B$16,Paramètres!$A$1:$I$89,5,0)</f>
        <v>204.94655999999981</v>
      </c>
      <c r="FG69" s="13">
        <f t="shared" ref="FG69:FG132" si="101">EXP(-1.0587+0.8836*LN(FF69)+0.284)</f>
        <v>50.829721281867194</v>
      </c>
      <c r="FH69" s="20">
        <f t="shared" si="76"/>
        <v>445.477023232585</v>
      </c>
      <c r="FI69" s="59">
        <f t="shared" si="77"/>
        <v>738.81035656591826</v>
      </c>
      <c r="FJ69" s="59">
        <f ca="1">AVERAGE(OFFSET($FI$3,0,0,'Données projet'!$E$16+1,1))-AVERAGE(OFFSET($H$3,0,0,'Données projet'!$E$16+1,1))</f>
        <v>199.58763537752952</v>
      </c>
      <c r="FK69" s="59">
        <f t="shared" ref="FK69:FK132" si="102">$FK$3</f>
        <v>242.62852778451929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3.7899689177456439</v>
      </c>
      <c r="FS69" s="21">
        <f>EXP(-LN(2)/2)*FS68+(1-EXP(-LN(2)/2))/(LN(2)/2)*FM69*FP69*VLOOKUP('Données projet'!$B$16,Paramètres!$A$1:$I$89,3,0)*0.475*44/12</f>
        <v>4.1052087376480941E-5</v>
      </c>
      <c r="FT69" s="22">
        <f t="shared" si="78"/>
        <v>3.7900099698330205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4.0999999999999996</v>
      </c>
      <c r="FZ69" s="12">
        <f>IF('Données projet'!$A$244&gt;35,FZ68+FY69-GH68,IF(A69&lt;'Données projet'!$A$244,$FW$205^A69,IF(A69='Données projet'!$A$244,'Données projet'!$B$244,FZ68+FY69-GH68)))</f>
        <v>257.59999999999974</v>
      </c>
      <c r="GA69" s="17">
        <f>FZ69*VLOOKUP('Données projet'!$B$17,Paramètres!$A$1:$I$89,3,0)*VLOOKUP('Données projet'!$B$17,Paramètres!$A$1:$I$89,5,0)</f>
        <v>188.8723199999998</v>
      </c>
      <c r="GB69" s="13">
        <f t="shared" ref="GB69:GB132" si="103">EXP(-1.0587+0.8836*LN(GA69)+0.284)</f>
        <v>47.290552503862848</v>
      </c>
      <c r="GC69" s="20">
        <f t="shared" si="79"/>
        <v>411.3170029442274</v>
      </c>
      <c r="GD69" s="59">
        <f t="shared" si="80"/>
        <v>704.65033627756065</v>
      </c>
      <c r="GE69" s="59">
        <f ca="1">AVERAGE(OFFSET($GD$3,0,0,'Données projet'!$E$17+1,1))-AVERAGE(OFFSET($H$3,0,0,'Données projet'!$E$17+1,1))</f>
        <v>178.12968684094687</v>
      </c>
      <c r="GF69" s="59">
        <f t="shared" ref="GF69:GF132" si="104">$GF$3</f>
        <v>219.36004077210373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2.8337133491542534</v>
      </c>
      <c r="GN69" s="21">
        <f>EXP(-LN(2)/2)*GN68+(1-EXP(-LN(2)/2))/(LN(2)/2)*GH69*GK69*VLOOKUP('Données projet'!$B$17,Paramètres!$A$1:$I$89,3,0)*0.475*44/12</f>
        <v>3.7832315817541226E-5</v>
      </c>
      <c r="GO69" s="21">
        <f t="shared" si="81"/>
        <v>2.8337511814700709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4.0999999999999996</v>
      </c>
      <c r="GU69" s="12">
        <f>IF('Données projet'!$A$270&gt;35,GU68+GT69-HC68,IF(A69&lt;'Données projet'!$A$270,$GR$205^A69,IF(A69='Données projet'!$A$270,'Données projet'!$B$270,GU68+GT69-HC68)))</f>
        <v>257.59999999999974</v>
      </c>
      <c r="GV69" s="17">
        <f>GU69*VLOOKUP('Données projet'!$B$18,Paramètres!$A$1:$I$89,3,0)*VLOOKUP('Données projet'!$B$18,Paramètres!$A$1:$I$89,5,0)</f>
        <v>204.94655999999981</v>
      </c>
      <c r="GW69" s="13">
        <f t="shared" ref="GW69:GW132" si="105">EXP(-1.0587+0.8836*LN(GV69)+0.284)</f>
        <v>50.829721281867194</v>
      </c>
      <c r="GX69" s="20">
        <f t="shared" si="82"/>
        <v>445.477023232585</v>
      </c>
      <c r="GY69" s="59">
        <f t="shared" si="83"/>
        <v>738.81035656591826</v>
      </c>
      <c r="GZ69" s="59">
        <f ca="1">AVERAGE(OFFSET($GY$3,0,0,'Données projet'!$E$18+1,1))-AVERAGE(OFFSET($H$3,0,0,'Données projet'!$E$18+1,1))</f>
        <v>199.58763537752952</v>
      </c>
      <c r="HA69" s="59">
        <f t="shared" ref="HA69:HA132" si="106">$HA$3</f>
        <v>242.62852778451929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0</v>
      </c>
      <c r="HH69" s="21">
        <f>EXP(-LN(2)/25)*HH68+(1-EXP(-LN(2)/25))/(LN(2)/25)*Calculateur!HC69*Calculateur!HE69*VLOOKUP('Données projet'!$B$18,Paramètres!$A$1:$I$89,3,0)*0.475*44/12</f>
        <v>3.7899689177456439</v>
      </c>
      <c r="HI69" s="21">
        <f>EXP(-LN(2)/2)*HI68+(1-EXP(-LN(2)/2))/(LN(2)/2)*HC69*HF69*VLOOKUP('Données projet'!$B$18,Paramètres!$A$1:$I$89,3,0)*0.475*44/12</f>
        <v>4.1052087376480941E-5</v>
      </c>
      <c r="HJ69" s="22">
        <f t="shared" si="84"/>
        <v>3.7900099698330205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8.6875</v>
      </c>
      <c r="N70" s="13">
        <f>IF('Données projet'!$A$36&gt;35,N69+M70-V69,IF(A70&lt;'Données projet'!$A$36,$K$205^A70,IF(A70='Données projet'!$A$36,'Données projet'!$B$36,N69+M70-V69)))</f>
        <v>228.84134615384602</v>
      </c>
      <c r="O70" s="13">
        <f>N70*VLOOKUP('Données projet'!$B$9,Paramètres!$A$1:$I$89,3,0)*VLOOKUP('Données projet'!$B$9,Paramètres!$A$1:$I$89,5,0)</f>
        <v>207.05564999999984</v>
      </c>
      <c r="P70" s="13">
        <f t="shared" si="87"/>
        <v>51.291643354789841</v>
      </c>
      <c r="Q70" s="20">
        <f t="shared" si="54"/>
        <v>449.95486925959204</v>
      </c>
      <c r="R70" s="59">
        <f t="shared" si="55"/>
        <v>743.28820259292536</v>
      </c>
      <c r="S70" s="59">
        <f ca="1">AVERAGE(OFFSET($R$3,0,0,'Données projet'!$E$9+1,1))-AVERAGE(OFFSET($H$3,0,0,'Données projet'!$E$9+1,1))</f>
        <v>309.07357540707869</v>
      </c>
      <c r="T70" s="59">
        <f t="shared" si="88"/>
        <v>155.9593924683299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6.6995192307692264</v>
      </c>
      <c r="AI70" s="13">
        <f>IF('Données projet'!$A$62&gt;35,AI69+AH70-AQ69,IF(A70&lt;'Données projet'!$A$62,$AF$205^A70,IF(A70='Données projet'!$A$62,'Données projet'!$B$62,AI69+AH70-AQ69)))</f>
        <v>175.61618589743588</v>
      </c>
      <c r="AJ70" s="13">
        <f>AI70*VLOOKUP('Données projet'!$B$10,Paramètres!$A$1:$I$89,3,0)*VLOOKUP('Données projet'!$B$10,Paramètres!$A$1:$I$89,5,0)</f>
        <v>158.897525</v>
      </c>
      <c r="AK70" s="13">
        <f t="shared" si="89"/>
        <v>40.593749114952736</v>
      </c>
      <c r="AL70" s="20">
        <f t="shared" si="58"/>
        <v>347.44730241687603</v>
      </c>
      <c r="AM70" s="59">
        <f t="shared" si="59"/>
        <v>640.78063575020929</v>
      </c>
      <c r="AN70" s="59">
        <f ca="1">AVERAGE(OFFSET($AM$3,0,0,'Données projet'!$E$10+1,1))-AVERAGE(OFFSET($H$3,0,0,'Données projet'!$E$10+1,1))</f>
        <v>234.30804102916278</v>
      </c>
      <c r="AO70" s="59">
        <f t="shared" si="90"/>
        <v>91.137993288782411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13.737499999999997</v>
      </c>
      <c r="BD70" s="12">
        <f>IF('Données projet'!$A$88&gt;35,BD69+BC70-BL69,IF(A70&lt;'Données projet'!$A$88,$BA$205^A70,IF(A70='Données projet'!$A$88,'Données projet'!$B$88,BD69+BC70-BL69)))</f>
        <v>359.00384615384615</v>
      </c>
      <c r="BE70" s="13">
        <f>BD70*VLOOKUP('Données projet'!$B$11,Paramètres!$A$1:$I$89,3,0)*VLOOKUP('Données projet'!$B$11,Paramètres!$A$1:$I$89,5,0)</f>
        <v>168.0138</v>
      </c>
      <c r="BF70" s="13">
        <f t="shared" si="91"/>
        <v>42.644877049412187</v>
      </c>
      <c r="BG70" s="20">
        <f t="shared" si="61"/>
        <v>366.89719586105952</v>
      </c>
      <c r="BH70" s="59">
        <f t="shared" si="62"/>
        <v>660.23052919439283</v>
      </c>
      <c r="BI70" s="59">
        <f ca="1">AVERAGE(OFFSET($BH$3,0,0,'Données projet'!$E$11+1,1))-AVERAGE(OFFSET($H$3,0,0,'Données projet'!$E$11+1,1))</f>
        <v>158.58786357608489</v>
      </c>
      <c r="BJ70" s="59">
        <f t="shared" si="92"/>
        <v>163.20074068819849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10.314743589743586</v>
      </c>
      <c r="BY70" s="12">
        <f>IF('Données projet'!$A$114&gt;35,BY69+BX70-CG69,IF(A70&lt;'Données projet'!$A$114,$BV$205^A70,IF(A70='Données projet'!$A$114,'Données projet'!$B$114,BY69+BX70-CG69)))</f>
        <v>296.2423076923078</v>
      </c>
      <c r="BZ70" s="13">
        <f>BY70*VLOOKUP('Données projet'!$B$12,Paramètres!$A$1:$I$89,3,0)*VLOOKUP('Données projet'!$B$12,Paramètres!$A$1:$I$89,5,0)</f>
        <v>138.64140000000006</v>
      </c>
      <c r="CA70" s="13">
        <f t="shared" si="93"/>
        <v>35.985592892108897</v>
      </c>
      <c r="CB70" s="20">
        <f t="shared" si="64"/>
        <v>304.14201262042309</v>
      </c>
      <c r="CC70" s="59">
        <f t="shared" si="65"/>
        <v>597.47534595375646</v>
      </c>
      <c r="CD70" s="59">
        <f ca="1">AVERAGE(OFFSET($CC$3,0,0,'Données projet'!$E$12+1,1))-AVERAGE(OFFSET($H$3,0,0,'Données projet'!$E$12+1,1))</f>
        <v>123.2823358462245</v>
      </c>
      <c r="CE70" s="59">
        <f t="shared" si="94"/>
        <v>92.75115399786057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9.1830769230769249</v>
      </c>
      <c r="CT70" s="12">
        <f>IF('Données projet'!$A$140&gt;35,CT69+CS70-DB69,IF(A70&lt;'Données projet'!$A$140,$CQ$205^A70,IF(A70='Données projet'!$A$140,'Données projet'!$B$140,CT69+CS70-DB69)))</f>
        <v>352.44307692307677</v>
      </c>
      <c r="CU70" s="17">
        <f>CT70*VLOOKUP('Données projet'!$B$13,Paramètres!$A$1:$I$89,3,0)*VLOOKUP('Données projet'!$B$13,Paramètres!$A$1:$I$89,5,0)</f>
        <v>210.76095999999993</v>
      </c>
      <c r="CV70" s="13">
        <f t="shared" si="95"/>
        <v>52.101839581538208</v>
      </c>
      <c r="CW70" s="20">
        <f t="shared" si="67"/>
        <v>457.81937593784551</v>
      </c>
      <c r="CX70" s="59">
        <f t="shared" si="68"/>
        <v>751.15270927117876</v>
      </c>
      <c r="CY70" s="59">
        <f ca="1">AVERAGE(OFFSET($CX$3,0,0,'Données projet'!$E$13+1,1))-AVERAGE(OFFSET($H$3,0,0,'Données projet'!$E$13+1,1))</f>
        <v>179.32848817523677</v>
      </c>
      <c r="CZ70" s="59">
        <f t="shared" si="96"/>
        <v>131.3292389103035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4.7249106793205753</v>
      </c>
      <c r="DH70" s="21">
        <f>EXP(-LN(2)/2)*DH69+(1-EXP(-LN(2)/2))/(LN(2)/2)*DB70*DE70*VLOOKUP('Données projet'!$B$13,Paramètres!$A$1:$I$89,3,0)*0.475*44/12</f>
        <v>1.4196054936024755E-5</v>
      </c>
      <c r="DI70" s="22">
        <f t="shared" si="69"/>
        <v>4.7249248753755113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8.6875</v>
      </c>
      <c r="DO70" s="12">
        <f>IF('Données projet'!$A$166&gt;35,DO69+DN70-DW69,IF(A70&lt;'Données projet'!$A$166,$DL$205^A70,IF(A70='Données projet'!$A$166,'Données projet'!$B$166,DO69+DN70-DW69)))</f>
        <v>228.84134615384602</v>
      </c>
      <c r="DP70" s="17">
        <f>DO70*VLOOKUP('Données projet'!$B$14,Paramètres!$A$1:$I$89,3,0)*VLOOKUP('Données projet'!$B$14,Paramètres!$A$1:$I$89,5,0)</f>
        <v>221.33534999999989</v>
      </c>
      <c r="DQ70" s="13">
        <f t="shared" si="97"/>
        <v>54.405015148752099</v>
      </c>
      <c r="DR70" s="20">
        <f t="shared" si="70"/>
        <v>480.24780263407638</v>
      </c>
      <c r="DS70" s="59">
        <f t="shared" si="71"/>
        <v>773.58113596740964</v>
      </c>
      <c r="DT70" s="59">
        <f ca="1">AVERAGE(OFFSET($DS$3,0,0,'Données projet'!$E$14+1,1))-AVERAGE(OFFSET($H$3,0,0,'Données projet'!$E$14+1,1))</f>
        <v>340.4659523898373</v>
      </c>
      <c r="DU70" s="59">
        <f t="shared" si="98"/>
        <v>170.54530785680572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0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6.6995192307692264</v>
      </c>
      <c r="EJ70" s="12">
        <f>IF('Données projet'!$A$192&gt;35,EJ69+EI70-ER69,IF(A70&lt;'Données projet'!$A$192,$EG$205^A70,IF(A70='Données projet'!$A$192,'Données projet'!$B$192,EJ69+EI70-ER69)))</f>
        <v>175.61618589743588</v>
      </c>
      <c r="EK70" s="17">
        <f>EJ70*VLOOKUP('Données projet'!$B$15,Paramètres!$A$1:$I$89,3,0)*VLOOKUP('Données projet'!$B$15,Paramètres!$A$1:$I$89,5,0)</f>
        <v>169.855975</v>
      </c>
      <c r="EL70" s="13">
        <f t="shared" si="99"/>
        <v>43.057765185396462</v>
      </c>
      <c r="EM70" s="20">
        <f t="shared" si="73"/>
        <v>370.82476415623222</v>
      </c>
      <c r="EN70" s="59">
        <f t="shared" si="74"/>
        <v>664.15809748956553</v>
      </c>
      <c r="EO70" s="59">
        <f ca="1">AVERAGE(OFFSET($EN$3,0,0,'Données projet'!$E$15+1,1))-AVERAGE(OFFSET($H$3,0,0,'Données projet'!$E$15+1,1))</f>
        <v>262.20955982183017</v>
      </c>
      <c r="EP70" s="59">
        <f t="shared" si="100"/>
        <v>101.35842063036193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4.0999999999999996</v>
      </c>
      <c r="FE70" s="12">
        <f>IF('Données projet'!$A$218&gt;35,FE69+FD70-FM69,IF(A70&lt;'Données projet'!$A$218,$FB$205^A70,IF(A70='Données projet'!$A$218,'Données projet'!$B$218,FE69+FD70-FM69)))</f>
        <v>261.69999999999976</v>
      </c>
      <c r="FF70" s="17">
        <f>FE70*VLOOKUP('Données projet'!$B$16,Paramètres!$A$1:$I$89,3,0)*VLOOKUP('Données projet'!$B$16,Paramètres!$A$1:$I$89,5,0)</f>
        <v>208.20851999999979</v>
      </c>
      <c r="FG70" s="13">
        <f t="shared" si="101"/>
        <v>51.543907255547111</v>
      </c>
      <c r="FH70" s="20">
        <f t="shared" si="76"/>
        <v>452.40214413674408</v>
      </c>
      <c r="FI70" s="59">
        <f t="shared" si="77"/>
        <v>745.7354774700774</v>
      </c>
      <c r="FJ70" s="59">
        <f ca="1">AVERAGE(OFFSET($FI$3,0,0,'Données projet'!$E$16+1,1))-AVERAGE(OFFSET($H$3,0,0,'Données projet'!$E$16+1,1))</f>
        <v>199.58763537752952</v>
      </c>
      <c r="FK70" s="59">
        <f t="shared" si="102"/>
        <v>242.62852778451929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3.686332018384086</v>
      </c>
      <c r="FS70" s="21">
        <f>EXP(-LN(2)/2)*FS69+(1-EXP(-LN(2)/2))/(LN(2)/2)*FM70*FP70*VLOOKUP('Données projet'!$B$16,Paramètres!$A$1:$I$89,3,0)*0.475*44/12</f>
        <v>2.9028209365772339E-5</v>
      </c>
      <c r="FT70" s="22">
        <f t="shared" si="78"/>
        <v>3.6863610465934515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4.0999999999999996</v>
      </c>
      <c r="FZ70" s="12">
        <f>IF('Données projet'!$A$244&gt;35,FZ69+FY70-GH69,IF(A70&lt;'Données projet'!$A$244,$FW$205^A70,IF(A70='Données projet'!$A$244,'Données projet'!$B$244,FZ69+FY70-GH69)))</f>
        <v>261.69999999999976</v>
      </c>
      <c r="GA70" s="17">
        <f>FZ70*VLOOKUP('Données projet'!$B$17,Paramètres!$A$1:$I$89,3,0)*VLOOKUP('Données projet'!$B$17,Paramètres!$A$1:$I$89,5,0)</f>
        <v>191.87843999999981</v>
      </c>
      <c r="GB70" s="13">
        <f t="shared" si="103"/>
        <v>47.955011179497546</v>
      </c>
      <c r="GC70" s="20">
        <f t="shared" si="79"/>
        <v>417.70992747095789</v>
      </c>
      <c r="GD70" s="59">
        <f t="shared" si="80"/>
        <v>711.04326080429121</v>
      </c>
      <c r="GE70" s="59">
        <f ca="1">AVERAGE(OFFSET($GD$3,0,0,'Données projet'!$E$17+1,1))-AVERAGE(OFFSET($H$3,0,0,'Données projet'!$E$17+1,1))</f>
        <v>178.12968684094687</v>
      </c>
      <c r="GF70" s="59">
        <f t="shared" si="104"/>
        <v>219.36004077210373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2.7562253086031219</v>
      </c>
      <c r="GN70" s="21">
        <f>EXP(-LN(2)/2)*GN69+(1-EXP(-LN(2)/2))/(LN(2)/2)*GH70*GK70*VLOOKUP('Données projet'!$B$17,Paramètres!$A$1:$I$89,3,0)*0.475*44/12</f>
        <v>2.6751487062574485E-5</v>
      </c>
      <c r="GO70" s="21">
        <f t="shared" si="81"/>
        <v>2.7562520600901843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4.0999999999999996</v>
      </c>
      <c r="GU70" s="12">
        <f>IF('Données projet'!$A$270&gt;35,GU69+GT70-HC69,IF(A70&lt;'Données projet'!$A$270,$GR$205^A70,IF(A70='Données projet'!$A$270,'Données projet'!$B$270,GU69+GT70-HC69)))</f>
        <v>261.69999999999976</v>
      </c>
      <c r="GV70" s="17">
        <f>GU70*VLOOKUP('Données projet'!$B$18,Paramètres!$A$1:$I$89,3,0)*VLOOKUP('Données projet'!$B$18,Paramètres!$A$1:$I$89,5,0)</f>
        <v>208.20851999999979</v>
      </c>
      <c r="GW70" s="13">
        <f t="shared" si="105"/>
        <v>51.543907255547111</v>
      </c>
      <c r="GX70" s="20">
        <f t="shared" si="82"/>
        <v>452.40214413674408</v>
      </c>
      <c r="GY70" s="59">
        <f t="shared" si="83"/>
        <v>745.7354774700774</v>
      </c>
      <c r="GZ70" s="59">
        <f ca="1">AVERAGE(OFFSET($GY$3,0,0,'Données projet'!$E$18+1,1))-AVERAGE(OFFSET($H$3,0,0,'Données projet'!$E$18+1,1))</f>
        <v>199.58763537752952</v>
      </c>
      <c r="HA70" s="59">
        <f t="shared" si="106"/>
        <v>242.62852778451929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0</v>
      </c>
      <c r="HH70" s="21">
        <f>EXP(-LN(2)/25)*HH69+(1-EXP(-LN(2)/25))/(LN(2)/25)*Calculateur!HC70*Calculateur!HE70*VLOOKUP('Données projet'!$B$18,Paramètres!$A$1:$I$89,3,0)*0.475*44/12</f>
        <v>3.686332018384086</v>
      </c>
      <c r="HI70" s="21">
        <f>EXP(-LN(2)/2)*HI69+(1-EXP(-LN(2)/2))/(LN(2)/2)*HC70*HF70*VLOOKUP('Données projet'!$B$18,Paramètres!$A$1:$I$89,3,0)*0.475*44/12</f>
        <v>2.9028209365772339E-5</v>
      </c>
      <c r="HJ70" s="22">
        <f t="shared" si="84"/>
        <v>3.6863610465934515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8.6875</v>
      </c>
      <c r="N71" s="13">
        <f>IF('Données projet'!$A$36&gt;35,N70+M71-V70,IF(A71&lt;'Données projet'!$A$36,$K$205^A71,IF(A71='Données projet'!$A$36,'Données projet'!$B$36,N70+M71-V70)))</f>
        <v>237.52884615384602</v>
      </c>
      <c r="O71" s="13">
        <f>N71*VLOOKUP('Données projet'!$B$9,Paramètres!$A$1:$I$89,3,0)*VLOOKUP('Données projet'!$B$9,Paramètres!$A$1:$I$89,5,0)</f>
        <v>214.91609999999989</v>
      </c>
      <c r="P71" s="13">
        <f t="shared" si="87"/>
        <v>53.008426149576081</v>
      </c>
      <c r="Q71" s="20">
        <f t="shared" si="54"/>
        <v>466.6352163771781</v>
      </c>
      <c r="R71" s="59">
        <f t="shared" si="55"/>
        <v>759.96854971051141</v>
      </c>
      <c r="S71" s="59">
        <f ca="1">AVERAGE(OFFSET($R$3,0,0,'Données projet'!$E$9+1,1))-AVERAGE(OFFSET($H$3,0,0,'Données projet'!$E$9+1,1))</f>
        <v>309.07357540707869</v>
      </c>
      <c r="T71" s="59">
        <f t="shared" si="88"/>
        <v>155.9593924683299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6.6995192307692264</v>
      </c>
      <c r="AI71" s="13">
        <f>IF('Données projet'!$A$62&gt;35,AI70+AH71-AQ70,IF(A71&lt;'Données projet'!$A$62,$AF$205^A71,IF(A71='Données projet'!$A$62,'Données projet'!$B$62,AI70+AH71-AQ70)))</f>
        <v>182.31570512820511</v>
      </c>
      <c r="AJ71" s="13">
        <f>AI71*VLOOKUP('Données projet'!$B$10,Paramètres!$A$1:$I$89,3,0)*VLOOKUP('Données projet'!$B$10,Paramètres!$A$1:$I$89,5,0)</f>
        <v>164.95925</v>
      </c>
      <c r="AK71" s="13">
        <f t="shared" si="89"/>
        <v>41.959093163339766</v>
      </c>
      <c r="AL71" s="20">
        <f t="shared" si="58"/>
        <v>360.38278100948338</v>
      </c>
      <c r="AM71" s="59">
        <f t="shared" si="59"/>
        <v>653.7161143428167</v>
      </c>
      <c r="AN71" s="59">
        <f ca="1">AVERAGE(OFFSET($AM$3,0,0,'Données projet'!$E$10+1,1))-AVERAGE(OFFSET($H$3,0,0,'Données projet'!$E$10+1,1))</f>
        <v>234.30804102916278</v>
      </c>
      <c r="AO71" s="59">
        <f t="shared" si="90"/>
        <v>91.137993288782411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13.737499999999997</v>
      </c>
      <c r="BD71" s="12">
        <f>IF('Données projet'!$A$88&gt;35,BD70+BC71-BL70,IF(A71&lt;'Données projet'!$A$88,$BA$205^A71,IF(A71='Données projet'!$A$88,'Données projet'!$B$88,BD70+BC71-BL70)))</f>
        <v>372.74134615384617</v>
      </c>
      <c r="BE71" s="13">
        <f>BD71*VLOOKUP('Données projet'!$B$11,Paramètres!$A$1:$I$89,3,0)*VLOOKUP('Données projet'!$B$11,Paramètres!$A$1:$I$89,5,0)</f>
        <v>174.44295000000002</v>
      </c>
      <c r="BF71" s="13">
        <f t="shared" si="91"/>
        <v>44.083597545116064</v>
      </c>
      <c r="BG71" s="20">
        <f t="shared" si="61"/>
        <v>380.60040364107721</v>
      </c>
      <c r="BH71" s="59">
        <f t="shared" si="62"/>
        <v>673.93373697441052</v>
      </c>
      <c r="BI71" s="59">
        <f ca="1">AVERAGE(OFFSET($BH$3,0,0,'Données projet'!$E$11+1,1))-AVERAGE(OFFSET($H$3,0,0,'Données projet'!$E$11+1,1))</f>
        <v>158.58786357608489</v>
      </c>
      <c r="BJ71" s="59">
        <f t="shared" si="92"/>
        <v>163.20074068819849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10.314743589743586</v>
      </c>
      <c r="BY71" s="12">
        <f>IF('Données projet'!$A$114&gt;35,BY70+BX71-CG70,IF(A71&lt;'Données projet'!$A$114,$BV$205^A71,IF(A71='Données projet'!$A$114,'Données projet'!$B$114,BY70+BX71-CG70)))</f>
        <v>306.55705128205136</v>
      </c>
      <c r="BZ71" s="13">
        <f>BY71*VLOOKUP('Données projet'!$B$12,Paramètres!$A$1:$I$89,3,0)*VLOOKUP('Données projet'!$B$12,Paramètres!$A$1:$I$89,5,0)</f>
        <v>143.46870000000004</v>
      </c>
      <c r="CA71" s="13">
        <f t="shared" si="93"/>
        <v>37.090500536695608</v>
      </c>
      <c r="CB71" s="20">
        <f t="shared" si="64"/>
        <v>314.47394093474492</v>
      </c>
      <c r="CC71" s="59">
        <f t="shared" si="65"/>
        <v>607.80727426807823</v>
      </c>
      <c r="CD71" s="59">
        <f ca="1">AVERAGE(OFFSET($CC$3,0,0,'Données projet'!$E$12+1,1))-AVERAGE(OFFSET($H$3,0,0,'Données projet'!$E$12+1,1))</f>
        <v>123.2823358462245</v>
      </c>
      <c r="CE71" s="59">
        <f t="shared" si="94"/>
        <v>92.75115399786057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9.1830769230769249</v>
      </c>
      <c r="CT71" s="12">
        <f>IF('Données projet'!$A$140&gt;35,CT70+CS71-DB70,IF(A71&lt;'Données projet'!$A$140,$CQ$205^A71,IF(A71='Données projet'!$A$140,'Données projet'!$B$140,CT70+CS71-DB70)))</f>
        <v>361.62615384615367</v>
      </c>
      <c r="CU71" s="17">
        <f>CT71*VLOOKUP('Données projet'!$B$13,Paramètres!$A$1:$I$89,3,0)*VLOOKUP('Données projet'!$B$13,Paramètres!$A$1:$I$89,5,0)</f>
        <v>216.25243999999989</v>
      </c>
      <c r="CV71" s="13">
        <f t="shared" si="95"/>
        <v>53.299559396285737</v>
      </c>
      <c r="CW71" s="20">
        <f t="shared" si="67"/>
        <v>469.46973228186403</v>
      </c>
      <c r="CX71" s="59">
        <f t="shared" si="68"/>
        <v>762.80306561519728</v>
      </c>
      <c r="CY71" s="59">
        <f ca="1">AVERAGE(OFFSET($CX$3,0,0,'Données projet'!$E$13+1,1))-AVERAGE(OFFSET($H$3,0,0,'Données projet'!$E$13+1,1))</f>
        <v>179.32848817523677</v>
      </c>
      <c r="CZ71" s="59">
        <f t="shared" si="96"/>
        <v>131.3292389103035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4.5957077483223001</v>
      </c>
      <c r="DH71" s="21">
        <f>EXP(-LN(2)/2)*DH70+(1-EXP(-LN(2)/2))/(LN(2)/2)*DB71*DE71*VLOOKUP('Données projet'!$B$13,Paramètres!$A$1:$I$89,3,0)*0.475*44/12</f>
        <v>1.0038126711359864E-5</v>
      </c>
      <c r="DI71" s="22">
        <f t="shared" si="69"/>
        <v>4.5957177864490113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8.6875</v>
      </c>
      <c r="DO71" s="12">
        <f>IF('Données projet'!$A$166&gt;35,DO70+DN71-DW70,IF(A71&lt;'Données projet'!$A$166,$DL$205^A71,IF(A71='Données projet'!$A$166,'Données projet'!$B$166,DO70+DN71-DW70)))</f>
        <v>237.52884615384602</v>
      </c>
      <c r="DP71" s="17">
        <f>DO71*VLOOKUP('Données projet'!$B$14,Paramètres!$A$1:$I$89,3,0)*VLOOKUP('Données projet'!$B$14,Paramètres!$A$1:$I$89,5,0)</f>
        <v>229.73789999999988</v>
      </c>
      <c r="DQ71" s="13">
        <f t="shared" si="97"/>
        <v>56.226005622997405</v>
      </c>
      <c r="DR71" s="20">
        <f t="shared" si="70"/>
        <v>498.05380229338692</v>
      </c>
      <c r="DS71" s="59">
        <f t="shared" si="71"/>
        <v>791.38713562672024</v>
      </c>
      <c r="DT71" s="59">
        <f ca="1">AVERAGE(OFFSET($DS$3,0,0,'Données projet'!$E$14+1,1))-AVERAGE(OFFSET($H$3,0,0,'Données projet'!$E$14+1,1))</f>
        <v>340.4659523898373</v>
      </c>
      <c r="DU71" s="59">
        <f t="shared" si="98"/>
        <v>170.54530785680572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0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6.6995192307692264</v>
      </c>
      <c r="EJ71" s="12">
        <f>IF('Données projet'!$A$192&gt;35,EJ70+EI71-ER70,IF(A71&lt;'Données projet'!$A$192,$EG$205^A71,IF(A71='Données projet'!$A$192,'Données projet'!$B$192,EJ70+EI71-ER70)))</f>
        <v>182.31570512820511</v>
      </c>
      <c r="EK71" s="17">
        <f>EJ71*VLOOKUP('Données projet'!$B$15,Paramètres!$A$1:$I$89,3,0)*VLOOKUP('Données projet'!$B$15,Paramètres!$A$1:$I$89,5,0)</f>
        <v>176.33574999999999</v>
      </c>
      <c r="EL71" s="13">
        <f t="shared" si="99"/>
        <v>44.505984793451198</v>
      </c>
      <c r="EM71" s="20">
        <f t="shared" si="73"/>
        <v>384.63268809859414</v>
      </c>
      <c r="EN71" s="59">
        <f t="shared" si="74"/>
        <v>677.9660214319274</v>
      </c>
      <c r="EO71" s="59">
        <f ca="1">AVERAGE(OFFSET($EN$3,0,0,'Données projet'!$E$15+1,1))-AVERAGE(OFFSET($H$3,0,0,'Données projet'!$E$15+1,1))</f>
        <v>262.20955982183017</v>
      </c>
      <c r="EP71" s="59">
        <f t="shared" si="100"/>
        <v>101.35842063036193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4.0999999999999996</v>
      </c>
      <c r="FE71" s="12">
        <f>IF('Données projet'!$A$218&gt;35,FE70+FD71-FM70,IF(A71&lt;'Données projet'!$A$218,$FB$205^A71,IF(A71='Données projet'!$A$218,'Données projet'!$B$218,FE70+FD71-FM70)))</f>
        <v>265.79999999999978</v>
      </c>
      <c r="FF71" s="17">
        <f>FE71*VLOOKUP('Données projet'!$B$16,Paramètres!$A$1:$I$89,3,0)*VLOOKUP('Données projet'!$B$16,Paramètres!$A$1:$I$89,5,0)</f>
        <v>211.47047999999981</v>
      </c>
      <c r="FG71" s="13">
        <f t="shared" si="101"/>
        <v>52.256791959630746</v>
      </c>
      <c r="FH71" s="20">
        <f t="shared" si="76"/>
        <v>459.32499866302322</v>
      </c>
      <c r="FI71" s="59">
        <f t="shared" si="77"/>
        <v>752.65833199635654</v>
      </c>
      <c r="FJ71" s="59">
        <f ca="1">AVERAGE(OFFSET($FI$3,0,0,'Données projet'!$E$16+1,1))-AVERAGE(OFFSET($H$3,0,0,'Données projet'!$E$16+1,1))</f>
        <v>199.58763537752952</v>
      </c>
      <c r="FK71" s="59">
        <f t="shared" si="102"/>
        <v>242.62852778451929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3.5855290754855975</v>
      </c>
      <c r="FS71" s="21">
        <f>EXP(-LN(2)/2)*FS70+(1-EXP(-LN(2)/2))/(LN(2)/2)*FM71*FP71*VLOOKUP('Données projet'!$B$16,Paramètres!$A$1:$I$89,3,0)*0.475*44/12</f>
        <v>2.0526043688240471E-5</v>
      </c>
      <c r="FT71" s="22">
        <f t="shared" si="78"/>
        <v>3.5855496015292858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4.0999999999999996</v>
      </c>
      <c r="FZ71" s="12">
        <f>IF('Données projet'!$A$244&gt;35,FZ70+FY71-GH70,IF(A71&lt;'Données projet'!$A$244,$FW$205^A71,IF(A71='Données projet'!$A$244,'Données projet'!$B$244,FZ70+FY71-GH70)))</f>
        <v>265.79999999999978</v>
      </c>
      <c r="GA71" s="17">
        <f>FZ71*VLOOKUP('Données projet'!$B$17,Paramètres!$A$1:$I$89,3,0)*VLOOKUP('Données projet'!$B$17,Paramètres!$A$1:$I$89,5,0)</f>
        <v>194.88455999999982</v>
      </c>
      <c r="GB71" s="13">
        <f t="shared" si="103"/>
        <v>48.618259190257277</v>
      </c>
      <c r="GC71" s="20">
        <f t="shared" si="79"/>
        <v>424.10074342303113</v>
      </c>
      <c r="GD71" s="59">
        <f t="shared" si="80"/>
        <v>717.43407675636445</v>
      </c>
      <c r="GE71" s="59">
        <f ca="1">AVERAGE(OFFSET($GD$3,0,0,'Données projet'!$E$17+1,1))-AVERAGE(OFFSET($H$3,0,0,'Données projet'!$E$17+1,1))</f>
        <v>178.12968684094687</v>
      </c>
      <c r="GF71" s="59">
        <f t="shared" si="104"/>
        <v>219.36004077210373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2.6808561825957802</v>
      </c>
      <c r="GN71" s="21">
        <f>EXP(-LN(2)/2)*GN70+(1-EXP(-LN(2)/2))/(LN(2)/2)*GH71*GK71*VLOOKUP('Données projet'!$B$17,Paramètres!$A$1:$I$89,3,0)*0.475*44/12</f>
        <v>1.8916157908770613E-5</v>
      </c>
      <c r="GO71" s="21">
        <f t="shared" si="81"/>
        <v>2.6808750987536891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4.0999999999999996</v>
      </c>
      <c r="GU71" s="12">
        <f>IF('Données projet'!$A$270&gt;35,GU70+GT71-HC70,IF(A71&lt;'Données projet'!$A$270,$GR$205^A71,IF(A71='Données projet'!$A$270,'Données projet'!$B$270,GU70+GT71-HC70)))</f>
        <v>265.79999999999978</v>
      </c>
      <c r="GV71" s="17">
        <f>GU71*VLOOKUP('Données projet'!$B$18,Paramètres!$A$1:$I$89,3,0)*VLOOKUP('Données projet'!$B$18,Paramètres!$A$1:$I$89,5,0)</f>
        <v>211.47047999999981</v>
      </c>
      <c r="GW71" s="13">
        <f t="shared" si="105"/>
        <v>52.256791959630746</v>
      </c>
      <c r="GX71" s="20">
        <f t="shared" si="82"/>
        <v>459.32499866302322</v>
      </c>
      <c r="GY71" s="59">
        <f t="shared" si="83"/>
        <v>752.65833199635654</v>
      </c>
      <c r="GZ71" s="59">
        <f ca="1">AVERAGE(OFFSET($GY$3,0,0,'Données projet'!$E$18+1,1))-AVERAGE(OFFSET($H$3,0,0,'Données projet'!$E$18+1,1))</f>
        <v>199.58763537752952</v>
      </c>
      <c r="HA71" s="59">
        <f t="shared" si="106"/>
        <v>242.62852778451929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0</v>
      </c>
      <c r="HH71" s="21">
        <f>EXP(-LN(2)/25)*HH70+(1-EXP(-LN(2)/25))/(LN(2)/25)*Calculateur!HC71*Calculateur!HE71*VLOOKUP('Données projet'!$B$18,Paramètres!$A$1:$I$89,3,0)*0.475*44/12</f>
        <v>3.5855290754855975</v>
      </c>
      <c r="HI71" s="21">
        <f>EXP(-LN(2)/2)*HI70+(1-EXP(-LN(2)/2))/(LN(2)/2)*HC71*HF71*VLOOKUP('Données projet'!$B$18,Paramètres!$A$1:$I$89,3,0)*0.475*44/12</f>
        <v>2.0526043688240471E-5</v>
      </c>
      <c r="HJ71" s="22">
        <f t="shared" si="84"/>
        <v>3.5855496015292858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8.6875</v>
      </c>
      <c r="N72" s="13">
        <f>IF('Données projet'!$A$36&gt;35,N71+M72-V71,IF(A72&lt;'Données projet'!$A$36,$K$205^A72,IF(A72='Données projet'!$A$36,'Données projet'!$B$36,N71+M72-V71)))</f>
        <v>246.21634615384602</v>
      </c>
      <c r="O72" s="13">
        <f>N72*VLOOKUP('Données projet'!$B$9,Paramètres!$A$1:$I$89,3,0)*VLOOKUP('Données projet'!$B$9,Paramètres!$A$1:$I$89,5,0)</f>
        <v>222.77654999999987</v>
      </c>
      <c r="P72" s="13">
        <f t="shared" si="87"/>
        <v>54.717913950141721</v>
      </c>
      <c r="Q72" s="20">
        <f t="shared" si="54"/>
        <v>483.30285804649662</v>
      </c>
      <c r="R72" s="59">
        <f t="shared" si="55"/>
        <v>776.63619137982994</v>
      </c>
      <c r="S72" s="59">
        <f ca="1">AVERAGE(OFFSET($R$3,0,0,'Données projet'!$E$9+1,1))-AVERAGE(OFFSET($H$3,0,0,'Données projet'!$E$9+1,1))</f>
        <v>309.07357540707869</v>
      </c>
      <c r="T72" s="59">
        <f t="shared" si="88"/>
        <v>155.9593924683299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6.6995192307692264</v>
      </c>
      <c r="AI72" s="13">
        <f>IF('Données projet'!$A$62&gt;35,AI71+AH72-AQ71,IF(A72&lt;'Données projet'!$A$62,$AF$205^A72,IF(A72='Données projet'!$A$62,'Données projet'!$B$62,AI71+AH72-AQ71)))</f>
        <v>189.01522435897434</v>
      </c>
      <c r="AJ72" s="13">
        <f>AI72*VLOOKUP('Données projet'!$B$10,Paramètres!$A$1:$I$89,3,0)*VLOOKUP('Données projet'!$B$10,Paramètres!$A$1:$I$89,5,0)</f>
        <v>171.02097499999996</v>
      </c>
      <c r="AK72" s="13">
        <f t="shared" si="89"/>
        <v>43.318608274033636</v>
      </c>
      <c r="AL72" s="20">
        <f t="shared" si="58"/>
        <v>373.30810753560849</v>
      </c>
      <c r="AM72" s="59">
        <f t="shared" si="59"/>
        <v>666.6414408689418</v>
      </c>
      <c r="AN72" s="59">
        <f ca="1">AVERAGE(OFFSET($AM$3,0,0,'Données projet'!$E$10+1,1))-AVERAGE(OFFSET($H$3,0,0,'Données projet'!$E$10+1,1))</f>
        <v>234.30804102916278</v>
      </c>
      <c r="AO72" s="59">
        <f t="shared" si="90"/>
        <v>91.137993288782411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13.737499999999997</v>
      </c>
      <c r="BD72" s="12">
        <f>IF('Données projet'!$A$88&gt;35,BD71+BC72-BL71,IF(A72&lt;'Données projet'!$A$88,$BA$205^A72,IF(A72='Données projet'!$A$88,'Données projet'!$B$88,BD71+BC72-BL71)))</f>
        <v>386.47884615384618</v>
      </c>
      <c r="BE72" s="13">
        <f>BD72*VLOOKUP('Données projet'!$B$11,Paramètres!$A$1:$I$89,3,0)*VLOOKUP('Données projet'!$B$11,Paramètres!$A$1:$I$89,5,0)</f>
        <v>180.87209999999999</v>
      </c>
      <c r="BF72" s="13">
        <f t="shared" si="91"/>
        <v>45.516157736157588</v>
      </c>
      <c r="BG72" s="20">
        <f t="shared" si="61"/>
        <v>394.29288222380774</v>
      </c>
      <c r="BH72" s="59">
        <f t="shared" si="62"/>
        <v>687.62621555714099</v>
      </c>
      <c r="BI72" s="59">
        <f ca="1">AVERAGE(OFFSET($BH$3,0,0,'Données projet'!$E$11+1,1))-AVERAGE(OFFSET($H$3,0,0,'Données projet'!$E$11+1,1))</f>
        <v>158.58786357608489</v>
      </c>
      <c r="BJ72" s="59">
        <f t="shared" si="92"/>
        <v>163.20074068819849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10.314743589743586</v>
      </c>
      <c r="BY72" s="12">
        <f>IF('Données projet'!$A$114&gt;35,BY71+BX72-CG71,IF(A72&lt;'Données projet'!$A$114,$BV$205^A72,IF(A72='Données projet'!$A$114,'Données projet'!$B$114,BY71+BX72-CG71)))</f>
        <v>316.87179487179492</v>
      </c>
      <c r="BZ72" s="13">
        <f>BY72*VLOOKUP('Données projet'!$B$12,Paramètres!$A$1:$I$89,3,0)*VLOOKUP('Données projet'!$B$12,Paramètres!$A$1:$I$89,5,0)</f>
        <v>148.29600000000002</v>
      </c>
      <c r="CA72" s="13">
        <f t="shared" si="93"/>
        <v>38.19108839282633</v>
      </c>
      <c r="CB72" s="20">
        <f t="shared" si="64"/>
        <v>324.7983456175059</v>
      </c>
      <c r="CC72" s="59">
        <f t="shared" si="65"/>
        <v>618.13167895083916</v>
      </c>
      <c r="CD72" s="59">
        <f ca="1">AVERAGE(OFFSET($CC$3,0,0,'Données projet'!$E$12+1,1))-AVERAGE(OFFSET($H$3,0,0,'Données projet'!$E$12+1,1))</f>
        <v>123.2823358462245</v>
      </c>
      <c r="CE72" s="59">
        <f t="shared" si="94"/>
        <v>92.75115399786057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9.1830769230769249</v>
      </c>
      <c r="CT72" s="12">
        <f>IF('Données projet'!$A$140&gt;35,CT71+CS72-DB71,IF(A72&lt;'Données projet'!$A$140,$CQ$205^A72,IF(A72='Données projet'!$A$140,'Données projet'!$B$140,CT71+CS72-DB71)))</f>
        <v>370.80923076923057</v>
      </c>
      <c r="CU72" s="17">
        <f>CT72*VLOOKUP('Données projet'!$B$13,Paramètres!$A$1:$I$89,3,0)*VLOOKUP('Données projet'!$B$13,Paramètres!$A$1:$I$89,5,0)</f>
        <v>221.74391999999989</v>
      </c>
      <c r="CV72" s="13">
        <f t="shared" si="95"/>
        <v>54.493743764780973</v>
      </c>
      <c r="CW72" s="20">
        <f t="shared" si="67"/>
        <v>481.11393105699329</v>
      </c>
      <c r="CX72" s="59">
        <f t="shared" si="68"/>
        <v>774.44726439032661</v>
      </c>
      <c r="CY72" s="59">
        <f ca="1">AVERAGE(OFFSET($CX$3,0,0,'Données projet'!$E$13+1,1))-AVERAGE(OFFSET($H$3,0,0,'Données projet'!$E$13+1,1))</f>
        <v>179.32848817523677</v>
      </c>
      <c r="CZ72" s="59">
        <f t="shared" si="96"/>
        <v>131.3292389103035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4.4700378782666599</v>
      </c>
      <c r="DH72" s="21">
        <f>EXP(-LN(2)/2)*DH71+(1-EXP(-LN(2)/2))/(LN(2)/2)*DB72*DE72*VLOOKUP('Données projet'!$B$13,Paramètres!$A$1:$I$89,3,0)*0.475*44/12</f>
        <v>7.0980274680123774E-6</v>
      </c>
      <c r="DI72" s="22">
        <f t="shared" si="69"/>
        <v>4.4700449762941279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8.6875</v>
      </c>
      <c r="DO72" s="12">
        <f>IF('Données projet'!$A$166&gt;35,DO71+DN72-DW71,IF(A72&lt;'Données projet'!$A$166,$DL$205^A72,IF(A72='Données projet'!$A$166,'Données projet'!$B$166,DO71+DN72-DW71)))</f>
        <v>246.21634615384602</v>
      </c>
      <c r="DP72" s="17">
        <f>DO72*VLOOKUP('Données projet'!$B$14,Paramètres!$A$1:$I$89,3,0)*VLOOKUP('Données projet'!$B$14,Paramètres!$A$1:$I$89,5,0)</f>
        <v>238.14044999999987</v>
      </c>
      <c r="DQ72" s="13">
        <f t="shared" si="97"/>
        <v>58.039258301276</v>
      </c>
      <c r="DR72" s="20">
        <f t="shared" si="70"/>
        <v>515.84632529138878</v>
      </c>
      <c r="DS72" s="59">
        <f t="shared" si="71"/>
        <v>809.17965862472215</v>
      </c>
      <c r="DT72" s="59">
        <f ca="1">AVERAGE(OFFSET($DS$3,0,0,'Données projet'!$E$14+1,1))-AVERAGE(OFFSET($H$3,0,0,'Données projet'!$E$14+1,1))</f>
        <v>340.4659523898373</v>
      </c>
      <c r="DU72" s="59">
        <f t="shared" si="98"/>
        <v>170.54530785680572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0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6.6995192307692264</v>
      </c>
      <c r="EJ72" s="12">
        <f>IF('Données projet'!$A$192&gt;35,EJ71+EI72-ER71,IF(A72&lt;'Données projet'!$A$192,$EG$205^A72,IF(A72='Données projet'!$A$192,'Données projet'!$B$192,EJ71+EI72-ER71)))</f>
        <v>189.01522435897434</v>
      </c>
      <c r="EK72" s="17">
        <f>EJ72*VLOOKUP('Données projet'!$B$15,Paramètres!$A$1:$I$89,3,0)*VLOOKUP('Données projet'!$B$15,Paramètres!$A$1:$I$89,5,0)</f>
        <v>182.81552499999998</v>
      </c>
      <c r="EL72" s="13">
        <f t="shared" si="99"/>
        <v>45.948021650812883</v>
      </c>
      <c r="EM72" s="20">
        <f t="shared" si="73"/>
        <v>398.42984375016573</v>
      </c>
      <c r="EN72" s="59">
        <f t="shared" si="74"/>
        <v>691.76317708349904</v>
      </c>
      <c r="EO72" s="59">
        <f ca="1">AVERAGE(OFFSET($EN$3,0,0,'Données projet'!$E$15+1,1))-AVERAGE(OFFSET($H$3,0,0,'Données projet'!$E$15+1,1))</f>
        <v>262.20955982183017</v>
      </c>
      <c r="EP72" s="59">
        <f t="shared" si="100"/>
        <v>101.35842063036193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4.0999999999999996</v>
      </c>
      <c r="FE72" s="12">
        <f>IF('Données projet'!$A$218&gt;35,FE71+FD72-FM71,IF(A72&lt;'Données projet'!$A$218,$FB$205^A72,IF(A72='Données projet'!$A$218,'Données projet'!$B$218,FE71+FD72-FM71)))</f>
        <v>269.89999999999981</v>
      </c>
      <c r="FF72" s="17">
        <f>FE72*VLOOKUP('Données projet'!$B$16,Paramètres!$A$1:$I$89,3,0)*VLOOKUP('Données projet'!$B$16,Paramètres!$A$1:$I$89,5,0)</f>
        <v>214.73243999999988</v>
      </c>
      <c r="FG72" s="13">
        <f t="shared" si="101"/>
        <v>52.968397784466582</v>
      </c>
      <c r="FH72" s="20">
        <f t="shared" si="76"/>
        <v>466.24562580794571</v>
      </c>
      <c r="FI72" s="59">
        <f t="shared" si="77"/>
        <v>759.57895914127903</v>
      </c>
      <c r="FJ72" s="59">
        <f ca="1">AVERAGE(OFFSET($FI$3,0,0,'Données projet'!$E$16+1,1))-AVERAGE(OFFSET($H$3,0,0,'Données projet'!$E$16+1,1))</f>
        <v>199.58763537752952</v>
      </c>
      <c r="FK72" s="59">
        <f t="shared" si="102"/>
        <v>242.62852778451929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3.4874825943616647</v>
      </c>
      <c r="FS72" s="21">
        <f>EXP(-LN(2)/2)*FS71+(1-EXP(-LN(2)/2))/(LN(2)/2)*FM72*FP72*VLOOKUP('Données projet'!$B$16,Paramètres!$A$1:$I$89,3,0)*0.475*44/12</f>
        <v>1.451410468288617E-5</v>
      </c>
      <c r="FT72" s="22">
        <f t="shared" si="78"/>
        <v>3.4874971084663478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4.0999999999999996</v>
      </c>
      <c r="FZ72" s="12">
        <f>IF('Données projet'!$A$244&gt;35,FZ71+FY72-GH71,IF(A72&lt;'Données projet'!$A$244,$FW$205^A72,IF(A72='Données projet'!$A$244,'Données projet'!$B$244,FZ71+FY72-GH71)))</f>
        <v>269.89999999999981</v>
      </c>
      <c r="GA72" s="17">
        <f>FZ72*VLOOKUP('Données projet'!$B$17,Paramètres!$A$1:$I$89,3,0)*VLOOKUP('Données projet'!$B$17,Paramètres!$A$1:$I$89,5,0)</f>
        <v>197.89067999999983</v>
      </c>
      <c r="GB72" s="13">
        <f t="shared" si="103"/>
        <v>49.280317367496515</v>
      </c>
      <c r="GC72" s="20">
        <f t="shared" si="79"/>
        <v>430.48948708172276</v>
      </c>
      <c r="GD72" s="59">
        <f t="shared" si="80"/>
        <v>723.82282041505607</v>
      </c>
      <c r="GE72" s="59">
        <f ca="1">AVERAGE(OFFSET($GD$3,0,0,'Données projet'!$E$17+1,1))-AVERAGE(OFFSET($H$3,0,0,'Données projet'!$E$17+1,1))</f>
        <v>178.12968684094687</v>
      </c>
      <c r="GF72" s="59">
        <f t="shared" si="104"/>
        <v>219.36004077210373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2.607548029302599</v>
      </c>
      <c r="GN72" s="21">
        <f>EXP(-LN(2)/2)*GN71+(1-EXP(-LN(2)/2))/(LN(2)/2)*GH72*GK72*VLOOKUP('Données projet'!$B$17,Paramètres!$A$1:$I$89,3,0)*0.475*44/12</f>
        <v>1.3375743531287243E-5</v>
      </c>
      <c r="GO72" s="21">
        <f t="shared" si="81"/>
        <v>2.6075614050461304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4.0999999999999996</v>
      </c>
      <c r="GU72" s="12">
        <f>IF('Données projet'!$A$270&gt;35,GU71+GT72-HC71,IF(A72&lt;'Données projet'!$A$270,$GR$205^A72,IF(A72='Données projet'!$A$270,'Données projet'!$B$270,GU71+GT72-HC71)))</f>
        <v>269.89999999999981</v>
      </c>
      <c r="GV72" s="17">
        <f>GU72*VLOOKUP('Données projet'!$B$18,Paramètres!$A$1:$I$89,3,0)*VLOOKUP('Données projet'!$B$18,Paramètres!$A$1:$I$89,5,0)</f>
        <v>214.73243999999988</v>
      </c>
      <c r="GW72" s="13">
        <f t="shared" si="105"/>
        <v>52.968397784466582</v>
      </c>
      <c r="GX72" s="20">
        <f t="shared" si="82"/>
        <v>466.24562580794571</v>
      </c>
      <c r="GY72" s="59">
        <f t="shared" si="83"/>
        <v>759.57895914127903</v>
      </c>
      <c r="GZ72" s="59">
        <f ca="1">AVERAGE(OFFSET($GY$3,0,0,'Données projet'!$E$18+1,1))-AVERAGE(OFFSET($H$3,0,0,'Données projet'!$E$18+1,1))</f>
        <v>199.58763537752952</v>
      </c>
      <c r="HA72" s="59">
        <f t="shared" si="106"/>
        <v>242.62852778451929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0</v>
      </c>
      <c r="HH72" s="21">
        <f>EXP(-LN(2)/25)*HH71+(1-EXP(-LN(2)/25))/(LN(2)/25)*Calculateur!HC72*Calculateur!HE72*VLOOKUP('Données projet'!$B$18,Paramètres!$A$1:$I$89,3,0)*0.475*44/12</f>
        <v>3.4874825943616647</v>
      </c>
      <c r="HI72" s="21">
        <f>EXP(-LN(2)/2)*HI71+(1-EXP(-LN(2)/2))/(LN(2)/2)*HC72*HF72*VLOOKUP('Données projet'!$B$18,Paramètres!$A$1:$I$89,3,0)*0.475*44/12</f>
        <v>1.451410468288617E-5</v>
      </c>
      <c r="HJ72" s="22">
        <f t="shared" si="84"/>
        <v>3.4874971084663478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8.6875</v>
      </c>
      <c r="N73" s="13">
        <f>IF('Données projet'!$A$36&gt;35,N72+M73-V72,IF(A73&lt;'Données projet'!$A$36,$K$205^A73,IF(A73='Données projet'!$A$36,'Données projet'!$B$36,N72+M73-V72)))</f>
        <v>254.90384615384602</v>
      </c>
      <c r="O73" s="13">
        <f>N73*VLOOKUP('Données projet'!$B$9,Paramètres!$A$1:$I$89,3,0)*VLOOKUP('Données projet'!$B$9,Paramètres!$A$1:$I$89,5,0)</f>
        <v>230.63699999999986</v>
      </c>
      <c r="P73" s="13">
        <f t="shared" si="87"/>
        <v>56.420393645840619</v>
      </c>
      <c r="Q73" s="20">
        <f t="shared" si="54"/>
        <v>499.95829393317217</v>
      </c>
      <c r="R73" s="59">
        <f t="shared" si="55"/>
        <v>793.29162726650543</v>
      </c>
      <c r="S73" s="59">
        <f ca="1">AVERAGE(OFFSET($R$3,0,0,'Données projet'!$E$9+1,1))-AVERAGE(OFFSET($H$3,0,0,'Données projet'!$E$9+1,1))</f>
        <v>309.07357540707869</v>
      </c>
      <c r="T73" s="59">
        <f t="shared" si="88"/>
        <v>155.9593924683299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6.6995192307692264</v>
      </c>
      <c r="AI73" s="13">
        <f>IF('Données projet'!$A$62&gt;35,AI72+AH73-AQ72,IF(A73&lt;'Données projet'!$A$62,$AF$205^A73,IF(A73='Données projet'!$A$62,'Données projet'!$B$62,AI72+AH73-AQ72)))</f>
        <v>195.71474358974356</v>
      </c>
      <c r="AJ73" s="13">
        <f>AI73*VLOOKUP('Données projet'!$B$10,Paramètres!$A$1:$I$89,3,0)*VLOOKUP('Données projet'!$B$10,Paramètres!$A$1:$I$89,5,0)</f>
        <v>177.08269999999996</v>
      </c>
      <c r="AK73" s="13">
        <f t="shared" si="89"/>
        <v>44.672524721320137</v>
      </c>
      <c r="AL73" s="20">
        <f t="shared" si="58"/>
        <v>386.22368305629919</v>
      </c>
      <c r="AM73" s="59">
        <f t="shared" si="59"/>
        <v>679.55701638963251</v>
      </c>
      <c r="AN73" s="59">
        <f ca="1">AVERAGE(OFFSET($AM$3,0,0,'Données projet'!$E$10+1,1))-AVERAGE(OFFSET($H$3,0,0,'Données projet'!$E$10+1,1))</f>
        <v>234.30804102916278</v>
      </c>
      <c r="AO73" s="59">
        <f t="shared" si="90"/>
        <v>91.137993288782411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13.737499999999997</v>
      </c>
      <c r="BD73" s="12">
        <f>IF('Données projet'!$A$88&gt;35,BD72+BC73-BL72,IF(A73&lt;'Données projet'!$A$88,$BA$205^A73,IF(A73='Données projet'!$A$88,'Données projet'!$B$88,BD72+BC73-BL72)))</f>
        <v>400.21634615384619</v>
      </c>
      <c r="BE73" s="13">
        <f>BD73*VLOOKUP('Données projet'!$B$11,Paramètres!$A$1:$I$89,3,0)*VLOOKUP('Données projet'!$B$11,Paramètres!$A$1:$I$89,5,0)</f>
        <v>187.30125000000001</v>
      </c>
      <c r="BF73" s="13">
        <f t="shared" si="91"/>
        <v>46.942801679870392</v>
      </c>
      <c r="BG73" s="20">
        <f t="shared" si="61"/>
        <v>407.97505667577428</v>
      </c>
      <c r="BH73" s="59">
        <f t="shared" si="62"/>
        <v>701.3083900091076</v>
      </c>
      <c r="BI73" s="59">
        <f ca="1">AVERAGE(OFFSET($BH$3,0,0,'Données projet'!$E$11+1,1))-AVERAGE(OFFSET($H$3,0,0,'Données projet'!$E$11+1,1))</f>
        <v>158.58786357608489</v>
      </c>
      <c r="BJ73" s="59">
        <f t="shared" si="92"/>
        <v>163.20074068819849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10.314743589743586</v>
      </c>
      <c r="BY73" s="12">
        <f>IF('Données projet'!$A$114&gt;35,BY72+BX73-CG72,IF(A73&lt;'Données projet'!$A$114,$BV$205^A73,IF(A73='Données projet'!$A$114,'Données projet'!$B$114,BY72+BX73-CG72)))</f>
        <v>327.18653846153848</v>
      </c>
      <c r="BZ73" s="13">
        <f>BY73*VLOOKUP('Données projet'!$B$12,Paramètres!$A$1:$I$89,3,0)*VLOOKUP('Données projet'!$B$12,Paramètres!$A$1:$I$89,5,0)</f>
        <v>153.1233</v>
      </c>
      <c r="CA73" s="13">
        <f t="shared" si="93"/>
        <v>39.287513204310308</v>
      </c>
      <c r="CB73" s="20">
        <f t="shared" si="64"/>
        <v>335.1154996641738</v>
      </c>
      <c r="CC73" s="59">
        <f t="shared" si="65"/>
        <v>628.44883299750711</v>
      </c>
      <c r="CD73" s="59">
        <f ca="1">AVERAGE(OFFSET($CC$3,0,0,'Données projet'!$E$12+1,1))-AVERAGE(OFFSET($H$3,0,0,'Données projet'!$E$12+1,1))</f>
        <v>123.2823358462245</v>
      </c>
      <c r="CE73" s="59">
        <f t="shared" si="94"/>
        <v>92.75115399786057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379.99230769230769</v>
      </c>
      <c r="CR73" s="12">
        <f>VLOOKUP(A73,'Données projet'!$A$139:$I$159,9,0)</f>
        <v>9.1830769230769249</v>
      </c>
      <c r="CS73" s="12">
        <f t="array" ref="CS73">INDEX(CR:CR,MIN(IF(ISNUMBER(CR73:CR269),ROW(CR73:CR269),"")))</f>
        <v>9.1830769230769249</v>
      </c>
      <c r="CT73" s="12">
        <f>IF('Données projet'!$A$140&gt;35,CT72+CS73-DB72,IF(A73&lt;'Données projet'!$A$140,$CQ$205^A73,IF(A73='Données projet'!$A$140,'Données projet'!$B$140,CT72+CS73-DB72)))</f>
        <v>379.99230769230746</v>
      </c>
      <c r="CU73" s="17">
        <f>CT73*VLOOKUP('Données projet'!$B$13,Paramètres!$A$1:$I$89,3,0)*VLOOKUP('Données projet'!$B$13,Paramètres!$A$1:$I$89,5,0)</f>
        <v>227.23539999999988</v>
      </c>
      <c r="CV73" s="13">
        <f t="shared" si="95"/>
        <v>55.684490313081348</v>
      </c>
      <c r="CW73" s="20">
        <f t="shared" si="67"/>
        <v>492.75214229528314</v>
      </c>
      <c r="CX73" s="59">
        <f t="shared" si="68"/>
        <v>786.08547562861645</v>
      </c>
      <c r="CY73" s="59">
        <f ca="1">AVERAGE(OFFSET($CX$3,0,0,'Données projet'!$E$13+1,1))-AVERAGE(OFFSET($H$3,0,0,'Données projet'!$E$13+1,1))</f>
        <v>179.32848817523677</v>
      </c>
      <c r="CZ73" s="59">
        <f t="shared" si="96"/>
        <v>131.3292389103035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52.669230769230765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4.3478044574163821</v>
      </c>
      <c r="DH73" s="21">
        <f>EXP(-LN(2)/2)*DH72+(1-EXP(-LN(2)/2))/(LN(2)/2)*DB73*DE73*VLOOKUP('Données projet'!$B$13,Paramètres!$A$1:$I$89,3,0)*0.475*44/12</f>
        <v>5.0190633556799321E-6</v>
      </c>
      <c r="DI73" s="22">
        <f t="shared" si="69"/>
        <v>4.3478094764797381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8.6875</v>
      </c>
      <c r="DO73" s="12">
        <f>IF('Données projet'!$A$166&gt;35,DO72+DN73-DW72,IF(A73&lt;'Données projet'!$A$166,$DL$205^A73,IF(A73='Données projet'!$A$166,'Données projet'!$B$166,DO72+DN73-DW72)))</f>
        <v>254.90384615384602</v>
      </c>
      <c r="DP73" s="17">
        <f>DO73*VLOOKUP('Données projet'!$B$14,Paramètres!$A$1:$I$89,3,0)*VLOOKUP('Données projet'!$B$14,Paramètres!$A$1:$I$89,5,0)</f>
        <v>246.54299999999989</v>
      </c>
      <c r="DQ73" s="13">
        <f t="shared" si="97"/>
        <v>59.845077486952164</v>
      </c>
      <c r="DR73" s="20">
        <f t="shared" si="70"/>
        <v>533.62590162310812</v>
      </c>
      <c r="DS73" s="59">
        <f t="shared" si="71"/>
        <v>826.95923495644138</v>
      </c>
      <c r="DT73" s="59">
        <f ca="1">AVERAGE(OFFSET($DS$3,0,0,'Données projet'!$E$14+1,1))-AVERAGE(OFFSET($H$3,0,0,'Données projet'!$E$14+1,1))</f>
        <v>340.4659523898373</v>
      </c>
      <c r="DU73" s="59">
        <f t="shared" si="98"/>
        <v>170.54530785680572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0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6.6995192307692264</v>
      </c>
      <c r="EJ73" s="12">
        <f>IF('Données projet'!$A$192&gt;35,EJ72+EI73-ER72,IF(A73&lt;'Données projet'!$A$192,$EG$205^A73,IF(A73='Données projet'!$A$192,'Données projet'!$B$192,EJ72+EI73-ER72)))</f>
        <v>195.71474358974356</v>
      </c>
      <c r="EK73" s="17">
        <f>EJ73*VLOOKUP('Données projet'!$B$15,Paramètres!$A$1:$I$89,3,0)*VLOOKUP('Données projet'!$B$15,Paramètres!$A$1:$I$89,5,0)</f>
        <v>189.29529999999997</v>
      </c>
      <c r="EL73" s="13">
        <f t="shared" si="99"/>
        <v>47.384120009277503</v>
      </c>
      <c r="EM73" s="20">
        <f t="shared" si="73"/>
        <v>412.21665651615825</v>
      </c>
      <c r="EN73" s="59">
        <f t="shared" si="74"/>
        <v>705.54998984949157</v>
      </c>
      <c r="EO73" s="59">
        <f ca="1">AVERAGE(OFFSET($EN$3,0,0,'Données projet'!$E$15+1,1))-AVERAGE(OFFSET($H$3,0,0,'Données projet'!$E$15+1,1))</f>
        <v>262.20955982183017</v>
      </c>
      <c r="EP73" s="59">
        <f t="shared" si="100"/>
        <v>101.35842063036193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274</v>
      </c>
      <c r="FC73" s="12">
        <f>VLOOKUP(A73,'Données projet'!$A$217:$I$237,9,0)</f>
        <v>4.0999999999999996</v>
      </c>
      <c r="FD73" s="12">
        <f t="array" ref="FD73">INDEX(FC:FC,MIN(IF(ISNUMBER(FC73:FC269),ROW(FC73:FC269),"")))</f>
        <v>4.0999999999999996</v>
      </c>
      <c r="FE73" s="12">
        <f>IF('Données projet'!$A$218&gt;35,FE72+FD73-FM72,IF(A73&lt;'Données projet'!$A$218,$FB$205^A73,IF(A73='Données projet'!$A$218,'Données projet'!$B$218,FE72+FD73-FM72)))</f>
        <v>273.99999999999983</v>
      </c>
      <c r="FF73" s="17">
        <f>FE73*VLOOKUP('Données projet'!$B$16,Paramètres!$A$1:$I$89,3,0)*VLOOKUP('Données projet'!$B$16,Paramètres!$A$1:$I$89,5,0)</f>
        <v>217.9943999999999</v>
      </c>
      <c r="FG73" s="13">
        <f t="shared" si="101"/>
        <v>53.678746401110374</v>
      </c>
      <c r="FH73" s="20">
        <f t="shared" si="76"/>
        <v>473.16406331526701</v>
      </c>
      <c r="FI73" s="59">
        <f t="shared" si="77"/>
        <v>766.49739664860033</v>
      </c>
      <c r="FJ73" s="59">
        <f ca="1">AVERAGE(OFFSET($FI$3,0,0,'Données projet'!$E$16+1,1))-AVERAGE(OFFSET($H$3,0,0,'Données projet'!$E$16+1,1))</f>
        <v>199.58763537752952</v>
      </c>
      <c r="FK73" s="59">
        <f t="shared" si="102"/>
        <v>242.62852778451929</v>
      </c>
      <c r="FL73" s="15">
        <f>IF(ISNA(VLOOKUP(A73,'Données projet'!$A$217:$I$237,3,0)),0,VLOOKUP(A73,'Données projet'!$A$217:$I$237,3,0))</f>
        <v>6</v>
      </c>
      <c r="FM73" s="15">
        <f>IF(ISNA(VLOOKUP(A73,'Données projet'!$A$217:$I$237,4,0)),0,VLOOKUP(A73,'Données projet'!$A$217:$I$237,4,0))</f>
        <v>21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3.392117199420106</v>
      </c>
      <c r="FS73" s="21">
        <f>EXP(-LN(2)/2)*FS72+(1-EXP(-LN(2)/2))/(LN(2)/2)*FM73*FP73*VLOOKUP('Données projet'!$B$16,Paramètres!$A$1:$I$89,3,0)*0.475*44/12</f>
        <v>1.0263021844120235E-5</v>
      </c>
      <c r="FT73" s="22">
        <f t="shared" si="78"/>
        <v>3.39212746244195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274</v>
      </c>
      <c r="FX73" s="12">
        <f>VLOOKUP(A73,'Données projet'!$A$243:$I$263,9,0)</f>
        <v>4.0999999999999996</v>
      </c>
      <c r="FY73" s="12">
        <f t="array" ref="FY73">INDEX(FX:FX,MIN(IF(ISNUMBER(FX73:FX269),ROW(FX73:FX269),"")))</f>
        <v>4.0999999999999996</v>
      </c>
      <c r="FZ73" s="12">
        <f>IF('Données projet'!$A$244&gt;35,FZ72+FY73-GH72,IF(A73&lt;'Données projet'!$A$244,$FW$205^A73,IF(A73='Données projet'!$A$244,'Données projet'!$B$244,FZ72+FY73-GH72)))</f>
        <v>273.99999999999983</v>
      </c>
      <c r="GA73" s="17">
        <f>FZ73*VLOOKUP('Données projet'!$B$17,Paramètres!$A$1:$I$89,3,0)*VLOOKUP('Données projet'!$B$17,Paramètres!$A$1:$I$89,5,0)</f>
        <v>200.89679999999987</v>
      </c>
      <c r="GB73" s="13">
        <f t="shared" si="103"/>
        <v>49.941205873360175</v>
      </c>
      <c r="GC73" s="20">
        <f t="shared" si="79"/>
        <v>436.87619356276872</v>
      </c>
      <c r="GD73" s="59">
        <f t="shared" si="80"/>
        <v>730.20952689610203</v>
      </c>
      <c r="GE73" s="59">
        <f ca="1">AVERAGE(OFFSET($GD$3,0,0,'Données projet'!$E$17+1,1))-AVERAGE(OFFSET($H$3,0,0,'Données projet'!$E$17+1,1))</f>
        <v>178.12968684094687</v>
      </c>
      <c r="GF73" s="59">
        <f t="shared" si="104"/>
        <v>219.36004077210373</v>
      </c>
      <c r="GG73" s="15">
        <f>IF(ISNA(VLOOKUP(A73,'Données projet'!$A$243:$I$263,3,0)),0,VLOOKUP(A73,'Données projet'!$A$243:$I$263,3,0))</f>
        <v>6</v>
      </c>
      <c r="GH73" s="15">
        <f>IF(ISNA(VLOOKUP(A73,'Données projet'!$A$243:$I$263,4,0)),0,VLOOKUP(A73,'Données projet'!$A$243:$I$263,4,0))</f>
        <v>21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2.536244491316328</v>
      </c>
      <c r="GN73" s="21">
        <f>EXP(-LN(2)/2)*GN72+(1-EXP(-LN(2)/2))/(LN(2)/2)*GH73*GK73*VLOOKUP('Données projet'!$B$17,Paramètres!$A$1:$I$89,3,0)*0.475*44/12</f>
        <v>9.4580789543853066E-6</v>
      </c>
      <c r="GO73" s="21">
        <f t="shared" si="81"/>
        <v>2.5362539493952823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274</v>
      </c>
      <c r="GS73" s="12">
        <f>VLOOKUP(A73,'Données projet'!$A$269:$I$289,9,0)</f>
        <v>4.0999999999999996</v>
      </c>
      <c r="GT73" s="12">
        <f t="array" ref="GT73">INDEX(GS:GS,MIN(IF(ISNUMBER(GS73:GS269),ROW(GS73:GS269),"")))</f>
        <v>4.0999999999999996</v>
      </c>
      <c r="GU73" s="12">
        <f>IF('Données projet'!$A$270&gt;35,GU72+GT73-HC72,IF(A73&lt;'Données projet'!$A$270,$GR$205^A73,IF(A73='Données projet'!$A$270,'Données projet'!$B$270,GU72+GT73-HC72)))</f>
        <v>273.99999999999983</v>
      </c>
      <c r="GV73" s="17">
        <f>GU73*VLOOKUP('Données projet'!$B$18,Paramètres!$A$1:$I$89,3,0)*VLOOKUP('Données projet'!$B$18,Paramètres!$A$1:$I$89,5,0)</f>
        <v>217.9943999999999</v>
      </c>
      <c r="GW73" s="13">
        <f t="shared" si="105"/>
        <v>53.678746401110374</v>
      </c>
      <c r="GX73" s="20">
        <f t="shared" si="82"/>
        <v>473.16406331526701</v>
      </c>
      <c r="GY73" s="59">
        <f t="shared" si="83"/>
        <v>766.49739664860033</v>
      </c>
      <c r="GZ73" s="59">
        <f ca="1">AVERAGE(OFFSET($GY$3,0,0,'Données projet'!$E$18+1,1))-AVERAGE(OFFSET($H$3,0,0,'Données projet'!$E$18+1,1))</f>
        <v>199.58763537752952</v>
      </c>
      <c r="HA73" s="59">
        <f t="shared" si="106"/>
        <v>242.62852778451929</v>
      </c>
      <c r="HB73" s="15">
        <f>IF(ISNA(VLOOKUP(A73,'Données projet'!$A$269:$I$289,3,0)),0,VLOOKUP(A73,'Données projet'!$A$269:$I$289,3,0))</f>
        <v>6</v>
      </c>
      <c r="HC73" s="15">
        <f>IF(ISNA(VLOOKUP(A73,'Données projet'!$A$269:$I$289,4,0)),0,VLOOKUP(A73,'Données projet'!$A$269:$I$289,4,0))</f>
        <v>21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>
        <f>EXP(-LN(2)/35)*HG72+(1-EXP(-LN(2)/35))/(LN(2)/35)*HC73*HD73*VLOOKUP('Données projet'!$B$18,Paramètres!$A$1:$I$89,3,0)*0.475*44/12</f>
        <v>0</v>
      </c>
      <c r="HH73" s="21">
        <f>EXP(-LN(2)/25)*HH72+(1-EXP(-LN(2)/25))/(LN(2)/25)*Calculateur!HC73*Calculateur!HE73*VLOOKUP('Données projet'!$B$18,Paramètres!$A$1:$I$89,3,0)*0.475*44/12</f>
        <v>3.392117199420106</v>
      </c>
      <c r="HI73" s="21">
        <f>EXP(-LN(2)/2)*HI72+(1-EXP(-LN(2)/2))/(LN(2)/2)*HC73*HF73*VLOOKUP('Données projet'!$B$18,Paramètres!$A$1:$I$89,3,0)*0.475*44/12</f>
        <v>1.0263021844120235E-5</v>
      </c>
      <c r="HJ73" s="22">
        <f t="shared" si="84"/>
        <v>3.39212746244195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8.6875</v>
      </c>
      <c r="N74" s="13">
        <f>IF('Données projet'!$A$36&gt;35,N73+M74-V73,IF(A74&lt;'Données projet'!$A$36,$K$205^A74,IF(A74='Données projet'!$A$36,'Données projet'!$B$36,N73+M74-V73)))</f>
        <v>263.59134615384602</v>
      </c>
      <c r="O74" s="13">
        <f>N74*VLOOKUP('Données projet'!$B$9,Paramètres!$A$1:$I$89,3,0)*VLOOKUP('Données projet'!$B$9,Paramètres!$A$1:$I$89,5,0)</f>
        <v>238.49744999999984</v>
      </c>
      <c r="P74" s="13">
        <f t="shared" si="87"/>
        <v>58.116131461503187</v>
      </c>
      <c r="Q74" s="20">
        <f t="shared" si="54"/>
        <v>516.60198771211776</v>
      </c>
      <c r="R74" s="59">
        <f t="shared" si="55"/>
        <v>809.93532104545102</v>
      </c>
      <c r="S74" s="59">
        <f ca="1">AVERAGE(OFFSET($R$3,0,0,'Données projet'!$E$9+1,1))-AVERAGE(OFFSET($H$3,0,0,'Données projet'!$E$9+1,1))</f>
        <v>309.07357540707869</v>
      </c>
      <c r="T74" s="59">
        <f t="shared" si="88"/>
        <v>155.9593924683299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6.6995192307692264</v>
      </c>
      <c r="AI74" s="13">
        <f>IF('Données projet'!$A$62&gt;35,AI73+AH74-AQ73,IF(A74&lt;'Données projet'!$A$62,$AF$205^A74,IF(A74='Données projet'!$A$62,'Données projet'!$B$62,AI73+AH74-AQ73)))</f>
        <v>202.41426282051279</v>
      </c>
      <c r="AJ74" s="13">
        <f>AI74*VLOOKUP('Données projet'!$B$10,Paramètres!$A$1:$I$89,3,0)*VLOOKUP('Données projet'!$B$10,Paramètres!$A$1:$I$89,5,0)</f>
        <v>183.14442499999996</v>
      </c>
      <c r="AK74" s="13">
        <f t="shared" si="89"/>
        <v>46.021056120191375</v>
      </c>
      <c r="AL74" s="20">
        <f t="shared" si="58"/>
        <v>399.12987961766652</v>
      </c>
      <c r="AM74" s="59">
        <f t="shared" si="59"/>
        <v>692.46321295099983</v>
      </c>
      <c r="AN74" s="59">
        <f ca="1">AVERAGE(OFFSET($AM$3,0,0,'Données projet'!$E$10+1,1))-AVERAGE(OFFSET($H$3,0,0,'Données projet'!$E$10+1,1))</f>
        <v>234.30804102916278</v>
      </c>
      <c r="AO74" s="59">
        <f t="shared" si="90"/>
        <v>91.137993288782411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413.95384615384614</v>
      </c>
      <c r="BB74" s="12">
        <f>VLOOKUP(A74,'Données projet'!$A$87:$I$107,9,0)</f>
        <v>13.737499999999997</v>
      </c>
      <c r="BC74" s="12">
        <f t="array" ref="BC74">INDEX(BB:BB,MIN(IF(ISNUMBER(BB74:BB270),ROW(BB74:BB270),"")))</f>
        <v>13.737499999999997</v>
      </c>
      <c r="BD74" s="12">
        <f>IF('Données projet'!$A$88&gt;35,BD73+BC74-BL73,IF(A74&lt;'Données projet'!$A$88,$BA$205^A74,IF(A74='Données projet'!$A$88,'Données projet'!$B$88,BD73+BC74-BL73)))</f>
        <v>413.9538461538462</v>
      </c>
      <c r="BE74" s="13">
        <f>BD74*VLOOKUP('Données projet'!$B$11,Paramètres!$A$1:$I$89,3,0)*VLOOKUP('Données projet'!$B$11,Paramètres!$A$1:$I$89,5,0)</f>
        <v>193.73040000000003</v>
      </c>
      <c r="BF74" s="13">
        <f t="shared" si="91"/>
        <v>48.363755728631737</v>
      </c>
      <c r="BG74" s="20">
        <f t="shared" si="61"/>
        <v>421.647321227367</v>
      </c>
      <c r="BH74" s="59">
        <f t="shared" si="62"/>
        <v>714.98065456070026</v>
      </c>
      <c r="BI74" s="59">
        <f ca="1">AVERAGE(OFFSET($BH$3,0,0,'Données projet'!$E$11+1,1))-AVERAGE(OFFSET($H$3,0,0,'Données projet'!$E$11+1,1))</f>
        <v>158.58786357608489</v>
      </c>
      <c r="BJ74" s="59">
        <f t="shared" si="92"/>
        <v>163.20074068819849</v>
      </c>
      <c r="BK74" s="15">
        <f>IF(ISNA(VLOOKUP(A74,'Données projet'!$A$87:$I$107,3,0)),0,VLOOKUP(A74,'Données projet'!$A$87:$I$107,3,0))</f>
        <v>5</v>
      </c>
      <c r="BL74" s="15">
        <f>IF(ISNA(VLOOKUP(A74,'Données projet'!$A$87:$I$107,4,0)),0,VLOOKUP(A74,'Données projet'!$A$87:$I$107,4,0))</f>
        <v>80.399999999999991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10.314743589743586</v>
      </c>
      <c r="BY74" s="12">
        <f>IF('Données projet'!$A$114&gt;35,BY73+BX74-CG73,IF(A74&lt;'Données projet'!$A$114,$BV$205^A74,IF(A74='Données projet'!$A$114,'Données projet'!$B$114,BY73+BX74-CG73)))</f>
        <v>337.50128205128203</v>
      </c>
      <c r="BZ74" s="13">
        <f>BY74*VLOOKUP('Données projet'!$B$12,Paramètres!$A$1:$I$89,3,0)*VLOOKUP('Données projet'!$B$12,Paramètres!$A$1:$I$89,5,0)</f>
        <v>157.95059999999998</v>
      </c>
      <c r="CA74" s="13">
        <f t="shared" si="93"/>
        <v>40.379921270810094</v>
      </c>
      <c r="CB74" s="20">
        <f t="shared" si="64"/>
        <v>345.42565787999416</v>
      </c>
      <c r="CC74" s="59">
        <f t="shared" si="65"/>
        <v>638.75899121332748</v>
      </c>
      <c r="CD74" s="59">
        <f ca="1">AVERAGE(OFFSET($CC$3,0,0,'Données projet'!$E$12+1,1))-AVERAGE(OFFSET($H$3,0,0,'Données projet'!$E$12+1,1))</f>
        <v>123.2823358462245</v>
      </c>
      <c r="CE74" s="59">
        <f t="shared" si="94"/>
        <v>92.75115399786057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7.5584615384615343</v>
      </c>
      <c r="CT74" s="12">
        <f>IF('Données projet'!$A$140&gt;35,CT73+CS74-DB73,IF(A74&lt;'Données projet'!$A$140,$CQ$205^A74,IF(A74='Données projet'!$A$140,'Données projet'!$B$140,CT73+CS74-DB73)))</f>
        <v>334.88153846153824</v>
      </c>
      <c r="CU74" s="17">
        <f>CT74*VLOOKUP('Données projet'!$B$13,Paramètres!$A$1:$I$89,3,0)*VLOOKUP('Données projet'!$B$13,Paramètres!$A$1:$I$89,5,0)</f>
        <v>200.25915999999989</v>
      </c>
      <c r="CV74" s="13">
        <f t="shared" si="95"/>
        <v>49.801118956127333</v>
      </c>
      <c r="CW74" s="20">
        <f t="shared" si="67"/>
        <v>435.52165251525486</v>
      </c>
      <c r="CX74" s="59">
        <f t="shared" si="68"/>
        <v>728.85498584858817</v>
      </c>
      <c r="CY74" s="59">
        <f ca="1">AVERAGE(OFFSET($CX$3,0,0,'Données projet'!$E$13+1,1))-AVERAGE(OFFSET($H$3,0,0,'Données projet'!$E$13+1,1))</f>
        <v>179.32848817523677</v>
      </c>
      <c r="CZ74" s="59">
        <f t="shared" si="96"/>
        <v>131.3292389103035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4.228913515887232</v>
      </c>
      <c r="DH74" s="21">
        <f>EXP(-LN(2)/2)*DH73+(1-EXP(-LN(2)/2))/(LN(2)/2)*DB74*DE74*VLOOKUP('Données projet'!$B$13,Paramètres!$A$1:$I$89,3,0)*0.475*44/12</f>
        <v>3.5490137340061887E-6</v>
      </c>
      <c r="DI74" s="22">
        <f t="shared" si="69"/>
        <v>4.2289170649009664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8.6875</v>
      </c>
      <c r="DO74" s="12">
        <f>IF('Données projet'!$A$166&gt;35,DO73+DN74-DW73,IF(A74&lt;'Données projet'!$A$166,$DL$205^A74,IF(A74='Données projet'!$A$166,'Données projet'!$B$166,DO73+DN74-DW73)))</f>
        <v>263.59134615384602</v>
      </c>
      <c r="DP74" s="17">
        <f>DO74*VLOOKUP('Données projet'!$B$14,Paramètres!$A$1:$I$89,3,0)*VLOOKUP('Données projet'!$B$14,Paramètres!$A$1:$I$89,5,0)</f>
        <v>254.94554999999988</v>
      </c>
      <c r="DQ74" s="13">
        <f t="shared" si="97"/>
        <v>61.643745564542989</v>
      </c>
      <c r="DR74" s="20">
        <f t="shared" si="70"/>
        <v>551.39302310824553</v>
      </c>
      <c r="DS74" s="59">
        <f t="shared" si="71"/>
        <v>844.7263564415789</v>
      </c>
      <c r="DT74" s="59">
        <f ca="1">AVERAGE(OFFSET($DS$3,0,0,'Données projet'!$E$14+1,1))-AVERAGE(OFFSET($H$3,0,0,'Données projet'!$E$14+1,1))</f>
        <v>340.4659523898373</v>
      </c>
      <c r="DU74" s="59">
        <f t="shared" si="98"/>
        <v>170.54530785680572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0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6.6995192307692264</v>
      </c>
      <c r="EJ74" s="12">
        <f>IF('Données projet'!$A$192&gt;35,EJ73+EI74-ER73,IF(A74&lt;'Données projet'!$A$192,$EG$205^A74,IF(A74='Données projet'!$A$192,'Données projet'!$B$192,EJ73+EI74-ER73)))</f>
        <v>202.41426282051279</v>
      </c>
      <c r="EK74" s="17">
        <f>EJ74*VLOOKUP('Données projet'!$B$15,Paramètres!$A$1:$I$89,3,0)*VLOOKUP('Données projet'!$B$15,Paramètres!$A$1:$I$89,5,0)</f>
        <v>195.77507499999996</v>
      </c>
      <c r="EL74" s="13">
        <f t="shared" si="99"/>
        <v>48.814506450138261</v>
      </c>
      <c r="EM74" s="20">
        <f t="shared" si="73"/>
        <v>425.99352102565734</v>
      </c>
      <c r="EN74" s="59">
        <f t="shared" si="74"/>
        <v>719.32685435899066</v>
      </c>
      <c r="EO74" s="59">
        <f ca="1">AVERAGE(OFFSET($EN$3,0,0,'Données projet'!$E$15+1,1))-AVERAGE(OFFSET($H$3,0,0,'Données projet'!$E$15+1,1))</f>
        <v>262.20955982183017</v>
      </c>
      <c r="EP74" s="59">
        <f t="shared" si="100"/>
        <v>101.35842063036193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3.1</v>
      </c>
      <c r="FE74" s="12">
        <f>IF('Données projet'!$A$218&gt;35,FE73+FD74-FM73,IF(A74&lt;'Données projet'!$A$218,$FB$205^A74,IF(A74='Données projet'!$A$218,'Données projet'!$B$218,FE73+FD74-FM73)))</f>
        <v>256.09999999999985</v>
      </c>
      <c r="FF74" s="17">
        <f>FE74*VLOOKUP('Données projet'!$B$16,Paramètres!$A$1:$I$89,3,0)*VLOOKUP('Données projet'!$B$16,Paramètres!$A$1:$I$89,5,0)</f>
        <v>203.75315999999989</v>
      </c>
      <c r="FG74" s="13">
        <f t="shared" si="101"/>
        <v>50.568104070523326</v>
      </c>
      <c r="FH74" s="20">
        <f t="shared" si="76"/>
        <v>442.94286825616126</v>
      </c>
      <c r="FI74" s="59">
        <f t="shared" si="77"/>
        <v>736.27620158949458</v>
      </c>
      <c r="FJ74" s="59">
        <f ca="1">AVERAGE(OFFSET($FI$3,0,0,'Données projet'!$E$16+1,1))-AVERAGE(OFFSET($H$3,0,0,'Données projet'!$E$16+1,1))</f>
        <v>199.58763537752952</v>
      </c>
      <c r="FK74" s="59">
        <f t="shared" si="102"/>
        <v>242.62852778451929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3.2993595762182726</v>
      </c>
      <c r="FS74" s="21">
        <f>EXP(-LN(2)/2)*FS73+(1-EXP(-LN(2)/2))/(LN(2)/2)*FM74*FP74*VLOOKUP('Données projet'!$B$16,Paramètres!$A$1:$I$89,3,0)*0.475*44/12</f>
        <v>7.2570523414430848E-6</v>
      </c>
      <c r="FT74" s="22">
        <f t="shared" si="78"/>
        <v>3.2993668332706139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3.1</v>
      </c>
      <c r="FZ74" s="12">
        <f>IF('Données projet'!$A$244&gt;35,FZ73+FY74-GH73,IF(A74&lt;'Données projet'!$A$244,$FW$205^A74,IF(A74='Données projet'!$A$244,'Données projet'!$B$244,FZ73+FY74-GH73)))</f>
        <v>256.09999999999985</v>
      </c>
      <c r="GA74" s="17">
        <f>FZ74*VLOOKUP('Données projet'!$B$17,Paramètres!$A$1:$I$89,3,0)*VLOOKUP('Données projet'!$B$17,Paramètres!$A$1:$I$89,5,0)</f>
        <v>187.77251999999987</v>
      </c>
      <c r="GB74" s="13">
        <f t="shared" si="103"/>
        <v>47.047151159984395</v>
      </c>
      <c r="GC74" s="20">
        <f t="shared" si="79"/>
        <v>408.9775939369726</v>
      </c>
      <c r="GD74" s="59">
        <f t="shared" si="80"/>
        <v>702.31092727030591</v>
      </c>
      <c r="GE74" s="59">
        <f ca="1">AVERAGE(OFFSET($GD$3,0,0,'Données projet'!$E$17+1,1))-AVERAGE(OFFSET($H$3,0,0,'Données projet'!$E$17+1,1))</f>
        <v>178.12968684094687</v>
      </c>
      <c r="GF74" s="59">
        <f t="shared" si="104"/>
        <v>219.36004077210373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2.4668907523259818</v>
      </c>
      <c r="GN74" s="21">
        <f>EXP(-LN(2)/2)*GN73+(1-EXP(-LN(2)/2))/(LN(2)/2)*GH74*GK74*VLOOKUP('Données projet'!$B$17,Paramètres!$A$1:$I$89,3,0)*0.475*44/12</f>
        <v>6.6878717656436213E-6</v>
      </c>
      <c r="GO74" s="21">
        <f t="shared" si="81"/>
        <v>2.4668974401977475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3.1</v>
      </c>
      <c r="GU74" s="12">
        <f>IF('Données projet'!$A$270&gt;35,GU73+GT74-HC73,IF(A74&lt;'Données projet'!$A$270,$GR$205^A74,IF(A74='Données projet'!$A$270,'Données projet'!$B$270,GU73+GT74-HC73)))</f>
        <v>256.09999999999985</v>
      </c>
      <c r="GV74" s="17">
        <f>GU74*VLOOKUP('Données projet'!$B$18,Paramètres!$A$1:$I$89,3,0)*VLOOKUP('Données projet'!$B$18,Paramètres!$A$1:$I$89,5,0)</f>
        <v>203.75315999999989</v>
      </c>
      <c r="GW74" s="13">
        <f t="shared" si="105"/>
        <v>50.568104070523326</v>
      </c>
      <c r="GX74" s="20">
        <f t="shared" si="82"/>
        <v>442.94286825616126</v>
      </c>
      <c r="GY74" s="59">
        <f t="shared" si="83"/>
        <v>736.27620158949458</v>
      </c>
      <c r="GZ74" s="59">
        <f ca="1">AVERAGE(OFFSET($GY$3,0,0,'Données projet'!$E$18+1,1))-AVERAGE(OFFSET($H$3,0,0,'Données projet'!$E$18+1,1))</f>
        <v>199.58763537752952</v>
      </c>
      <c r="HA74" s="59">
        <f t="shared" si="106"/>
        <v>242.62852778451929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0</v>
      </c>
      <c r="HH74" s="21">
        <f>EXP(-LN(2)/25)*HH73+(1-EXP(-LN(2)/25))/(LN(2)/25)*Calculateur!HC74*Calculateur!HE74*VLOOKUP('Données projet'!$B$18,Paramètres!$A$1:$I$89,3,0)*0.475*44/12</f>
        <v>3.2993595762182726</v>
      </c>
      <c r="HI74" s="21">
        <f>EXP(-LN(2)/2)*HI73+(1-EXP(-LN(2)/2))/(LN(2)/2)*HC74*HF74*VLOOKUP('Données projet'!$B$18,Paramètres!$A$1:$I$89,3,0)*0.475*44/12</f>
        <v>7.2570523414430848E-6</v>
      </c>
      <c r="HJ74" s="22">
        <f t="shared" si="84"/>
        <v>3.2993668332706139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8.6875</v>
      </c>
      <c r="N75" s="13">
        <f>IF('Données projet'!$A$36&gt;35,N74+M75-V74,IF(A75&lt;'Données projet'!$A$36,$K$205^A75,IF(A75='Données projet'!$A$36,'Données projet'!$B$36,N74+M75-V74)))</f>
        <v>272.27884615384602</v>
      </c>
      <c r="O75" s="13">
        <f>N75*VLOOKUP('Données projet'!$B$9,Paramètres!$A$1:$I$89,3,0)*VLOOKUP('Données projet'!$B$9,Paramètres!$A$1:$I$89,5,0)</f>
        <v>246.35789999999989</v>
      </c>
      <c r="P75" s="13">
        <f t="shared" si="87"/>
        <v>59.805375077411945</v>
      </c>
      <c r="Q75" s="20">
        <f t="shared" si="54"/>
        <v>533.23437075982554</v>
      </c>
      <c r="R75" s="59">
        <f t="shared" si="55"/>
        <v>826.56770409315891</v>
      </c>
      <c r="S75" s="59">
        <f ca="1">AVERAGE(OFFSET($R$3,0,0,'Données projet'!$E$9+1,1))-AVERAGE(OFFSET($H$3,0,0,'Données projet'!$E$9+1,1))</f>
        <v>309.07357540707869</v>
      </c>
      <c r="T75" s="59">
        <f t="shared" si="88"/>
        <v>155.9593924683299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6.6995192307692264</v>
      </c>
      <c r="AI75" s="13">
        <f>IF('Données projet'!$A$62&gt;35,AI74+AH75-AQ74,IF(A75&lt;'Données projet'!$A$62,$AF$205^A75,IF(A75='Données projet'!$A$62,'Données projet'!$B$62,AI74+AH75-AQ74)))</f>
        <v>209.11378205128202</v>
      </c>
      <c r="AJ75" s="13">
        <f>AI75*VLOOKUP('Données projet'!$B$10,Paramètres!$A$1:$I$89,3,0)*VLOOKUP('Données projet'!$B$10,Paramètres!$A$1:$I$89,5,0)</f>
        <v>189.20614999999995</v>
      </c>
      <c r="AK75" s="13">
        <f t="shared" si="89"/>
        <v>47.364401142673259</v>
      </c>
      <c r="AL75" s="20">
        <f t="shared" si="58"/>
        <v>412.02704324015576</v>
      </c>
      <c r="AM75" s="59">
        <f t="shared" si="59"/>
        <v>705.36037657348902</v>
      </c>
      <c r="AN75" s="59">
        <f ca="1">AVERAGE(OFFSET($AM$3,0,0,'Données projet'!$E$10+1,1))-AVERAGE(OFFSET($H$3,0,0,'Données projet'!$E$10+1,1))</f>
        <v>234.30804102916278</v>
      </c>
      <c r="AO75" s="59">
        <f t="shared" si="90"/>
        <v>91.137993288782411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12.913461538461533</v>
      </c>
      <c r="BD75" s="12">
        <f>IF('Données projet'!$A$88&gt;35,BD74+BC75-BL74,IF(A75&lt;'Données projet'!$A$88,$BA$205^A75,IF(A75='Données projet'!$A$88,'Données projet'!$B$88,BD74+BC75-BL74)))</f>
        <v>346.46730769230777</v>
      </c>
      <c r="BE75" s="13">
        <f>BD75*VLOOKUP('Données projet'!$B$11,Paramètres!$A$1:$I$89,3,0)*VLOOKUP('Données projet'!$B$11,Paramètres!$A$1:$I$89,5,0)</f>
        <v>162.14670000000004</v>
      </c>
      <c r="BF75" s="13">
        <f t="shared" si="91"/>
        <v>41.326333369414826</v>
      </c>
      <c r="BG75" s="20">
        <f t="shared" si="61"/>
        <v>354.38219978506419</v>
      </c>
      <c r="BH75" s="59">
        <f t="shared" si="62"/>
        <v>647.7155331183975</v>
      </c>
      <c r="BI75" s="59">
        <f ca="1">AVERAGE(OFFSET($BH$3,0,0,'Données projet'!$E$11+1,1))-AVERAGE(OFFSET($H$3,0,0,'Données projet'!$E$11+1,1))</f>
        <v>158.58786357608489</v>
      </c>
      <c r="BJ75" s="59">
        <f t="shared" si="92"/>
        <v>163.20074068819849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10.314743589743586</v>
      </c>
      <c r="BY75" s="12">
        <f>IF('Données projet'!$A$114&gt;35,BY74+BX75-CG74,IF(A75&lt;'Données projet'!$A$114,$BV$205^A75,IF(A75='Données projet'!$A$114,'Données projet'!$B$114,BY74+BX75-CG74)))</f>
        <v>347.81602564102559</v>
      </c>
      <c r="BZ75" s="13">
        <f>BY75*VLOOKUP('Données projet'!$B$12,Paramètres!$A$1:$I$89,3,0)*VLOOKUP('Données projet'!$B$12,Paramètres!$A$1:$I$89,5,0)</f>
        <v>162.77789999999996</v>
      </c>
      <c r="CA75" s="13">
        <f t="shared" si="93"/>
        <v>41.468449441443077</v>
      </c>
      <c r="CB75" s="20">
        <f t="shared" si="64"/>
        <v>355.72905861051328</v>
      </c>
      <c r="CC75" s="59">
        <f t="shared" si="65"/>
        <v>649.06239194384659</v>
      </c>
      <c r="CD75" s="59">
        <f ca="1">AVERAGE(OFFSET($CC$3,0,0,'Données projet'!$E$12+1,1))-AVERAGE(OFFSET($H$3,0,0,'Données projet'!$E$12+1,1))</f>
        <v>123.2823358462245</v>
      </c>
      <c r="CE75" s="59">
        <f t="shared" si="94"/>
        <v>92.75115399786057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7.5584615384615343</v>
      </c>
      <c r="CT75" s="12">
        <f>IF('Données projet'!$A$140&gt;35,CT74+CS75-DB74,IF(A75&lt;'Données projet'!$A$140,$CQ$205^A75,IF(A75='Données projet'!$A$140,'Données projet'!$B$140,CT74+CS75-DB74)))</f>
        <v>342.43999999999977</v>
      </c>
      <c r="CU75" s="17">
        <f>CT75*VLOOKUP('Données projet'!$B$13,Paramètres!$A$1:$I$89,3,0)*VLOOKUP('Données projet'!$B$13,Paramètres!$A$1:$I$89,5,0)</f>
        <v>204.77911999999986</v>
      </c>
      <c r="CV75" s="13">
        <f t="shared" si="95"/>
        <v>50.79302579334589</v>
      </c>
      <c r="CW75" s="20">
        <f t="shared" si="67"/>
        <v>445.12148725674388</v>
      </c>
      <c r="CX75" s="59">
        <f t="shared" si="68"/>
        <v>738.45482059007713</v>
      </c>
      <c r="CY75" s="59">
        <f ca="1">AVERAGE(OFFSET($CX$3,0,0,'Données projet'!$E$13+1,1))-AVERAGE(OFFSET($H$3,0,0,'Données projet'!$E$13+1,1))</f>
        <v>179.32848817523677</v>
      </c>
      <c r="CZ75" s="59">
        <f t="shared" si="96"/>
        <v>131.3292389103035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4.1132736534063987</v>
      </c>
      <c r="DH75" s="21">
        <f>EXP(-LN(2)/2)*DH74+(1-EXP(-LN(2)/2))/(LN(2)/2)*DB75*DE75*VLOOKUP('Données projet'!$B$13,Paramètres!$A$1:$I$89,3,0)*0.475*44/12</f>
        <v>2.509531677839966E-6</v>
      </c>
      <c r="DI75" s="22">
        <f t="shared" si="69"/>
        <v>4.1132761629380763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8.6875</v>
      </c>
      <c r="DO75" s="12">
        <f>IF('Données projet'!$A$166&gt;35,DO74+DN75-DW74,IF(A75&lt;'Données projet'!$A$166,$DL$205^A75,IF(A75='Données projet'!$A$166,'Données projet'!$B$166,DO74+DN75-DW74)))</f>
        <v>272.27884615384602</v>
      </c>
      <c r="DP75" s="17">
        <f>DO75*VLOOKUP('Données projet'!$B$14,Paramètres!$A$1:$I$89,3,0)*VLOOKUP('Données projet'!$B$14,Paramètres!$A$1:$I$89,5,0)</f>
        <v>263.34809999999987</v>
      </c>
      <c r="DQ75" s="13">
        <f t="shared" si="97"/>
        <v>63.435525248374525</v>
      </c>
      <c r="DR75" s="20">
        <f t="shared" si="70"/>
        <v>569.14814730758542</v>
      </c>
      <c r="DS75" s="59">
        <f t="shared" si="71"/>
        <v>862.48148064091879</v>
      </c>
      <c r="DT75" s="59">
        <f ca="1">AVERAGE(OFFSET($DS$3,0,0,'Données projet'!$E$14+1,1))-AVERAGE(OFFSET($H$3,0,0,'Données projet'!$E$14+1,1))</f>
        <v>340.4659523898373</v>
      </c>
      <c r="DU75" s="59">
        <f t="shared" si="98"/>
        <v>170.54530785680572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0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6.6995192307692264</v>
      </c>
      <c r="EJ75" s="12">
        <f>IF('Données projet'!$A$192&gt;35,EJ74+EI75-ER74,IF(A75&lt;'Données projet'!$A$192,$EG$205^A75,IF(A75='Données projet'!$A$192,'Données projet'!$B$192,EJ74+EI75-ER74)))</f>
        <v>209.11378205128202</v>
      </c>
      <c r="EK75" s="17">
        <f>EJ75*VLOOKUP('Données projet'!$B$15,Paramètres!$A$1:$I$89,3,0)*VLOOKUP('Données projet'!$B$15,Paramètres!$A$1:$I$89,5,0)</f>
        <v>202.25484999999995</v>
      </c>
      <c r="EL75" s="13">
        <f t="shared" si="99"/>
        <v>50.239391704693183</v>
      </c>
      <c r="EM75" s="20">
        <f t="shared" si="73"/>
        <v>439.76080430234055</v>
      </c>
      <c r="EN75" s="59">
        <f t="shared" si="74"/>
        <v>733.09413763567386</v>
      </c>
      <c r="EO75" s="59">
        <f ca="1">AVERAGE(OFFSET($EN$3,0,0,'Données projet'!$E$15+1,1))-AVERAGE(OFFSET($H$3,0,0,'Données projet'!$E$15+1,1))</f>
        <v>262.20955982183017</v>
      </c>
      <c r="EP75" s="59">
        <f t="shared" si="100"/>
        <v>101.35842063036193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3.1</v>
      </c>
      <c r="FE75" s="12">
        <f>IF('Données projet'!$A$218&gt;35,FE74+FD75-FM74,IF(A75&lt;'Données projet'!$A$218,$FB$205^A75,IF(A75='Données projet'!$A$218,'Données projet'!$B$218,FE74+FD75-FM74)))</f>
        <v>259.19999999999987</v>
      </c>
      <c r="FF75" s="17">
        <f>FE75*VLOOKUP('Données projet'!$B$16,Paramètres!$A$1:$I$89,3,0)*VLOOKUP('Données projet'!$B$16,Paramètres!$A$1:$I$89,5,0)</f>
        <v>206.21951999999993</v>
      </c>
      <c r="FG75" s="13">
        <f t="shared" si="101"/>
        <v>51.10858428464028</v>
      </c>
      <c r="FH75" s="20">
        <f t="shared" si="76"/>
        <v>448.17978162908167</v>
      </c>
      <c r="FI75" s="59">
        <f t="shared" si="77"/>
        <v>741.51311496241499</v>
      </c>
      <c r="FJ75" s="59">
        <f ca="1">AVERAGE(OFFSET($FI$3,0,0,'Données projet'!$E$16+1,1))-AVERAGE(OFFSET($H$3,0,0,'Données projet'!$E$16+1,1))</f>
        <v>199.58763537752952</v>
      </c>
      <c r="FK75" s="59">
        <f t="shared" si="102"/>
        <v>242.62852778451929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3.2091384151008047</v>
      </c>
      <c r="FS75" s="21">
        <f>EXP(-LN(2)/2)*FS74+(1-EXP(-LN(2)/2))/(LN(2)/2)*FM75*FP75*VLOOKUP('Données projet'!$B$16,Paramètres!$A$1:$I$89,3,0)*0.475*44/12</f>
        <v>5.1315109220601177E-6</v>
      </c>
      <c r="FT75" s="22">
        <f t="shared" si="78"/>
        <v>3.2091435466117266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3.1</v>
      </c>
      <c r="FZ75" s="12">
        <f>IF('Données projet'!$A$244&gt;35,FZ74+FY75-GH74,IF(A75&lt;'Données projet'!$A$244,$FW$205^A75,IF(A75='Données projet'!$A$244,'Données projet'!$B$244,FZ74+FY75-GH74)))</f>
        <v>259.19999999999987</v>
      </c>
      <c r="GA75" s="17">
        <f>FZ75*VLOOKUP('Données projet'!$B$17,Paramètres!$A$1:$I$89,3,0)*VLOOKUP('Données projet'!$B$17,Paramètres!$A$1:$I$89,5,0)</f>
        <v>190.04543999999993</v>
      </c>
      <c r="GB75" s="13">
        <f t="shared" si="103"/>
        <v>47.549998850241536</v>
      </c>
      <c r="GC75" s="20">
        <f t="shared" si="79"/>
        <v>413.81205599750388</v>
      </c>
      <c r="GD75" s="59">
        <f t="shared" si="80"/>
        <v>707.14538933083713</v>
      </c>
      <c r="GE75" s="59">
        <f ca="1">AVERAGE(OFFSET($GD$3,0,0,'Données projet'!$E$17+1,1))-AVERAGE(OFFSET($H$3,0,0,'Données projet'!$E$17+1,1))</f>
        <v>178.12968684094687</v>
      </c>
      <c r="GF75" s="59">
        <f t="shared" si="104"/>
        <v>219.36004077210373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2.3994334949754812</v>
      </c>
      <c r="GN75" s="21">
        <f>EXP(-LN(2)/2)*GN74+(1-EXP(-LN(2)/2))/(LN(2)/2)*GH75*GK75*VLOOKUP('Données projet'!$B$17,Paramètres!$A$1:$I$89,3,0)*0.475*44/12</f>
        <v>4.7290394771926533E-6</v>
      </c>
      <c r="GO75" s="21">
        <f t="shared" si="81"/>
        <v>2.3994382240149585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3.1</v>
      </c>
      <c r="GU75" s="12">
        <f>IF('Données projet'!$A$270&gt;35,GU74+GT75-HC74,IF(A75&lt;'Données projet'!$A$270,$GR$205^A75,IF(A75='Données projet'!$A$270,'Données projet'!$B$270,GU74+GT75-HC74)))</f>
        <v>259.19999999999987</v>
      </c>
      <c r="GV75" s="17">
        <f>GU75*VLOOKUP('Données projet'!$B$18,Paramètres!$A$1:$I$89,3,0)*VLOOKUP('Données projet'!$B$18,Paramètres!$A$1:$I$89,5,0)</f>
        <v>206.21951999999993</v>
      </c>
      <c r="GW75" s="13">
        <f t="shared" si="105"/>
        <v>51.10858428464028</v>
      </c>
      <c r="GX75" s="20">
        <f t="shared" si="82"/>
        <v>448.17978162908167</v>
      </c>
      <c r="GY75" s="59">
        <f t="shared" si="83"/>
        <v>741.51311496241499</v>
      </c>
      <c r="GZ75" s="59">
        <f ca="1">AVERAGE(OFFSET($GY$3,0,0,'Données projet'!$E$18+1,1))-AVERAGE(OFFSET($H$3,0,0,'Données projet'!$E$18+1,1))</f>
        <v>199.58763537752952</v>
      </c>
      <c r="HA75" s="59">
        <f t="shared" si="106"/>
        <v>242.62852778451929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0</v>
      </c>
      <c r="HH75" s="21">
        <f>EXP(-LN(2)/25)*HH74+(1-EXP(-LN(2)/25))/(LN(2)/25)*Calculateur!HC75*Calculateur!HE75*VLOOKUP('Données projet'!$B$18,Paramètres!$A$1:$I$89,3,0)*0.475*44/12</f>
        <v>3.2091384151008047</v>
      </c>
      <c r="HI75" s="21">
        <f>EXP(-LN(2)/2)*HI74+(1-EXP(-LN(2)/2))/(LN(2)/2)*HC75*HF75*VLOOKUP('Données projet'!$B$18,Paramètres!$A$1:$I$89,3,0)*0.475*44/12</f>
        <v>5.1315109220601177E-6</v>
      </c>
      <c r="HJ75" s="22">
        <f t="shared" si="84"/>
        <v>3.2091435466117266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8.6875</v>
      </c>
      <c r="N76" s="13">
        <f>IF('Données projet'!$A$36&gt;35,N75+M76-V75,IF(A76&lt;'Données projet'!$A$36,$K$205^A76,IF(A76='Données projet'!$A$36,'Données projet'!$B$36,N75+M76-V75)))</f>
        <v>280.96634615384602</v>
      </c>
      <c r="O76" s="13">
        <f>N76*VLOOKUP('Données projet'!$B$9,Paramètres!$A$1:$I$89,3,0)*VLOOKUP('Données projet'!$B$9,Paramètres!$A$1:$I$89,5,0)</f>
        <v>254.21834999999987</v>
      </c>
      <c r="P76" s="13">
        <f t="shared" si="87"/>
        <v>61.488355471111007</v>
      </c>
      <c r="Q76" s="20">
        <f t="shared" si="54"/>
        <v>549.85584536218471</v>
      </c>
      <c r="R76" s="59">
        <f t="shared" si="55"/>
        <v>843.18917869551797</v>
      </c>
      <c r="S76" s="59">
        <f ca="1">AVERAGE(OFFSET($R$3,0,0,'Données projet'!$E$9+1,1))-AVERAGE(OFFSET($H$3,0,0,'Données projet'!$E$9+1,1))</f>
        <v>309.07357540707869</v>
      </c>
      <c r="T76" s="59">
        <f t="shared" si="88"/>
        <v>155.9593924683299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6.6995192307692264</v>
      </c>
      <c r="AI76" s="13">
        <f>IF('Données projet'!$A$62&gt;35,AI75+AH76-AQ75,IF(A76&lt;'Données projet'!$A$62,$AF$205^A76,IF(A76='Données projet'!$A$62,'Données projet'!$B$62,AI75+AH76-AQ75)))</f>
        <v>215.81330128205124</v>
      </c>
      <c r="AJ76" s="13">
        <f>AI76*VLOOKUP('Données projet'!$B$10,Paramètres!$A$1:$I$89,3,0)*VLOOKUP('Données projet'!$B$10,Paramètres!$A$1:$I$89,5,0)</f>
        <v>195.26787499999998</v>
      </c>
      <c r="AK76" s="13">
        <f t="shared" si="89"/>
        <v>48.70274500802563</v>
      </c>
      <c r="AL76" s="20">
        <f t="shared" si="58"/>
        <v>424.91549651397787</v>
      </c>
      <c r="AM76" s="59">
        <f t="shared" si="59"/>
        <v>718.24882984731119</v>
      </c>
      <c r="AN76" s="59">
        <f ca="1">AVERAGE(OFFSET($AM$3,0,0,'Données projet'!$E$10+1,1))-AVERAGE(OFFSET($H$3,0,0,'Données projet'!$E$10+1,1))</f>
        <v>234.30804102916278</v>
      </c>
      <c r="AO76" s="59">
        <f t="shared" si="90"/>
        <v>91.137993288782411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12.913461538461533</v>
      </c>
      <c r="BD76" s="12">
        <f>IF('Données projet'!$A$88&gt;35,BD75+BC76-BL75,IF(A76&lt;'Données projet'!$A$88,$BA$205^A76,IF(A76='Données projet'!$A$88,'Données projet'!$B$88,BD75+BC76-BL75)))</f>
        <v>359.38076923076932</v>
      </c>
      <c r="BE76" s="13">
        <f>BD76*VLOOKUP('Données projet'!$B$11,Paramètres!$A$1:$I$89,3,0)*VLOOKUP('Données projet'!$B$11,Paramètres!$A$1:$I$89,5,0)</f>
        <v>168.19020000000003</v>
      </c>
      <c r="BF76" s="13">
        <f t="shared" si="91"/>
        <v>42.684436447240749</v>
      </c>
      <c r="BG76" s="20">
        <f t="shared" si="61"/>
        <v>367.27332514561107</v>
      </c>
      <c r="BH76" s="59">
        <f t="shared" si="62"/>
        <v>660.60665847894438</v>
      </c>
      <c r="BI76" s="59">
        <f ca="1">AVERAGE(OFFSET($BH$3,0,0,'Données projet'!$E$11+1,1))-AVERAGE(OFFSET($H$3,0,0,'Données projet'!$E$11+1,1))</f>
        <v>158.58786357608489</v>
      </c>
      <c r="BJ76" s="59">
        <f t="shared" si="92"/>
        <v>163.20074068819849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>
        <f>VLOOKUP(A76,'Données projet'!$A$113:$I$133,2,0)</f>
        <v>358.1307692307692</v>
      </c>
      <c r="BW76" s="12">
        <f>VLOOKUP(A76,'Données projet'!$A$113:$I$133,9,0)</f>
        <v>10.314743589743586</v>
      </c>
      <c r="BX76" s="12">
        <f t="array" ref="BX76">INDEX(BW:BW,MIN(IF(ISNUMBER(BW76:BW272),ROW(BW76:BW272),"")))</f>
        <v>10.314743589743586</v>
      </c>
      <c r="BY76" s="12">
        <f>IF('Données projet'!$A$114&gt;35,BY75+BX76-CG75,IF(A76&lt;'Données projet'!$A$114,$BV$205^A76,IF(A76='Données projet'!$A$114,'Données projet'!$B$114,BY75+BX76-CG75)))</f>
        <v>358.13076923076915</v>
      </c>
      <c r="BZ76" s="13">
        <f>BY76*VLOOKUP('Données projet'!$B$12,Paramètres!$A$1:$I$89,3,0)*VLOOKUP('Données projet'!$B$12,Paramètres!$A$1:$I$89,5,0)</f>
        <v>167.60519999999997</v>
      </c>
      <c r="CA76" s="13">
        <f t="shared" si="93"/>
        <v>42.553225987206702</v>
      </c>
      <c r="CB76" s="20">
        <f t="shared" si="64"/>
        <v>366.02592526105167</v>
      </c>
      <c r="CC76" s="59">
        <f t="shared" si="65"/>
        <v>659.35925859438498</v>
      </c>
      <c r="CD76" s="59">
        <f ca="1">AVERAGE(OFFSET($CC$3,0,0,'Données projet'!$E$12+1,1))-AVERAGE(OFFSET($H$3,0,0,'Données projet'!$E$12+1,1))</f>
        <v>123.2823358462245</v>
      </c>
      <c r="CE76" s="59">
        <f t="shared" si="94"/>
        <v>92.75115399786057</v>
      </c>
      <c r="CF76" s="15">
        <f>IF(ISNA(VLOOKUP(A76,'Données projet'!$A$113:$I$133,3,0)),0,VLOOKUP(A76,'Données projet'!$A$113:$I$133,3,0))</f>
        <v>3</v>
      </c>
      <c r="CG76" s="15">
        <f>IF(ISNA(VLOOKUP(A76,'Données projet'!$A$113:$I$133,4,0)),0,VLOOKUP(A76,'Données projet'!$A$113:$I$133,4,0))</f>
        <v>93.584615384615375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7.5584615384615343</v>
      </c>
      <c r="CT76" s="12">
        <f>IF('Données projet'!$A$140&gt;35,CT75+CS76-DB75,IF(A76&lt;'Données projet'!$A$140,$CQ$205^A76,IF(A76='Données projet'!$A$140,'Données projet'!$B$140,CT75+CS76-DB75)))</f>
        <v>349.9984615384613</v>
      </c>
      <c r="CU76" s="17">
        <f>CT76*VLOOKUP('Données projet'!$B$13,Paramètres!$A$1:$I$89,3,0)*VLOOKUP('Données projet'!$B$13,Paramètres!$A$1:$I$89,5,0)</f>
        <v>209.29907999999986</v>
      </c>
      <c r="CV76" s="13">
        <f t="shared" si="95"/>
        <v>51.782387252616175</v>
      </c>
      <c r="CW76" s="20">
        <f t="shared" si="67"/>
        <v>454.71688879830623</v>
      </c>
      <c r="CX76" s="59">
        <f t="shared" si="68"/>
        <v>748.05022213163954</v>
      </c>
      <c r="CY76" s="59">
        <f ca="1">AVERAGE(OFFSET($CX$3,0,0,'Données projet'!$E$13+1,1))-AVERAGE(OFFSET($H$3,0,0,'Données projet'!$E$13+1,1))</f>
        <v>179.32848817523677</v>
      </c>
      <c r="CZ76" s="59">
        <f t="shared" si="96"/>
        <v>131.3292389103035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4.0007959690463402</v>
      </c>
      <c r="DH76" s="21">
        <f>EXP(-LN(2)/2)*DH75+(1-EXP(-LN(2)/2))/(LN(2)/2)*DB76*DE76*VLOOKUP('Données projet'!$B$13,Paramètres!$A$1:$I$89,3,0)*0.475*44/12</f>
        <v>1.7745068670030944E-6</v>
      </c>
      <c r="DI76" s="22">
        <f t="shared" si="69"/>
        <v>4.0007977435532069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8.6875</v>
      </c>
      <c r="DO76" s="12">
        <f>IF('Données projet'!$A$166&gt;35,DO75+DN76-DW75,IF(A76&lt;'Données projet'!$A$166,$DL$205^A76,IF(A76='Données projet'!$A$166,'Données projet'!$B$166,DO75+DN76-DW75)))</f>
        <v>280.96634615384602</v>
      </c>
      <c r="DP76" s="17">
        <f>DO76*VLOOKUP('Données projet'!$B$14,Paramètres!$A$1:$I$89,3,0)*VLOOKUP('Données projet'!$B$14,Paramètres!$A$1:$I$89,5,0)</f>
        <v>271.75064999999989</v>
      </c>
      <c r="DQ76" s="13">
        <f t="shared" si="97"/>
        <v>65.220661536188601</v>
      </c>
      <c r="DR76" s="20">
        <f t="shared" si="70"/>
        <v>586.89170092552831</v>
      </c>
      <c r="DS76" s="59">
        <f t="shared" si="71"/>
        <v>880.22503425886157</v>
      </c>
      <c r="DT76" s="59">
        <f ca="1">AVERAGE(OFFSET($DS$3,0,0,'Données projet'!$E$14+1,1))-AVERAGE(OFFSET($H$3,0,0,'Données projet'!$E$14+1,1))</f>
        <v>340.4659523898373</v>
      </c>
      <c r="DU76" s="59">
        <f t="shared" si="98"/>
        <v>170.54530785680572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0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6.6995192307692264</v>
      </c>
      <c r="EJ76" s="12">
        <f>IF('Données projet'!$A$192&gt;35,EJ75+EI76-ER75,IF(A76&lt;'Données projet'!$A$192,$EG$205^A76,IF(A76='Données projet'!$A$192,'Données projet'!$B$192,EJ75+EI76-ER75)))</f>
        <v>215.81330128205124</v>
      </c>
      <c r="EK76" s="17">
        <f>EJ76*VLOOKUP('Données projet'!$B$15,Paramètres!$A$1:$I$89,3,0)*VLOOKUP('Données projet'!$B$15,Paramètres!$A$1:$I$89,5,0)</f>
        <v>208.73462499999997</v>
      </c>
      <c r="EL76" s="13">
        <f t="shared" si="99"/>
        <v>51.658972234899245</v>
      </c>
      <c r="EM76" s="20">
        <f t="shared" si="73"/>
        <v>453.51884851744944</v>
      </c>
      <c r="EN76" s="59">
        <f t="shared" si="74"/>
        <v>746.8521818507827</v>
      </c>
      <c r="EO76" s="59">
        <f ca="1">AVERAGE(OFFSET($EN$3,0,0,'Données projet'!$E$15+1,1))-AVERAGE(OFFSET($H$3,0,0,'Données projet'!$E$15+1,1))</f>
        <v>262.20955982183017</v>
      </c>
      <c r="EP76" s="59">
        <f t="shared" si="100"/>
        <v>101.35842063036193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3.1</v>
      </c>
      <c r="FE76" s="12">
        <f>IF('Données projet'!$A$218&gt;35,FE75+FD76-FM75,IF(A76&lt;'Données projet'!$A$218,$FB$205^A76,IF(A76='Données projet'!$A$218,'Données projet'!$B$218,FE75+FD76-FM75)))</f>
        <v>262.2999999999999</v>
      </c>
      <c r="FF76" s="17">
        <f>FE76*VLOOKUP('Données projet'!$B$16,Paramètres!$A$1:$I$89,3,0)*VLOOKUP('Données projet'!$B$16,Paramètres!$A$1:$I$89,5,0)</f>
        <v>208.68587999999991</v>
      </c>
      <c r="FG76" s="13">
        <f t="shared" si="101"/>
        <v>51.648312584769947</v>
      </c>
      <c r="FH76" s="20">
        <f t="shared" si="76"/>
        <v>453.41538541847422</v>
      </c>
      <c r="FI76" s="59">
        <f t="shared" si="77"/>
        <v>746.74871875180747</v>
      </c>
      <c r="FJ76" s="59">
        <f ca="1">AVERAGE(OFFSET($FI$3,0,0,'Données projet'!$E$16+1,1))-AVERAGE(OFFSET($H$3,0,0,'Données projet'!$E$16+1,1))</f>
        <v>199.58763537752952</v>
      </c>
      <c r="FK76" s="59">
        <f t="shared" si="102"/>
        <v>242.62852778451929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3.1213843563786186</v>
      </c>
      <c r="FS76" s="21">
        <f>EXP(-LN(2)/2)*FS75+(1-EXP(-LN(2)/2))/(LN(2)/2)*FM76*FP76*VLOOKUP('Données projet'!$B$16,Paramètres!$A$1:$I$89,3,0)*0.475*44/12</f>
        <v>3.6285261707215424E-6</v>
      </c>
      <c r="FT76" s="22">
        <f t="shared" si="78"/>
        <v>3.1213879849047892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3.1</v>
      </c>
      <c r="FZ76" s="12">
        <f>IF('Données projet'!$A$244&gt;35,FZ75+FY76-GH75,IF(A76&lt;'Données projet'!$A$244,$FW$205^A76,IF(A76='Données projet'!$A$244,'Données projet'!$B$244,FZ75+FY76-GH75)))</f>
        <v>262.2999999999999</v>
      </c>
      <c r="GA76" s="17">
        <f>FZ76*VLOOKUP('Données projet'!$B$17,Paramètres!$A$1:$I$89,3,0)*VLOOKUP('Données projet'!$B$17,Paramètres!$A$1:$I$89,5,0)</f>
        <v>192.31835999999993</v>
      </c>
      <c r="GB76" s="13">
        <f t="shared" si="103"/>
        <v>48.052146980733127</v>
      </c>
      <c r="GC76" s="20">
        <f t="shared" si="79"/>
        <v>418.6452996581101</v>
      </c>
      <c r="GD76" s="59">
        <f t="shared" si="80"/>
        <v>711.97863299144342</v>
      </c>
      <c r="GE76" s="59">
        <f ca="1">AVERAGE(OFFSET($GD$3,0,0,'Données projet'!$E$17+1,1))-AVERAGE(OFFSET($H$3,0,0,'Données projet'!$E$17+1,1))</f>
        <v>178.12968684094687</v>
      </c>
      <c r="GF76" s="59">
        <f t="shared" si="104"/>
        <v>219.36004077210373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2.333820859874653</v>
      </c>
      <c r="GN76" s="21">
        <f>EXP(-LN(2)/2)*GN75+(1-EXP(-LN(2)/2))/(LN(2)/2)*GH76*GK76*VLOOKUP('Données projet'!$B$17,Paramètres!$A$1:$I$89,3,0)*0.475*44/12</f>
        <v>3.3439358828218106E-6</v>
      </c>
      <c r="GO76" s="21">
        <f t="shared" si="81"/>
        <v>2.3338242038105359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3.1</v>
      </c>
      <c r="GU76" s="12">
        <f>IF('Données projet'!$A$270&gt;35,GU75+GT76-HC75,IF(A76&lt;'Données projet'!$A$270,$GR$205^A76,IF(A76='Données projet'!$A$270,'Données projet'!$B$270,GU75+GT76-HC75)))</f>
        <v>262.2999999999999</v>
      </c>
      <c r="GV76" s="17">
        <f>GU76*VLOOKUP('Données projet'!$B$18,Paramètres!$A$1:$I$89,3,0)*VLOOKUP('Données projet'!$B$18,Paramètres!$A$1:$I$89,5,0)</f>
        <v>208.68587999999991</v>
      </c>
      <c r="GW76" s="13">
        <f t="shared" si="105"/>
        <v>51.648312584769947</v>
      </c>
      <c r="GX76" s="20">
        <f t="shared" si="82"/>
        <v>453.41538541847422</v>
      </c>
      <c r="GY76" s="59">
        <f t="shared" si="83"/>
        <v>746.74871875180747</v>
      </c>
      <c r="GZ76" s="59">
        <f ca="1">AVERAGE(OFFSET($GY$3,0,0,'Données projet'!$E$18+1,1))-AVERAGE(OFFSET($H$3,0,0,'Données projet'!$E$18+1,1))</f>
        <v>199.58763537752952</v>
      </c>
      <c r="HA76" s="59">
        <f t="shared" si="106"/>
        <v>242.62852778451929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0</v>
      </c>
      <c r="HH76" s="21">
        <f>EXP(-LN(2)/25)*HH75+(1-EXP(-LN(2)/25))/(LN(2)/25)*Calculateur!HC76*Calculateur!HE76*VLOOKUP('Données projet'!$B$18,Paramètres!$A$1:$I$89,3,0)*0.475*44/12</f>
        <v>3.1213843563786186</v>
      </c>
      <c r="HI76" s="21">
        <f>EXP(-LN(2)/2)*HI75+(1-EXP(-LN(2)/2))/(LN(2)/2)*HC76*HF76*VLOOKUP('Données projet'!$B$18,Paramètres!$A$1:$I$89,3,0)*0.475*44/12</f>
        <v>3.6285261707215424E-6</v>
      </c>
      <c r="HJ76" s="22">
        <f t="shared" si="84"/>
        <v>3.1213879849047892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289.65384615384613</v>
      </c>
      <c r="L77" s="12">
        <f>VLOOKUP(A77,'Données projet'!$A$35:$I$55,9,0)</f>
        <v>8.6875</v>
      </c>
      <c r="M77" s="12">
        <f t="array" ref="M77">INDEX(L:L,MIN(IF(ISNUMBER(L77:L273),ROW(L77:L273),"")))</f>
        <v>8.6875</v>
      </c>
      <c r="N77" s="13">
        <f>IF('Données projet'!$A$36&gt;35,N76+M77-V76,IF(A77&lt;'Données projet'!$A$36,$K$205^A77,IF(A77='Données projet'!$A$36,'Données projet'!$B$36,N76+M77-V76)))</f>
        <v>289.65384615384602</v>
      </c>
      <c r="O77" s="13">
        <f>N77*VLOOKUP('Données projet'!$B$9,Paramètres!$A$1:$I$89,3,0)*VLOOKUP('Données projet'!$B$9,Paramètres!$A$1:$I$89,5,0)</f>
        <v>262.07879999999989</v>
      </c>
      <c r="P77" s="13">
        <f t="shared" si="87"/>
        <v>63.165288525021069</v>
      </c>
      <c r="Q77" s="20">
        <f t="shared" si="54"/>
        <v>566.46678751441152</v>
      </c>
      <c r="R77" s="59">
        <f t="shared" si="55"/>
        <v>859.80012084774489</v>
      </c>
      <c r="S77" s="59">
        <f ca="1">AVERAGE(OFFSET($R$3,0,0,'Données projet'!$E$9+1,1))-AVERAGE(OFFSET($H$3,0,0,'Données projet'!$E$9+1,1))</f>
        <v>309.07357540707869</v>
      </c>
      <c r="T77" s="59">
        <f t="shared" si="88"/>
        <v>155.9593924683299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52.737179487179482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222.5128205128205</v>
      </c>
      <c r="AG77" s="12">
        <f>VLOOKUP(A77,'Données projet'!$A$61:$I$81,9,0)</f>
        <v>6.6995192307692264</v>
      </c>
      <c r="AH77" s="12">
        <f t="array" ref="AH77">INDEX(AG:AG,MIN(IF(ISNUMBER(AG77:AG273),ROW(AG77:AG273),"")))</f>
        <v>6.6995192307692264</v>
      </c>
      <c r="AI77" s="13">
        <f>IF('Données projet'!$A$62&gt;35,AI76+AH77-AQ76,IF(A77&lt;'Données projet'!$A$62,$AF$205^A77,IF(A77='Données projet'!$A$62,'Données projet'!$B$62,AI76+AH77-AQ76)))</f>
        <v>222.51282051282047</v>
      </c>
      <c r="AJ77" s="13">
        <f>AI77*VLOOKUP('Données projet'!$B$10,Paramètres!$A$1:$I$89,3,0)*VLOOKUP('Données projet'!$B$10,Paramètres!$A$1:$I$89,5,0)</f>
        <v>201.32959999999994</v>
      </c>
      <c r="AK77" s="13">
        <f t="shared" si="89"/>
        <v>50.036260782702151</v>
      </c>
      <c r="AL77" s="20">
        <f t="shared" si="58"/>
        <v>437.7955408632061</v>
      </c>
      <c r="AM77" s="59">
        <f t="shared" si="59"/>
        <v>731.12887419653941</v>
      </c>
      <c r="AN77" s="59">
        <f ca="1">AVERAGE(OFFSET($AM$3,0,0,'Données projet'!$E$10+1,1))-AVERAGE(OFFSET($H$3,0,0,'Données projet'!$E$10+1,1))</f>
        <v>234.30804102916278</v>
      </c>
      <c r="AO77" s="59">
        <f t="shared" si="90"/>
        <v>91.137993288782411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36.865384615384613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12.913461538461533</v>
      </c>
      <c r="BD77" s="12">
        <f>IF('Données projet'!$A$88&gt;35,BD76+BC77-BL76,IF(A77&lt;'Données projet'!$A$88,$BA$205^A77,IF(A77='Données projet'!$A$88,'Données projet'!$B$88,BD76+BC77-BL76)))</f>
        <v>372.29423076923086</v>
      </c>
      <c r="BE77" s="13">
        <f>BD77*VLOOKUP('Données projet'!$B$11,Paramètres!$A$1:$I$89,3,0)*VLOOKUP('Données projet'!$B$11,Paramètres!$A$1:$I$89,5,0)</f>
        <v>174.23370000000006</v>
      </c>
      <c r="BF77" s="13">
        <f t="shared" si="91"/>
        <v>44.036869769028705</v>
      </c>
      <c r="BG77" s="20">
        <f t="shared" si="61"/>
        <v>380.15457568105836</v>
      </c>
      <c r="BH77" s="59">
        <f t="shared" si="62"/>
        <v>673.48790901439168</v>
      </c>
      <c r="BI77" s="59">
        <f ca="1">AVERAGE(OFFSET($BH$3,0,0,'Données projet'!$E$11+1,1))-AVERAGE(OFFSET($H$3,0,0,'Données projet'!$E$11+1,1))</f>
        <v>158.58786357608489</v>
      </c>
      <c r="BJ77" s="59">
        <f t="shared" si="92"/>
        <v>163.20074068819849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9.52371794871795</v>
      </c>
      <c r="BY77" s="12">
        <f>IF('Données projet'!$A$114&gt;35,BY76+BX77-CG76,IF(A77&lt;'Données projet'!$A$114,$BV$205^A77,IF(A77='Données projet'!$A$114,'Données projet'!$B$114,BY76+BX77-CG76)))</f>
        <v>274.06987179487169</v>
      </c>
      <c r="BZ77" s="13">
        <f>BY77*VLOOKUP('Données projet'!$B$12,Paramètres!$A$1:$I$89,3,0)*VLOOKUP('Données projet'!$B$12,Paramètres!$A$1:$I$89,5,0)</f>
        <v>128.26469999999995</v>
      </c>
      <c r="CA77" s="13">
        <f t="shared" si="93"/>
        <v>33.595069382484645</v>
      </c>
      <c r="CB77" s="20">
        <f t="shared" si="64"/>
        <v>281.90576500782731</v>
      </c>
      <c r="CC77" s="59">
        <f t="shared" si="65"/>
        <v>575.23909834116057</v>
      </c>
      <c r="CD77" s="59">
        <f ca="1">AVERAGE(OFFSET($CC$3,0,0,'Données projet'!$E$12+1,1))-AVERAGE(OFFSET($H$3,0,0,'Données projet'!$E$12+1,1))</f>
        <v>123.2823358462245</v>
      </c>
      <c r="CE77" s="59">
        <f t="shared" si="94"/>
        <v>92.75115399786057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7.5584615384615343</v>
      </c>
      <c r="CT77" s="12">
        <f>IF('Données projet'!$A$140&gt;35,CT76+CS77-DB76,IF(A77&lt;'Données projet'!$A$140,$CQ$205^A77,IF(A77='Données projet'!$A$140,'Données projet'!$B$140,CT76+CS77-DB76)))</f>
        <v>357.55692307692283</v>
      </c>
      <c r="CU77" s="17">
        <f>CT77*VLOOKUP('Données projet'!$B$13,Paramètres!$A$1:$I$89,3,0)*VLOOKUP('Données projet'!$B$13,Paramètres!$A$1:$I$89,5,0)</f>
        <v>213.81903999999986</v>
      </c>
      <c r="CV77" s="13">
        <f t="shared" si="95"/>
        <v>52.769264634128973</v>
      </c>
      <c r="CW77" s="20">
        <f t="shared" si="67"/>
        <v>464.30796390444101</v>
      </c>
      <c r="CX77" s="59">
        <f t="shared" si="68"/>
        <v>757.64129723777432</v>
      </c>
      <c r="CY77" s="59">
        <f ca="1">AVERAGE(OFFSET($CX$3,0,0,'Données projet'!$E$13+1,1))-AVERAGE(OFFSET($H$3,0,0,'Données projet'!$E$13+1,1))</f>
        <v>179.32848817523677</v>
      </c>
      <c r="CZ77" s="59">
        <f t="shared" si="96"/>
        <v>131.3292389103035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3.8913939928800518</v>
      </c>
      <c r="DH77" s="21">
        <f>EXP(-LN(2)/2)*DH76+(1-EXP(-LN(2)/2))/(LN(2)/2)*DB77*DE77*VLOOKUP('Données projet'!$B$13,Paramètres!$A$1:$I$89,3,0)*0.475*44/12</f>
        <v>1.254765838919983E-6</v>
      </c>
      <c r="DI77" s="22">
        <f t="shared" si="69"/>
        <v>3.8913952476458906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>
        <f>VLOOKUP(A77,'Données projet'!$A$165:$I$185,2,0)</f>
        <v>289.65384615384613</v>
      </c>
      <c r="DM77" s="12">
        <f>VLOOKUP(A77,'Données projet'!$A$165:$I$185,9,0)</f>
        <v>8.6875</v>
      </c>
      <c r="DN77" s="12">
        <f t="array" ref="DN77">INDEX(DM:DM,MIN(IF(ISNUMBER(DM77:DM273),ROW(DM77:DM273),"")))</f>
        <v>8.6875</v>
      </c>
      <c r="DO77" s="12">
        <f>IF('Données projet'!$A$166&gt;35,DO76+DN77-DW76,IF(A77&lt;'Données projet'!$A$166,$DL$205^A77,IF(A77='Données projet'!$A$166,'Données projet'!$B$166,DO76+DN77-DW76)))</f>
        <v>289.65384615384602</v>
      </c>
      <c r="DP77" s="17">
        <f>DO77*VLOOKUP('Données projet'!$B$14,Paramètres!$A$1:$I$89,3,0)*VLOOKUP('Données projet'!$B$14,Paramètres!$A$1:$I$89,5,0)</f>
        <v>280.15319999999986</v>
      </c>
      <c r="DQ77" s="13">
        <f t="shared" si="97"/>
        <v>66.999383414338382</v>
      </c>
      <c r="DR77" s="20">
        <f t="shared" si="70"/>
        <v>604.62408277997235</v>
      </c>
      <c r="DS77" s="59">
        <f t="shared" si="71"/>
        <v>897.95741611330573</v>
      </c>
      <c r="DT77" s="59">
        <f ca="1">AVERAGE(OFFSET($DS$3,0,0,'Données projet'!$E$14+1,1))-AVERAGE(OFFSET($H$3,0,0,'Données projet'!$E$14+1,1))</f>
        <v>340.4659523898373</v>
      </c>
      <c r="DU77" s="59">
        <f t="shared" si="98"/>
        <v>170.54530785680572</v>
      </c>
      <c r="DV77" s="15">
        <f>IF(ISNA(VLOOKUP(A77,'Données projet'!$A$165:$I$185,3,0)),0,VLOOKUP(A77,'Données projet'!$A$165:$I$185,3,0))</f>
        <v>6</v>
      </c>
      <c r="DW77" s="15">
        <f>IF(ISNA(VLOOKUP(A77,'Données projet'!$A$165:$I$185,4,0)),0,VLOOKUP(A77,'Données projet'!$A$165:$I$185,4,0))</f>
        <v>52.737179487179482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0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>
        <f>VLOOKUP(A77,'Données projet'!$A$191:$I$211,2,0)</f>
        <v>222.5128205128205</v>
      </c>
      <c r="EH77" s="12">
        <f>VLOOKUP(A77,'Données projet'!$A$191:$I$211,9,0)</f>
        <v>6.6995192307692264</v>
      </c>
      <c r="EI77" s="12">
        <f t="array" ref="EI77">INDEX(EH:EH,MIN(IF(ISNUMBER(EH77:EH273),ROW(EH77:EH273),"")))</f>
        <v>6.6995192307692264</v>
      </c>
      <c r="EJ77" s="12">
        <f>IF('Données projet'!$A$192&gt;35,EJ76+EI77-ER76,IF(A77&lt;'Données projet'!$A$192,$EG$205^A77,IF(A77='Données projet'!$A$192,'Données projet'!$B$192,EJ76+EI77-ER76)))</f>
        <v>222.51282051282047</v>
      </c>
      <c r="EK77" s="17">
        <f>EJ77*VLOOKUP('Données projet'!$B$15,Paramètres!$A$1:$I$89,3,0)*VLOOKUP('Données projet'!$B$15,Paramètres!$A$1:$I$89,5,0)</f>
        <v>215.21439999999996</v>
      </c>
      <c r="EL77" s="13">
        <f t="shared" si="99"/>
        <v>53.073431612239538</v>
      </c>
      <c r="EM77" s="20">
        <f t="shared" si="73"/>
        <v>467.26797339131707</v>
      </c>
      <c r="EN77" s="59">
        <f t="shared" si="74"/>
        <v>760.60130672465039</v>
      </c>
      <c r="EO77" s="59">
        <f ca="1">AVERAGE(OFFSET($EN$3,0,0,'Données projet'!$E$15+1,1))-AVERAGE(OFFSET($H$3,0,0,'Données projet'!$E$15+1,1))</f>
        <v>262.20955982183017</v>
      </c>
      <c r="EP77" s="59">
        <f t="shared" si="100"/>
        <v>101.35842063036193</v>
      </c>
      <c r="EQ77" s="15">
        <f>IF(ISNA(VLOOKUP(A77,'Données projet'!$A$191:$I$211,3,0)),0,VLOOKUP(A77,'Données projet'!$A$191:$I$211,3,0))</f>
        <v>5</v>
      </c>
      <c r="ER77" s="15">
        <f>IF(ISNA(VLOOKUP(A77,'Données projet'!$A$191:$I$211,4,0)),0,VLOOKUP(A77,'Données projet'!$A$191:$I$211,4,0))</f>
        <v>36.865384615384613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3.1</v>
      </c>
      <c r="FE77" s="12">
        <f>IF('Données projet'!$A$218&gt;35,FE76+FD77-FM76,IF(A77&lt;'Données projet'!$A$218,$FB$205^A77,IF(A77='Données projet'!$A$218,'Données projet'!$B$218,FE76+FD77-FM76)))</f>
        <v>265.39999999999992</v>
      </c>
      <c r="FF77" s="17">
        <f>FE77*VLOOKUP('Données projet'!$B$16,Paramètres!$A$1:$I$89,3,0)*VLOOKUP('Données projet'!$B$16,Paramètres!$A$1:$I$89,5,0)</f>
        <v>211.15223999999995</v>
      </c>
      <c r="FG77" s="13">
        <f t="shared" si="101"/>
        <v>52.187298885462759</v>
      </c>
      <c r="FH77" s="20">
        <f t="shared" si="76"/>
        <v>458.64969689218088</v>
      </c>
      <c r="FI77" s="59">
        <f t="shared" si="77"/>
        <v>751.9830302255142</v>
      </c>
      <c r="FJ77" s="59">
        <f ca="1">AVERAGE(OFFSET($FI$3,0,0,'Données projet'!$E$16+1,1))-AVERAGE(OFFSET($H$3,0,0,'Données projet'!$E$16+1,1))</f>
        <v>199.58763537752952</v>
      </c>
      <c r="FK77" s="59">
        <f t="shared" si="102"/>
        <v>242.62852778451929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3.0360299370069761</v>
      </c>
      <c r="FS77" s="21">
        <f>EXP(-LN(2)/2)*FS76+(1-EXP(-LN(2)/2))/(LN(2)/2)*FM77*FP77*VLOOKUP('Données projet'!$B$16,Paramètres!$A$1:$I$89,3,0)*0.475*44/12</f>
        <v>2.5657554610300588E-6</v>
      </c>
      <c r="FT77" s="22">
        <f t="shared" si="78"/>
        <v>3.0360325027624371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3.1</v>
      </c>
      <c r="FZ77" s="12">
        <f>IF('Données projet'!$A$244&gt;35,FZ76+FY77-GH76,IF(A77&lt;'Données projet'!$A$244,$FW$205^A77,IF(A77='Données projet'!$A$244,'Données projet'!$B$244,FZ76+FY77-GH76)))</f>
        <v>265.39999999999992</v>
      </c>
      <c r="GA77" s="17">
        <f>FZ77*VLOOKUP('Données projet'!$B$17,Paramètres!$A$1:$I$89,3,0)*VLOOKUP('Données projet'!$B$17,Paramètres!$A$1:$I$89,5,0)</f>
        <v>194.59127999999993</v>
      </c>
      <c r="GB77" s="13">
        <f t="shared" si="103"/>
        <v>48.553604775680185</v>
      </c>
      <c r="GC77" s="20">
        <f t="shared" si="79"/>
        <v>423.47734098430948</v>
      </c>
      <c r="GD77" s="59">
        <f t="shared" si="80"/>
        <v>716.81067431764279</v>
      </c>
      <c r="GE77" s="59">
        <f ca="1">AVERAGE(OFFSET($GD$3,0,0,'Données projet'!$E$17+1,1))-AVERAGE(OFFSET($H$3,0,0,'Données projet'!$E$17+1,1))</f>
        <v>178.12968684094687</v>
      </c>
      <c r="GF77" s="59">
        <f t="shared" si="104"/>
        <v>219.36004077210373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2.2700024057310757</v>
      </c>
      <c r="GN77" s="21">
        <f>EXP(-LN(2)/2)*GN76+(1-EXP(-LN(2)/2))/(LN(2)/2)*GH77*GK77*VLOOKUP('Données projet'!$B$17,Paramètres!$A$1:$I$89,3,0)*0.475*44/12</f>
        <v>2.3645197385963267E-6</v>
      </c>
      <c r="GO77" s="21">
        <f t="shared" si="81"/>
        <v>2.2700047702508144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3.1</v>
      </c>
      <c r="GU77" s="12">
        <f>IF('Données projet'!$A$270&gt;35,GU76+GT77-HC76,IF(A77&lt;'Données projet'!$A$270,$GR$205^A77,IF(A77='Données projet'!$A$270,'Données projet'!$B$270,GU76+GT77-HC76)))</f>
        <v>265.39999999999992</v>
      </c>
      <c r="GV77" s="17">
        <f>GU77*VLOOKUP('Données projet'!$B$18,Paramètres!$A$1:$I$89,3,0)*VLOOKUP('Données projet'!$B$18,Paramètres!$A$1:$I$89,5,0)</f>
        <v>211.15223999999995</v>
      </c>
      <c r="GW77" s="13">
        <f t="shared" si="105"/>
        <v>52.187298885462759</v>
      </c>
      <c r="GX77" s="20">
        <f t="shared" si="82"/>
        <v>458.64969689218088</v>
      </c>
      <c r="GY77" s="59">
        <f t="shared" si="83"/>
        <v>751.9830302255142</v>
      </c>
      <c r="GZ77" s="59">
        <f ca="1">AVERAGE(OFFSET($GY$3,0,0,'Données projet'!$E$18+1,1))-AVERAGE(OFFSET($H$3,0,0,'Données projet'!$E$18+1,1))</f>
        <v>199.58763537752952</v>
      </c>
      <c r="HA77" s="59">
        <f t="shared" si="106"/>
        <v>242.62852778451929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0</v>
      </c>
      <c r="HH77" s="21">
        <f>EXP(-LN(2)/25)*HH76+(1-EXP(-LN(2)/25))/(LN(2)/25)*Calculateur!HC77*Calculateur!HE77*VLOOKUP('Données projet'!$B$18,Paramètres!$A$1:$I$89,3,0)*0.475*44/12</f>
        <v>3.0360299370069761</v>
      </c>
      <c r="HI77" s="21">
        <f>EXP(-LN(2)/2)*HI76+(1-EXP(-LN(2)/2))/(LN(2)/2)*HC77*HF77*VLOOKUP('Données projet'!$B$18,Paramètres!$A$1:$I$89,3,0)*0.475*44/12</f>
        <v>2.5657554610300588E-6</v>
      </c>
      <c r="HJ77" s="22">
        <f t="shared" si="84"/>
        <v>3.0360325027624371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8.1746794871794854</v>
      </c>
      <c r="N78" s="13">
        <f>IF('Données projet'!$A$36&gt;35,N77+M78-V77,IF(A78&lt;'Données projet'!$A$36,$K$205^A78,IF(A78='Données projet'!$A$36,'Données projet'!$B$36,N77+M78-V77)))</f>
        <v>245.09134615384605</v>
      </c>
      <c r="O78" s="13">
        <f>N78*VLOOKUP('Données projet'!$B$9,Paramètres!$A$1:$I$89,3,0)*VLOOKUP('Données projet'!$B$9,Paramètres!$A$1:$I$89,5,0)</f>
        <v>221.7586499999999</v>
      </c>
      <c r="P78" s="13">
        <f t="shared" si="87"/>
        <v>54.49694230414304</v>
      </c>
      <c r="Q78" s="20">
        <f t="shared" si="54"/>
        <v>481.14515659638232</v>
      </c>
      <c r="R78" s="59">
        <f t="shared" si="55"/>
        <v>774.47848992971558</v>
      </c>
      <c r="S78" s="59">
        <f ca="1">AVERAGE(OFFSET($R$3,0,0,'Données projet'!$E$9+1,1))-AVERAGE(OFFSET($H$3,0,0,'Données projet'!$E$9+1,1))</f>
        <v>309.07357540707869</v>
      </c>
      <c r="T78" s="59">
        <f t="shared" si="88"/>
        <v>155.9593924683299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6.533974358974362</v>
      </c>
      <c r="AI78" s="13">
        <f>IF('Données projet'!$A$62&gt;35,AI77+AH78-AQ77,IF(A78&lt;'Données projet'!$A$62,$AF$205^A78,IF(A78='Données projet'!$A$62,'Données projet'!$B$62,AI77+AH78-AQ77)))</f>
        <v>192.1814102564102</v>
      </c>
      <c r="AJ78" s="13">
        <f>AI78*VLOOKUP('Données projet'!$B$10,Paramètres!$A$1:$I$89,3,0)*VLOOKUP('Données projet'!$B$10,Paramètres!$A$1:$I$89,5,0)</f>
        <v>173.88573999999994</v>
      </c>
      <c r="AK78" s="13">
        <f t="shared" si="89"/>
        <v>43.959152089733607</v>
      </c>
      <c r="AL78" s="20">
        <f t="shared" si="58"/>
        <v>379.41318705628595</v>
      </c>
      <c r="AM78" s="59">
        <f t="shared" si="59"/>
        <v>672.74652038961926</v>
      </c>
      <c r="AN78" s="59">
        <f ca="1">AVERAGE(OFFSET($AM$3,0,0,'Données projet'!$E$10+1,1))-AVERAGE(OFFSET($H$3,0,0,'Données projet'!$E$10+1,1))</f>
        <v>234.30804102916278</v>
      </c>
      <c r="AO78" s="59">
        <f t="shared" si="90"/>
        <v>91.137993288782411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12.913461538461533</v>
      </c>
      <c r="BD78" s="12">
        <f>IF('Données projet'!$A$88&gt;35,BD77+BC78-BL77,IF(A78&lt;'Données projet'!$A$88,$BA$205^A78,IF(A78='Données projet'!$A$88,'Données projet'!$B$88,BD77+BC78-BL77)))</f>
        <v>385.20769230769241</v>
      </c>
      <c r="BE78" s="13">
        <f>BD78*VLOOKUP('Données projet'!$B$11,Paramètres!$A$1:$I$89,3,0)*VLOOKUP('Données projet'!$B$11,Paramètres!$A$1:$I$89,5,0)</f>
        <v>180.27720000000005</v>
      </c>
      <c r="BF78" s="13">
        <f t="shared" si="91"/>
        <v>45.383852535093837</v>
      </c>
      <c r="BG78" s="20">
        <f t="shared" si="61"/>
        <v>393.02633316528846</v>
      </c>
      <c r="BH78" s="59">
        <f t="shared" si="62"/>
        <v>686.35966649862178</v>
      </c>
      <c r="BI78" s="59">
        <f ca="1">AVERAGE(OFFSET($BH$3,0,0,'Données projet'!$E$11+1,1))-AVERAGE(OFFSET($H$3,0,0,'Données projet'!$E$11+1,1))</f>
        <v>158.58786357608489</v>
      </c>
      <c r="BJ78" s="59">
        <f t="shared" si="92"/>
        <v>163.20074068819849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9.52371794871795</v>
      </c>
      <c r="BY78" s="12">
        <f>IF('Données projet'!$A$114&gt;35,BY77+BX78-CG77,IF(A78&lt;'Données projet'!$A$114,$BV$205^A78,IF(A78='Données projet'!$A$114,'Données projet'!$B$114,BY77+BX78-CG77)))</f>
        <v>283.59358974358963</v>
      </c>
      <c r="BZ78" s="13">
        <f>BY78*VLOOKUP('Données projet'!$B$12,Paramètres!$A$1:$I$89,3,0)*VLOOKUP('Données projet'!$B$12,Paramètres!$A$1:$I$89,5,0)</f>
        <v>132.72179999999994</v>
      </c>
      <c r="CA78" s="13">
        <f t="shared" si="93"/>
        <v>34.624526937017947</v>
      </c>
      <c r="CB78" s="20">
        <f t="shared" si="64"/>
        <v>291.4615194153061</v>
      </c>
      <c r="CC78" s="59">
        <f t="shared" si="65"/>
        <v>584.79485274863941</v>
      </c>
      <c r="CD78" s="59">
        <f ca="1">AVERAGE(OFFSET($CC$3,0,0,'Données projet'!$E$12+1,1))-AVERAGE(OFFSET($H$3,0,0,'Données projet'!$E$12+1,1))</f>
        <v>123.2823358462245</v>
      </c>
      <c r="CE78" s="59">
        <f t="shared" si="94"/>
        <v>92.75115399786057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7.5584615384615343</v>
      </c>
      <c r="CT78" s="12">
        <f>IF('Données projet'!$A$140&gt;35,CT77+CS78-DB77,IF(A78&lt;'Données projet'!$A$140,$CQ$205^A78,IF(A78='Données projet'!$A$140,'Données projet'!$B$140,CT77+CS78-DB77)))</f>
        <v>365.11538461538436</v>
      </c>
      <c r="CU78" s="17">
        <f>CT78*VLOOKUP('Données projet'!$B$13,Paramètres!$A$1:$I$89,3,0)*VLOOKUP('Données projet'!$B$13,Paramètres!$A$1:$I$89,5,0)</f>
        <v>218.33899999999988</v>
      </c>
      <c r="CV78" s="13">
        <f t="shared" si="95"/>
        <v>53.753716498326504</v>
      </c>
      <c r="CW78" s="20">
        <f t="shared" si="67"/>
        <v>473.8948145679185</v>
      </c>
      <c r="CX78" s="59">
        <f t="shared" si="68"/>
        <v>767.22814790125176</v>
      </c>
      <c r="CY78" s="59">
        <f ca="1">AVERAGE(OFFSET($CX$3,0,0,'Données projet'!$E$13+1,1))-AVERAGE(OFFSET($H$3,0,0,'Données projet'!$E$13+1,1))</f>
        <v>179.32848817523677</v>
      </c>
      <c r="CZ78" s="59">
        <f t="shared" si="96"/>
        <v>131.3292389103035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3.7849836195052307</v>
      </c>
      <c r="DH78" s="21">
        <f>EXP(-LN(2)/2)*DH77+(1-EXP(-LN(2)/2))/(LN(2)/2)*DB78*DE78*VLOOKUP('Données projet'!$B$13,Paramètres!$A$1:$I$89,3,0)*0.475*44/12</f>
        <v>8.8725343350154718E-7</v>
      </c>
      <c r="DI78" s="22">
        <f t="shared" si="69"/>
        <v>3.784984506758664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8.1746794871794854</v>
      </c>
      <c r="DO78" s="12">
        <f>IF('Données projet'!$A$166&gt;35,DO77+DN78-DW77,IF(A78&lt;'Données projet'!$A$166,$DL$205^A78,IF(A78='Données projet'!$A$166,'Données projet'!$B$166,DO77+DN78-DW77)))</f>
        <v>245.09134615384605</v>
      </c>
      <c r="DP78" s="17">
        <f>DO78*VLOOKUP('Données projet'!$B$14,Paramètres!$A$1:$I$89,3,0)*VLOOKUP('Données projet'!$B$14,Paramètres!$A$1:$I$89,5,0)</f>
        <v>237.05234999999993</v>
      </c>
      <c r="DQ78" s="13">
        <f t="shared" si="97"/>
        <v>57.804873809735234</v>
      </c>
      <c r="DR78" s="20">
        <f t="shared" si="70"/>
        <v>513.54299813528871</v>
      </c>
      <c r="DS78" s="59">
        <f t="shared" si="71"/>
        <v>806.87633146862208</v>
      </c>
      <c r="DT78" s="59">
        <f ca="1">AVERAGE(OFFSET($DS$3,0,0,'Données projet'!$E$14+1,1))-AVERAGE(OFFSET($H$3,0,0,'Données projet'!$E$14+1,1))</f>
        <v>340.4659523898373</v>
      </c>
      <c r="DU78" s="59">
        <f t="shared" si="98"/>
        <v>170.54530785680572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0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6.533974358974362</v>
      </c>
      <c r="EJ78" s="12">
        <f>IF('Données projet'!$A$192&gt;35,EJ77+EI78-ER77,IF(A78&lt;'Données projet'!$A$192,$EG$205^A78,IF(A78='Données projet'!$A$192,'Données projet'!$B$192,EJ77+EI78-ER77)))</f>
        <v>192.1814102564102</v>
      </c>
      <c r="EK78" s="17">
        <f>EJ78*VLOOKUP('Données projet'!$B$15,Paramètres!$A$1:$I$89,3,0)*VLOOKUP('Données projet'!$B$15,Paramètres!$A$1:$I$89,5,0)</f>
        <v>185.87785999999997</v>
      </c>
      <c r="EL78" s="13">
        <f t="shared" si="99"/>
        <v>46.627446089518138</v>
      </c>
      <c r="EM78" s="20">
        <f t="shared" si="73"/>
        <v>404.94674143924408</v>
      </c>
      <c r="EN78" s="59">
        <f t="shared" si="74"/>
        <v>698.28007477257734</v>
      </c>
      <c r="EO78" s="59">
        <f ca="1">AVERAGE(OFFSET($EN$3,0,0,'Données projet'!$E$15+1,1))-AVERAGE(OFFSET($H$3,0,0,'Données projet'!$E$15+1,1))</f>
        <v>262.20955982183017</v>
      </c>
      <c r="EP78" s="59">
        <f t="shared" si="100"/>
        <v>101.35842063036193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3.1</v>
      </c>
      <c r="FE78" s="12">
        <f>IF('Données projet'!$A$218&gt;35,FE77+FD78-FM77,IF(A78&lt;'Données projet'!$A$218,$FB$205^A78,IF(A78='Données projet'!$A$218,'Données projet'!$B$218,FE77+FD78-FM77)))</f>
        <v>268.49999999999994</v>
      </c>
      <c r="FF78" s="17">
        <f>FE78*VLOOKUP('Données projet'!$B$16,Paramètres!$A$1:$I$89,3,0)*VLOOKUP('Données projet'!$B$16,Paramètres!$A$1:$I$89,5,0)</f>
        <v>213.61859999999996</v>
      </c>
      <c r="FG78" s="13">
        <f t="shared" si="101"/>
        <v>52.725552856326011</v>
      </c>
      <c r="FH78" s="20">
        <f t="shared" si="76"/>
        <v>463.88273289143444</v>
      </c>
      <c r="FI78" s="59">
        <f t="shared" si="77"/>
        <v>757.2160662247677</v>
      </c>
      <c r="FJ78" s="59">
        <f ca="1">AVERAGE(OFFSET($FI$3,0,0,'Données projet'!$E$16+1,1))-AVERAGE(OFFSET($H$3,0,0,'Données projet'!$E$16+1,1))</f>
        <v>199.58763537752952</v>
      </c>
      <c r="FK78" s="59">
        <f t="shared" si="102"/>
        <v>242.62852778451929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2.9530095387216448</v>
      </c>
      <c r="FS78" s="21">
        <f>EXP(-LN(2)/2)*FS77+(1-EXP(-LN(2)/2))/(LN(2)/2)*FM78*FP78*VLOOKUP('Données projet'!$B$16,Paramètres!$A$1:$I$89,3,0)*0.475*44/12</f>
        <v>1.8142630853607712E-6</v>
      </c>
      <c r="FT78" s="22">
        <f t="shared" si="78"/>
        <v>2.9530113529847304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3.1</v>
      </c>
      <c r="FZ78" s="12">
        <f>IF('Données projet'!$A$244&gt;35,FZ77+FY78-GH77,IF(A78&lt;'Données projet'!$A$244,$FW$205^A78,IF(A78='Données projet'!$A$244,'Données projet'!$B$244,FZ77+FY78-GH77)))</f>
        <v>268.49999999999994</v>
      </c>
      <c r="GA78" s="17">
        <f>FZ78*VLOOKUP('Données projet'!$B$17,Paramètres!$A$1:$I$89,3,0)*VLOOKUP('Données projet'!$B$17,Paramètres!$A$1:$I$89,5,0)</f>
        <v>196.86419999999995</v>
      </c>
      <c r="GB78" s="13">
        <f t="shared" si="103"/>
        <v>49.054381231414986</v>
      </c>
      <c r="GC78" s="20">
        <f t="shared" si="79"/>
        <v>428.30819564471432</v>
      </c>
      <c r="GD78" s="59">
        <f t="shared" si="80"/>
        <v>721.64152897804763</v>
      </c>
      <c r="GE78" s="59">
        <f ca="1">AVERAGE(OFFSET($GD$3,0,0,'Données projet'!$E$17+1,1))-AVERAGE(OFFSET($H$3,0,0,'Données projet'!$E$17+1,1))</f>
        <v>178.12968684094687</v>
      </c>
      <c r="GF78" s="59">
        <f t="shared" si="104"/>
        <v>219.36004077210373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2.2079290705721211</v>
      </c>
      <c r="GN78" s="21">
        <f>EXP(-LN(2)/2)*GN77+(1-EXP(-LN(2)/2))/(LN(2)/2)*GH78*GK78*VLOOKUP('Données projet'!$B$17,Paramètres!$A$1:$I$89,3,0)*0.475*44/12</f>
        <v>1.6719679414109053E-6</v>
      </c>
      <c r="GO78" s="21">
        <f t="shared" si="81"/>
        <v>2.2079307425400625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3.1</v>
      </c>
      <c r="GU78" s="12">
        <f>IF('Données projet'!$A$270&gt;35,GU77+GT78-HC77,IF(A78&lt;'Données projet'!$A$270,$GR$205^A78,IF(A78='Données projet'!$A$270,'Données projet'!$B$270,GU77+GT78-HC77)))</f>
        <v>268.49999999999994</v>
      </c>
      <c r="GV78" s="17">
        <f>GU78*VLOOKUP('Données projet'!$B$18,Paramètres!$A$1:$I$89,3,0)*VLOOKUP('Données projet'!$B$18,Paramètres!$A$1:$I$89,5,0)</f>
        <v>213.61859999999996</v>
      </c>
      <c r="GW78" s="13">
        <f t="shared" si="105"/>
        <v>52.725552856326011</v>
      </c>
      <c r="GX78" s="20">
        <f t="shared" si="82"/>
        <v>463.88273289143444</v>
      </c>
      <c r="GY78" s="59">
        <f t="shared" si="83"/>
        <v>757.2160662247677</v>
      </c>
      <c r="GZ78" s="59">
        <f ca="1">AVERAGE(OFFSET($GY$3,0,0,'Données projet'!$E$18+1,1))-AVERAGE(OFFSET($H$3,0,0,'Données projet'!$E$18+1,1))</f>
        <v>199.58763537752952</v>
      </c>
      <c r="HA78" s="59">
        <f t="shared" si="106"/>
        <v>242.62852778451929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>
        <f>EXP(-LN(2)/35)*HG77+(1-EXP(-LN(2)/35))/(LN(2)/35)*HC78*HD78*VLOOKUP('Données projet'!$B$18,Paramètres!$A$1:$I$89,3,0)*0.475*44/12</f>
        <v>0</v>
      </c>
      <c r="HH78" s="21">
        <f>EXP(-LN(2)/25)*HH77+(1-EXP(-LN(2)/25))/(LN(2)/25)*Calculateur!HC78*Calculateur!HE78*VLOOKUP('Données projet'!$B$18,Paramètres!$A$1:$I$89,3,0)*0.475*44/12</f>
        <v>2.9530095387216448</v>
      </c>
      <c r="HI78" s="21">
        <f>EXP(-LN(2)/2)*HI77+(1-EXP(-LN(2)/2))/(LN(2)/2)*HC78*HF78*VLOOKUP('Données projet'!$B$18,Paramètres!$A$1:$I$89,3,0)*0.475*44/12</f>
        <v>1.8142630853607712E-6</v>
      </c>
      <c r="HJ78" s="22">
        <f t="shared" si="84"/>
        <v>2.9530113529847304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8.1746794871794854</v>
      </c>
      <c r="N79" s="13">
        <f>IF('Données projet'!$A$36&gt;35,N78+M79-V78,IF(A79&lt;'Données projet'!$A$36,$K$205^A79,IF(A79='Données projet'!$A$36,'Données projet'!$B$36,N78+M79-V78)))</f>
        <v>253.26602564102552</v>
      </c>
      <c r="O79" s="13">
        <f>N79*VLOOKUP('Données projet'!$B$9,Paramètres!$A$1:$I$89,3,0)*VLOOKUP('Données projet'!$B$9,Paramètres!$A$1:$I$89,5,0)</f>
        <v>229.15509999999986</v>
      </c>
      <c r="P79" s="13">
        <f t="shared" si="87"/>
        <v>56.099955286020709</v>
      </c>
      <c r="Q79" s="20">
        <f t="shared" si="54"/>
        <v>496.8192212898191</v>
      </c>
      <c r="R79" s="59">
        <f t="shared" si="55"/>
        <v>790.15255462315235</v>
      </c>
      <c r="S79" s="59">
        <f ca="1">AVERAGE(OFFSET($R$3,0,0,'Données projet'!$E$9+1,1))-AVERAGE(OFFSET($H$3,0,0,'Données projet'!$E$9+1,1))</f>
        <v>309.07357540707869</v>
      </c>
      <c r="T79" s="59">
        <f t="shared" si="88"/>
        <v>155.9593924683299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6.533974358974362</v>
      </c>
      <c r="AI79" s="13">
        <f>IF('Données projet'!$A$62&gt;35,AI78+AH79-AQ78,IF(A79&lt;'Données projet'!$A$62,$AF$205^A79,IF(A79='Données projet'!$A$62,'Données projet'!$B$62,AI78+AH79-AQ78)))</f>
        <v>198.71538461538455</v>
      </c>
      <c r="AJ79" s="13">
        <f>AI79*VLOOKUP('Données projet'!$B$10,Paramètres!$A$1:$I$89,3,0)*VLOOKUP('Données projet'!$B$10,Paramètres!$A$1:$I$89,5,0)</f>
        <v>179.79767999999993</v>
      </c>
      <c r="AK79" s="13">
        <f t="shared" si="89"/>
        <v>45.277170748284526</v>
      </c>
      <c r="AL79" s="20">
        <f t="shared" si="58"/>
        <v>392.00536505326204</v>
      </c>
      <c r="AM79" s="59">
        <f t="shared" si="59"/>
        <v>685.3386983865953</v>
      </c>
      <c r="AN79" s="59">
        <f ca="1">AVERAGE(OFFSET($AM$3,0,0,'Données projet'!$E$10+1,1))-AVERAGE(OFFSET($H$3,0,0,'Données projet'!$E$10+1,1))</f>
        <v>234.30804102916278</v>
      </c>
      <c r="AO79" s="59">
        <f t="shared" si="90"/>
        <v>91.137993288782411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12.913461538461533</v>
      </c>
      <c r="BD79" s="12">
        <f>IF('Données projet'!$A$88&gt;35,BD78+BC79-BL78,IF(A79&lt;'Données projet'!$A$88,$BA$205^A79,IF(A79='Données projet'!$A$88,'Données projet'!$B$88,BD78+BC79-BL78)))</f>
        <v>398.12115384615396</v>
      </c>
      <c r="BE79" s="13">
        <f>BD79*VLOOKUP('Données projet'!$B$11,Paramètres!$A$1:$I$89,3,0)*VLOOKUP('Données projet'!$B$11,Paramètres!$A$1:$I$89,5,0)</f>
        <v>186.32070000000004</v>
      </c>
      <c r="BF79" s="13">
        <f t="shared" si="91"/>
        <v>46.725588415193215</v>
      </c>
      <c r="BG79" s="20">
        <f t="shared" si="61"/>
        <v>405.88895232312825</v>
      </c>
      <c r="BH79" s="59">
        <f t="shared" si="62"/>
        <v>699.22228565646151</v>
      </c>
      <c r="BI79" s="59">
        <f ca="1">AVERAGE(OFFSET($BH$3,0,0,'Données projet'!$E$11+1,1))-AVERAGE(OFFSET($H$3,0,0,'Données projet'!$E$11+1,1))</f>
        <v>158.58786357608489</v>
      </c>
      <c r="BJ79" s="59">
        <f t="shared" si="92"/>
        <v>163.20074068819849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9.52371794871795</v>
      </c>
      <c r="BY79" s="12">
        <f>IF('Données projet'!$A$114&gt;35,BY78+BX79-CG78,IF(A79&lt;'Données projet'!$A$114,$BV$205^A79,IF(A79='Données projet'!$A$114,'Données projet'!$B$114,BY78+BX79-CG78)))</f>
        <v>293.11730769230758</v>
      </c>
      <c r="BZ79" s="13">
        <f>BY79*VLOOKUP('Données projet'!$B$12,Paramètres!$A$1:$I$89,3,0)*VLOOKUP('Données projet'!$B$12,Paramètres!$A$1:$I$89,5,0)</f>
        <v>137.17889999999994</v>
      </c>
      <c r="CA79" s="13">
        <f t="shared" si="93"/>
        <v>35.649967423044082</v>
      </c>
      <c r="CB79" s="20">
        <f t="shared" si="64"/>
        <v>301.01027742846833</v>
      </c>
      <c r="CC79" s="59">
        <f t="shared" si="65"/>
        <v>594.34361076180164</v>
      </c>
      <c r="CD79" s="59">
        <f ca="1">AVERAGE(OFFSET($CC$3,0,0,'Données projet'!$E$12+1,1))-AVERAGE(OFFSET($H$3,0,0,'Données projet'!$E$12+1,1))</f>
        <v>123.2823358462245</v>
      </c>
      <c r="CE79" s="59">
        <f t="shared" si="94"/>
        <v>92.75115399786057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7.5584615384615343</v>
      </c>
      <c r="CT79" s="12">
        <f>IF('Données projet'!$A$140&gt;35,CT78+CS79-DB78,IF(A79&lt;'Données projet'!$A$140,$CQ$205^A79,IF(A79='Données projet'!$A$140,'Données projet'!$B$140,CT78+CS79-DB78)))</f>
        <v>372.67384615384589</v>
      </c>
      <c r="CU79" s="17">
        <f>CT79*VLOOKUP('Données projet'!$B$13,Paramètres!$A$1:$I$89,3,0)*VLOOKUP('Données projet'!$B$13,Paramètres!$A$1:$I$89,5,0)</f>
        <v>222.85895999999985</v>
      </c>
      <c r="CV79" s="13">
        <f t="shared" si="95"/>
        <v>54.735798842493168</v>
      </c>
      <c r="CW79" s="20">
        <f t="shared" si="67"/>
        <v>483.47753831734195</v>
      </c>
      <c r="CX79" s="59">
        <f t="shared" si="68"/>
        <v>776.81087165067527</v>
      </c>
      <c r="CY79" s="59">
        <f ca="1">AVERAGE(OFFSET($CX$3,0,0,'Données projet'!$E$13+1,1))-AVERAGE(OFFSET($H$3,0,0,'Données projet'!$E$13+1,1))</f>
        <v>179.32848817523677</v>
      </c>
      <c r="CZ79" s="59">
        <f t="shared" si="96"/>
        <v>131.3292389103035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3.6814830433862222</v>
      </c>
      <c r="DH79" s="21">
        <f>EXP(-LN(2)/2)*DH78+(1-EXP(-LN(2)/2))/(LN(2)/2)*DB79*DE79*VLOOKUP('Données projet'!$B$13,Paramètres!$A$1:$I$89,3,0)*0.475*44/12</f>
        <v>6.2738291945999151E-7</v>
      </c>
      <c r="DI79" s="22">
        <f t="shared" si="69"/>
        <v>3.6814836707691416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8.1746794871794854</v>
      </c>
      <c r="DO79" s="12">
        <f>IF('Données projet'!$A$166&gt;35,DO78+DN79-DW78,IF(A79&lt;'Données projet'!$A$166,$DL$205^A79,IF(A79='Données projet'!$A$166,'Données projet'!$B$166,DO78+DN79-DW78)))</f>
        <v>253.26602564102552</v>
      </c>
      <c r="DP79" s="17">
        <f>DO79*VLOOKUP('Données projet'!$B$14,Paramètres!$A$1:$I$89,3,0)*VLOOKUP('Données projet'!$B$14,Paramètres!$A$1:$I$89,5,0)</f>
        <v>244.95889999999989</v>
      </c>
      <c r="DQ79" s="13">
        <f t="shared" si="97"/>
        <v>59.505188712095517</v>
      </c>
      <c r="DR79" s="20">
        <f t="shared" si="70"/>
        <v>530.27495450689946</v>
      </c>
      <c r="DS79" s="59">
        <f t="shared" si="71"/>
        <v>823.60828784023283</v>
      </c>
      <c r="DT79" s="59">
        <f ca="1">AVERAGE(OFFSET($DS$3,0,0,'Données projet'!$E$14+1,1))-AVERAGE(OFFSET($H$3,0,0,'Données projet'!$E$14+1,1))</f>
        <v>340.4659523898373</v>
      </c>
      <c r="DU79" s="59">
        <f t="shared" si="98"/>
        <v>170.54530785680572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0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6.533974358974362</v>
      </c>
      <c r="EJ79" s="12">
        <f>IF('Données projet'!$A$192&gt;35,EJ78+EI79-ER78,IF(A79&lt;'Données projet'!$A$192,$EG$205^A79,IF(A79='Données projet'!$A$192,'Données projet'!$B$192,EJ78+EI79-ER78)))</f>
        <v>198.71538461538455</v>
      </c>
      <c r="EK79" s="17">
        <f>EJ79*VLOOKUP('Données projet'!$B$15,Paramètres!$A$1:$I$89,3,0)*VLOOKUP('Données projet'!$B$15,Paramètres!$A$1:$I$89,5,0)</f>
        <v>192.19751999999994</v>
      </c>
      <c r="EL79" s="13">
        <f t="shared" si="99"/>
        <v>48.025467685137421</v>
      </c>
      <c r="EM79" s="20">
        <f t="shared" si="73"/>
        <v>418.3883702182809</v>
      </c>
      <c r="EN79" s="59">
        <f t="shared" si="74"/>
        <v>711.72170355161416</v>
      </c>
      <c r="EO79" s="59">
        <f ca="1">AVERAGE(OFFSET($EN$3,0,0,'Données projet'!$E$15+1,1))-AVERAGE(OFFSET($H$3,0,0,'Données projet'!$E$15+1,1))</f>
        <v>262.20955982183017</v>
      </c>
      <c r="EP79" s="59">
        <f t="shared" si="100"/>
        <v>101.35842063036193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3.1</v>
      </c>
      <c r="FE79" s="12">
        <f>IF('Données projet'!$A$218&gt;35,FE78+FD79-FM78,IF(A79&lt;'Données projet'!$A$218,$FB$205^A79,IF(A79='Données projet'!$A$218,'Données projet'!$B$218,FE78+FD79-FM78)))</f>
        <v>271.59999999999997</v>
      </c>
      <c r="FF79" s="17">
        <f>FE79*VLOOKUP('Données projet'!$B$16,Paramètres!$A$1:$I$89,3,0)*VLOOKUP('Données projet'!$B$16,Paramètres!$A$1:$I$89,5,0)</f>
        <v>216.08496</v>
      </c>
      <c r="FG79" s="13">
        <f t="shared" si="101"/>
        <v>53.26308393083157</v>
      </c>
      <c r="FH79" s="20">
        <f t="shared" si="76"/>
        <v>469.11450984619825</v>
      </c>
      <c r="FI79" s="59">
        <f t="shared" si="77"/>
        <v>762.44784317953156</v>
      </c>
      <c r="FJ79" s="59">
        <f ca="1">AVERAGE(OFFSET($FI$3,0,0,'Données projet'!$E$16+1,1))-AVERAGE(OFFSET($H$3,0,0,'Données projet'!$E$16+1,1))</f>
        <v>199.58763537752952</v>
      </c>
      <c r="FK79" s="59">
        <f t="shared" si="102"/>
        <v>242.62852778451929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2.8722593375932792</v>
      </c>
      <c r="FS79" s="21">
        <f>EXP(-LN(2)/2)*FS78+(1-EXP(-LN(2)/2))/(LN(2)/2)*FM79*FP79*VLOOKUP('Données projet'!$B$16,Paramètres!$A$1:$I$89,3,0)*0.475*44/12</f>
        <v>1.2828777305150294E-6</v>
      </c>
      <c r="FT79" s="22">
        <f t="shared" si="78"/>
        <v>2.8722606204710099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3.1</v>
      </c>
      <c r="FZ79" s="12">
        <f>IF('Données projet'!$A$244&gt;35,FZ78+FY79-GH78,IF(A79&lt;'Données projet'!$A$244,$FW$205^A79,IF(A79='Données projet'!$A$244,'Données projet'!$B$244,FZ78+FY79-GH78)))</f>
        <v>271.59999999999997</v>
      </c>
      <c r="GA79" s="17">
        <f>FZ79*VLOOKUP('Données projet'!$B$17,Paramètres!$A$1:$I$89,3,0)*VLOOKUP('Données projet'!$B$17,Paramètres!$A$1:$I$89,5,0)</f>
        <v>199.13711999999995</v>
      </c>
      <c r="GB79" s="13">
        <f t="shared" si="103"/>
        <v>49.554485124576232</v>
      </c>
      <c r="GC79" s="20">
        <f t="shared" si="79"/>
        <v>433.13787892530354</v>
      </c>
      <c r="GD79" s="59">
        <f t="shared" si="80"/>
        <v>726.4712122586368</v>
      </c>
      <c r="GE79" s="59">
        <f ca="1">AVERAGE(OFFSET($GD$3,0,0,'Données projet'!$E$17+1,1))-AVERAGE(OFFSET($H$3,0,0,'Données projet'!$E$17+1,1))</f>
        <v>178.12968684094687</v>
      </c>
      <c r="GF79" s="59">
        <f t="shared" si="104"/>
        <v>219.36004077210373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2.1475531340273828</v>
      </c>
      <c r="GN79" s="21">
        <f>EXP(-LN(2)/2)*GN78+(1-EXP(-LN(2)/2))/(LN(2)/2)*GH79*GK79*VLOOKUP('Données projet'!$B$17,Paramètres!$A$1:$I$89,3,0)*0.475*44/12</f>
        <v>1.1822598692981633E-6</v>
      </c>
      <c r="GO79" s="21">
        <f t="shared" si="81"/>
        <v>2.1475543162872519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3.1</v>
      </c>
      <c r="GU79" s="12">
        <f>IF('Données projet'!$A$270&gt;35,GU78+GT79-HC78,IF(A79&lt;'Données projet'!$A$270,$GR$205^A79,IF(A79='Données projet'!$A$270,'Données projet'!$B$270,GU78+GT79-HC78)))</f>
        <v>271.59999999999997</v>
      </c>
      <c r="GV79" s="17">
        <f>GU79*VLOOKUP('Données projet'!$B$18,Paramètres!$A$1:$I$89,3,0)*VLOOKUP('Données projet'!$B$18,Paramètres!$A$1:$I$89,5,0)</f>
        <v>216.08496</v>
      </c>
      <c r="GW79" s="13">
        <f t="shared" si="105"/>
        <v>53.26308393083157</v>
      </c>
      <c r="GX79" s="20">
        <f t="shared" si="82"/>
        <v>469.11450984619825</v>
      </c>
      <c r="GY79" s="59">
        <f t="shared" si="83"/>
        <v>762.44784317953156</v>
      </c>
      <c r="GZ79" s="59">
        <f ca="1">AVERAGE(OFFSET($GY$3,0,0,'Données projet'!$E$18+1,1))-AVERAGE(OFFSET($H$3,0,0,'Données projet'!$E$18+1,1))</f>
        <v>199.58763537752952</v>
      </c>
      <c r="HA79" s="59">
        <f t="shared" si="106"/>
        <v>242.62852778451929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0</v>
      </c>
      <c r="HH79" s="21">
        <f>EXP(-LN(2)/25)*HH78+(1-EXP(-LN(2)/25))/(LN(2)/25)*Calculateur!HC79*Calculateur!HE79*VLOOKUP('Données projet'!$B$18,Paramètres!$A$1:$I$89,3,0)*0.475*44/12</f>
        <v>2.8722593375932792</v>
      </c>
      <c r="HI79" s="21">
        <f>EXP(-LN(2)/2)*HI78+(1-EXP(-LN(2)/2))/(LN(2)/2)*HC79*HF79*VLOOKUP('Données projet'!$B$18,Paramètres!$A$1:$I$89,3,0)*0.475*44/12</f>
        <v>1.2828777305150294E-6</v>
      </c>
      <c r="HJ79" s="22">
        <f t="shared" si="84"/>
        <v>2.8722606204710099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8.1746794871794854</v>
      </c>
      <c r="N80" s="13">
        <f>IF('Données projet'!$A$36&gt;35,N79+M80-V79,IF(A80&lt;'Données projet'!$A$36,$K$205^A80,IF(A80='Données projet'!$A$36,'Données projet'!$B$36,N79+M80-V79)))</f>
        <v>261.44070512820502</v>
      </c>
      <c r="O80" s="13">
        <f>N80*VLOOKUP('Données projet'!$B$9,Paramètres!$A$1:$I$89,3,0)*VLOOKUP('Données projet'!$B$9,Paramètres!$A$1:$I$89,5,0)</f>
        <v>236.55154999999991</v>
      </c>
      <c r="P80" s="13">
        <f t="shared" si="87"/>
        <v>57.696955867207052</v>
      </c>
      <c r="Q80" s="20">
        <f t="shared" si="54"/>
        <v>512.4828143853855</v>
      </c>
      <c r="R80" s="59">
        <f t="shared" si="55"/>
        <v>805.81614771871887</v>
      </c>
      <c r="S80" s="59">
        <f ca="1">AVERAGE(OFFSET($R$3,0,0,'Données projet'!$E$9+1,1))-AVERAGE(OFFSET($H$3,0,0,'Données projet'!$E$9+1,1))</f>
        <v>309.07357540707869</v>
      </c>
      <c r="T80" s="59">
        <f t="shared" si="88"/>
        <v>155.9593924683299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6.533974358974362</v>
      </c>
      <c r="AI80" s="13">
        <f>IF('Données projet'!$A$62&gt;35,AI79+AH80-AQ79,IF(A80&lt;'Données projet'!$A$62,$AF$205^A80,IF(A80='Données projet'!$A$62,'Données projet'!$B$62,AI79+AH80-AQ79)))</f>
        <v>205.24935897435893</v>
      </c>
      <c r="AJ80" s="13">
        <f>AI80*VLOOKUP('Données projet'!$B$10,Paramètres!$A$1:$I$89,3,0)*VLOOKUP('Données projet'!$B$10,Paramètres!$A$1:$I$89,5,0)</f>
        <v>185.70961999999994</v>
      </c>
      <c r="AK80" s="13">
        <f t="shared" si="89"/>
        <v>46.590153562220252</v>
      </c>
      <c r="AL80" s="20">
        <f t="shared" si="58"/>
        <v>404.58877228753346</v>
      </c>
      <c r="AM80" s="59">
        <f t="shared" si="59"/>
        <v>697.92210562086677</v>
      </c>
      <c r="AN80" s="59">
        <f ca="1">AVERAGE(OFFSET($AM$3,0,0,'Données projet'!$E$10+1,1))-AVERAGE(OFFSET($H$3,0,0,'Données projet'!$E$10+1,1))</f>
        <v>234.30804102916278</v>
      </c>
      <c r="AO80" s="59">
        <f t="shared" si="90"/>
        <v>91.137993288782411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12.913461538461533</v>
      </c>
      <c r="BD80" s="12">
        <f>IF('Données projet'!$A$88&gt;35,BD79+BC80-BL79,IF(A80&lt;'Données projet'!$A$88,$BA$205^A80,IF(A80='Données projet'!$A$88,'Données projet'!$B$88,BD79+BC80-BL79)))</f>
        <v>411.03461538461551</v>
      </c>
      <c r="BE80" s="13">
        <f>BD80*VLOOKUP('Données projet'!$B$11,Paramètres!$A$1:$I$89,3,0)*VLOOKUP('Données projet'!$B$11,Paramètres!$A$1:$I$89,5,0)</f>
        <v>192.36420000000004</v>
      </c>
      <c r="BF80" s="13">
        <f t="shared" si="91"/>
        <v>48.062267116572606</v>
      </c>
      <c r="BG80" s="20">
        <f t="shared" si="61"/>
        <v>418.74276356136397</v>
      </c>
      <c r="BH80" s="59">
        <f t="shared" si="62"/>
        <v>712.07609689469723</v>
      </c>
      <c r="BI80" s="59">
        <f ca="1">AVERAGE(OFFSET($BH$3,0,0,'Données projet'!$E$11+1,1))-AVERAGE(OFFSET($H$3,0,0,'Données projet'!$E$11+1,1))</f>
        <v>158.58786357608489</v>
      </c>
      <c r="BJ80" s="59">
        <f t="shared" si="92"/>
        <v>163.20074068819849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9.52371794871795</v>
      </c>
      <c r="BY80" s="12">
        <f>IF('Données projet'!$A$114&gt;35,BY79+BX80-CG79,IF(A80&lt;'Données projet'!$A$114,$BV$205^A80,IF(A80='Données projet'!$A$114,'Données projet'!$B$114,BY79+BX80-CG79)))</f>
        <v>302.64102564102552</v>
      </c>
      <c r="BZ80" s="13">
        <f>BY80*VLOOKUP('Données projet'!$B$12,Paramètres!$A$1:$I$89,3,0)*VLOOKUP('Données projet'!$B$12,Paramètres!$A$1:$I$89,5,0)</f>
        <v>141.63599999999994</v>
      </c>
      <c r="CA80" s="13">
        <f t="shared" si="93"/>
        <v>36.671536328944384</v>
      </c>
      <c r="CB80" s="20">
        <f t="shared" si="64"/>
        <v>310.55229243957797</v>
      </c>
      <c r="CC80" s="59">
        <f t="shared" si="65"/>
        <v>603.88562577291123</v>
      </c>
      <c r="CD80" s="59">
        <f ca="1">AVERAGE(OFFSET($CC$3,0,0,'Données projet'!$E$12+1,1))-AVERAGE(OFFSET($H$3,0,0,'Données projet'!$E$12+1,1))</f>
        <v>123.2823358462245</v>
      </c>
      <c r="CE80" s="59">
        <f t="shared" si="94"/>
        <v>92.75115399786057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7.5584615384615343</v>
      </c>
      <c r="CT80" s="12">
        <f>IF('Données projet'!$A$140&gt;35,CT79+CS80-DB79,IF(A80&lt;'Données projet'!$A$140,$CQ$205^A80,IF(A80='Données projet'!$A$140,'Données projet'!$B$140,CT79+CS80-DB79)))</f>
        <v>380.23230769230742</v>
      </c>
      <c r="CU80" s="17">
        <f>CT80*VLOOKUP('Données projet'!$B$13,Paramètres!$A$1:$I$89,3,0)*VLOOKUP('Données projet'!$B$13,Paramètres!$A$1:$I$89,5,0)</f>
        <v>227.37891999999985</v>
      </c>
      <c r="CV80" s="13">
        <f t="shared" si="95"/>
        <v>55.715565262615499</v>
      </c>
      <c r="CW80" s="20">
        <f t="shared" si="67"/>
        <v>493.05622849905507</v>
      </c>
      <c r="CX80" s="59">
        <f t="shared" si="68"/>
        <v>786.38956183238838</v>
      </c>
      <c r="CY80" s="59">
        <f ca="1">AVERAGE(OFFSET($CX$3,0,0,'Données projet'!$E$13+1,1))-AVERAGE(OFFSET($H$3,0,0,'Données projet'!$E$13+1,1))</f>
        <v>179.32848817523677</v>
      </c>
      <c r="CZ80" s="59">
        <f t="shared" si="96"/>
        <v>131.3292389103035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3.5808126959640467</v>
      </c>
      <c r="DH80" s="21">
        <f>EXP(-LN(2)/2)*DH79+(1-EXP(-LN(2)/2))/(LN(2)/2)*DB80*DE80*VLOOKUP('Données projet'!$B$13,Paramètres!$A$1:$I$89,3,0)*0.475*44/12</f>
        <v>4.4362671675077359E-7</v>
      </c>
      <c r="DI80" s="22">
        <f t="shared" si="69"/>
        <v>3.5808131395907634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8.1746794871794854</v>
      </c>
      <c r="DO80" s="12">
        <f>IF('Données projet'!$A$166&gt;35,DO79+DN80-DW79,IF(A80&lt;'Données projet'!$A$166,$DL$205^A80,IF(A80='Données projet'!$A$166,'Données projet'!$B$166,DO79+DN80-DW79)))</f>
        <v>261.44070512820502</v>
      </c>
      <c r="DP80" s="17">
        <f>DO80*VLOOKUP('Données projet'!$B$14,Paramètres!$A$1:$I$89,3,0)*VLOOKUP('Données projet'!$B$14,Paramètres!$A$1:$I$89,5,0)</f>
        <v>252.86544999999992</v>
      </c>
      <c r="DQ80" s="13">
        <f t="shared" si="97"/>
        <v>61.199126264671477</v>
      </c>
      <c r="DR80" s="20">
        <f t="shared" si="70"/>
        <v>546.99580366096939</v>
      </c>
      <c r="DS80" s="59">
        <f t="shared" si="71"/>
        <v>840.32913699430264</v>
      </c>
      <c r="DT80" s="59">
        <f ca="1">AVERAGE(OFFSET($DS$3,0,0,'Données projet'!$E$14+1,1))-AVERAGE(OFFSET($H$3,0,0,'Données projet'!$E$14+1,1))</f>
        <v>340.4659523898373</v>
      </c>
      <c r="DU80" s="59">
        <f t="shared" si="98"/>
        <v>170.54530785680572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0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6.533974358974362</v>
      </c>
      <c r="EJ80" s="12">
        <f>IF('Données projet'!$A$192&gt;35,EJ79+EI80-ER79,IF(A80&lt;'Données projet'!$A$192,$EG$205^A80,IF(A80='Données projet'!$A$192,'Données projet'!$B$192,EJ79+EI80-ER79)))</f>
        <v>205.24935897435893</v>
      </c>
      <c r="EK80" s="17">
        <f>EJ80*VLOOKUP('Données projet'!$B$15,Paramètres!$A$1:$I$89,3,0)*VLOOKUP('Données projet'!$B$15,Paramètres!$A$1:$I$89,5,0)</f>
        <v>198.51717999999994</v>
      </c>
      <c r="EL80" s="13">
        <f t="shared" si="99"/>
        <v>49.418147763412897</v>
      </c>
      <c r="EM80" s="20">
        <f t="shared" si="73"/>
        <v>431.82069585461068</v>
      </c>
      <c r="EN80" s="59">
        <f t="shared" si="74"/>
        <v>725.15402918794393</v>
      </c>
      <c r="EO80" s="59">
        <f ca="1">AVERAGE(OFFSET($EN$3,0,0,'Données projet'!$E$15+1,1))-AVERAGE(OFFSET($H$3,0,0,'Données projet'!$E$15+1,1))</f>
        <v>262.20955982183017</v>
      </c>
      <c r="EP80" s="59">
        <f t="shared" si="100"/>
        <v>101.35842063036193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3.1</v>
      </c>
      <c r="FE80" s="12">
        <f>IF('Données projet'!$A$218&gt;35,FE79+FD80-FM79,IF(A80&lt;'Données projet'!$A$218,$FB$205^A80,IF(A80='Données projet'!$A$218,'Données projet'!$B$218,FE79+FD80-FM79)))</f>
        <v>274.7</v>
      </c>
      <c r="FF80" s="17">
        <f>FE80*VLOOKUP('Données projet'!$B$16,Paramètres!$A$1:$I$89,3,0)*VLOOKUP('Données projet'!$B$16,Paramètres!$A$1:$I$89,5,0)</f>
        <v>218.55132000000003</v>
      </c>
      <c r="FG80" s="13">
        <f t="shared" si="101"/>
        <v>53.79990131471051</v>
      </c>
      <c r="FH80" s="20">
        <f t="shared" si="76"/>
        <v>474.3450437897875</v>
      </c>
      <c r="FI80" s="59">
        <f t="shared" si="77"/>
        <v>767.67837712312075</v>
      </c>
      <c r="FJ80" s="59">
        <f ca="1">AVERAGE(OFFSET($FI$3,0,0,'Données projet'!$E$16+1,1))-AVERAGE(OFFSET($H$3,0,0,'Données projet'!$E$16+1,1))</f>
        <v>199.58763537752952</v>
      </c>
      <c r="FK80" s="59">
        <f t="shared" si="102"/>
        <v>242.62852778451929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2.793717254961237</v>
      </c>
      <c r="FS80" s="21">
        <f>EXP(-LN(2)/2)*FS79+(1-EXP(-LN(2)/2))/(LN(2)/2)*FM80*FP80*VLOOKUP('Données projet'!$B$16,Paramètres!$A$1:$I$89,3,0)*0.475*44/12</f>
        <v>9.071315426803856E-7</v>
      </c>
      <c r="FT80" s="22">
        <f t="shared" si="78"/>
        <v>2.7937181620927798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3.1</v>
      </c>
      <c r="FZ80" s="12">
        <f>IF('Données projet'!$A$244&gt;35,FZ79+FY80-GH79,IF(A80&lt;'Données projet'!$A$244,$FW$205^A80,IF(A80='Données projet'!$A$244,'Données projet'!$B$244,FZ79+FY80-GH79)))</f>
        <v>274.7</v>
      </c>
      <c r="GA80" s="17">
        <f>FZ80*VLOOKUP('Données projet'!$B$17,Paramètres!$A$1:$I$89,3,0)*VLOOKUP('Données projet'!$B$17,Paramètres!$A$1:$I$89,5,0)</f>
        <v>201.41003999999998</v>
      </c>
      <c r="GB80" s="13">
        <f t="shared" si="103"/>
        <v>50.053925019918871</v>
      </c>
      <c r="GC80" s="20">
        <f t="shared" si="79"/>
        <v>437.96640574302529</v>
      </c>
      <c r="GD80" s="59">
        <f t="shared" si="80"/>
        <v>731.29973907635861</v>
      </c>
      <c r="GE80" s="59">
        <f ca="1">AVERAGE(OFFSET($GD$3,0,0,'Données projet'!$E$17+1,1))-AVERAGE(OFFSET($H$3,0,0,'Données projet'!$E$17+1,1))</f>
        <v>178.12968684094687</v>
      </c>
      <c r="GF80" s="59">
        <f t="shared" si="104"/>
        <v>219.36004077210373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2.0888281806424929</v>
      </c>
      <c r="GN80" s="21">
        <f>EXP(-LN(2)/2)*GN79+(1-EXP(-LN(2)/2))/(LN(2)/2)*GH80*GK80*VLOOKUP('Données projet'!$B$17,Paramètres!$A$1:$I$89,3,0)*0.475*44/12</f>
        <v>8.3598397070545266E-7</v>
      </c>
      <c r="GO80" s="21">
        <f t="shared" si="81"/>
        <v>2.0888290166264634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3.1</v>
      </c>
      <c r="GU80" s="12">
        <f>IF('Données projet'!$A$270&gt;35,GU79+GT80-HC79,IF(A80&lt;'Données projet'!$A$270,$GR$205^A80,IF(A80='Données projet'!$A$270,'Données projet'!$B$270,GU79+GT80-HC79)))</f>
        <v>274.7</v>
      </c>
      <c r="GV80" s="17">
        <f>GU80*VLOOKUP('Données projet'!$B$18,Paramètres!$A$1:$I$89,3,0)*VLOOKUP('Données projet'!$B$18,Paramètres!$A$1:$I$89,5,0)</f>
        <v>218.55132000000003</v>
      </c>
      <c r="GW80" s="13">
        <f t="shared" si="105"/>
        <v>53.79990131471051</v>
      </c>
      <c r="GX80" s="20">
        <f t="shared" si="82"/>
        <v>474.3450437897875</v>
      </c>
      <c r="GY80" s="59">
        <f t="shared" si="83"/>
        <v>767.67837712312075</v>
      </c>
      <c r="GZ80" s="59">
        <f ca="1">AVERAGE(OFFSET($GY$3,0,0,'Données projet'!$E$18+1,1))-AVERAGE(OFFSET($H$3,0,0,'Données projet'!$E$18+1,1))</f>
        <v>199.58763537752952</v>
      </c>
      <c r="HA80" s="59">
        <f t="shared" si="106"/>
        <v>242.62852778451929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0</v>
      </c>
      <c r="HH80" s="21">
        <f>EXP(-LN(2)/25)*HH79+(1-EXP(-LN(2)/25))/(LN(2)/25)*Calculateur!HC80*Calculateur!HE80*VLOOKUP('Données projet'!$B$18,Paramètres!$A$1:$I$89,3,0)*0.475*44/12</f>
        <v>2.793717254961237</v>
      </c>
      <c r="HI80" s="21">
        <f>EXP(-LN(2)/2)*HI79+(1-EXP(-LN(2)/2))/(LN(2)/2)*HC80*HF80*VLOOKUP('Données projet'!$B$18,Paramètres!$A$1:$I$89,3,0)*0.475*44/12</f>
        <v>9.071315426803856E-7</v>
      </c>
      <c r="HJ80" s="22">
        <f t="shared" si="84"/>
        <v>2.7937181620927798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8.1746794871794854</v>
      </c>
      <c r="N81" s="13">
        <f>IF('Données projet'!$A$36&gt;35,N80+M81-V80,IF(A81&lt;'Données projet'!$A$36,$K$205^A81,IF(A81='Données projet'!$A$36,'Données projet'!$B$36,N80+M81-V80)))</f>
        <v>269.61538461538453</v>
      </c>
      <c r="O81" s="13">
        <f>N81*VLOOKUP('Données projet'!$B$9,Paramètres!$A$1:$I$89,3,0)*VLOOKUP('Données projet'!$B$9,Paramètres!$A$1:$I$89,5,0)</f>
        <v>243.94799999999992</v>
      </c>
      <c r="P81" s="13">
        <f t="shared" si="87"/>
        <v>59.288153612728067</v>
      </c>
      <c r="Q81" s="20">
        <f t="shared" si="54"/>
        <v>528.13630087550121</v>
      </c>
      <c r="R81" s="59">
        <f t="shared" si="55"/>
        <v>821.46963420883458</v>
      </c>
      <c r="S81" s="59">
        <f ca="1">AVERAGE(OFFSET($R$3,0,0,'Données projet'!$E$9+1,1))-AVERAGE(OFFSET($H$3,0,0,'Données projet'!$E$9+1,1))</f>
        <v>309.07357540707869</v>
      </c>
      <c r="T81" s="59">
        <f t="shared" si="88"/>
        <v>155.9593924683299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6.533974358974362</v>
      </c>
      <c r="AI81" s="13">
        <f>IF('Données projet'!$A$62&gt;35,AI80+AH81-AQ80,IF(A81&lt;'Données projet'!$A$62,$AF$205^A81,IF(A81='Données projet'!$A$62,'Données projet'!$B$62,AI80+AH81-AQ80)))</f>
        <v>211.7833333333333</v>
      </c>
      <c r="AJ81" s="13">
        <f>AI81*VLOOKUP('Données projet'!$B$10,Paramètres!$A$1:$I$89,3,0)*VLOOKUP('Données projet'!$B$10,Paramètres!$A$1:$I$89,5,0)</f>
        <v>191.62155999999996</v>
      </c>
      <c r="AK81" s="13">
        <f t="shared" si="89"/>
        <v>47.898279234721343</v>
      </c>
      <c r="AL81" s="20">
        <f t="shared" si="58"/>
        <v>417.16372000047295</v>
      </c>
      <c r="AM81" s="59">
        <f t="shared" si="59"/>
        <v>710.49705333380621</v>
      </c>
      <c r="AN81" s="59">
        <f ca="1">AVERAGE(OFFSET($AM$3,0,0,'Données projet'!$E$10+1,1))-AVERAGE(OFFSET($H$3,0,0,'Données projet'!$E$10+1,1))</f>
        <v>234.30804102916278</v>
      </c>
      <c r="AO81" s="59">
        <f t="shared" si="90"/>
        <v>91.137993288782411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12.913461538461533</v>
      </c>
      <c r="BD81" s="12">
        <f>IF('Données projet'!$A$88&gt;35,BD80+BC81-BL80,IF(A81&lt;'Données projet'!$A$88,$BA$205^A81,IF(A81='Données projet'!$A$88,'Données projet'!$B$88,BD80+BC81-BL80)))</f>
        <v>423.94807692307705</v>
      </c>
      <c r="BE81" s="13">
        <f>BD81*VLOOKUP('Données projet'!$B$11,Paramètres!$A$1:$I$89,3,0)*VLOOKUP('Données projet'!$B$11,Paramètres!$A$1:$I$89,5,0)</f>
        <v>198.40770000000006</v>
      </c>
      <c r="BF81" s="13">
        <f t="shared" si="91"/>
        <v>49.394065749424826</v>
      </c>
      <c r="BG81" s="20">
        <f t="shared" si="61"/>
        <v>431.58807534691499</v>
      </c>
      <c r="BH81" s="59">
        <f t="shared" si="62"/>
        <v>724.92140868024831</v>
      </c>
      <c r="BI81" s="59">
        <f ca="1">AVERAGE(OFFSET($BH$3,0,0,'Données projet'!$E$11+1,1))-AVERAGE(OFFSET($H$3,0,0,'Données projet'!$E$11+1,1))</f>
        <v>158.58786357608489</v>
      </c>
      <c r="BJ81" s="59">
        <f t="shared" si="92"/>
        <v>163.20074068819849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9.52371794871795</v>
      </c>
      <c r="BY81" s="12">
        <f>IF('Données projet'!$A$114&gt;35,BY80+BX81-CG80,IF(A81&lt;'Données projet'!$A$114,$BV$205^A81,IF(A81='Données projet'!$A$114,'Données projet'!$B$114,BY80+BX81-CG80)))</f>
        <v>312.16474358974347</v>
      </c>
      <c r="BZ81" s="13">
        <f>BY81*VLOOKUP('Données projet'!$B$12,Paramètres!$A$1:$I$89,3,0)*VLOOKUP('Données projet'!$B$12,Paramètres!$A$1:$I$89,5,0)</f>
        <v>146.09309999999994</v>
      </c>
      <c r="CA81" s="13">
        <f t="shared" si="93"/>
        <v>37.689369466401395</v>
      </c>
      <c r="CB81" s="20">
        <f t="shared" si="64"/>
        <v>320.08780098731563</v>
      </c>
      <c r="CC81" s="59">
        <f t="shared" si="65"/>
        <v>613.42113432064889</v>
      </c>
      <c r="CD81" s="59">
        <f ca="1">AVERAGE(OFFSET($CC$3,0,0,'Données projet'!$E$12+1,1))-AVERAGE(OFFSET($H$3,0,0,'Données projet'!$E$12+1,1))</f>
        <v>123.2823358462245</v>
      </c>
      <c r="CE81" s="59">
        <f t="shared" si="94"/>
        <v>92.75115399786057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7.5584615384615343</v>
      </c>
      <c r="CT81" s="12">
        <f>IF('Données projet'!$A$140&gt;35,CT80+CS81-DB80,IF(A81&lt;'Données projet'!$A$140,$CQ$205^A81,IF(A81='Données projet'!$A$140,'Données projet'!$B$140,CT80+CS81-DB80)))</f>
        <v>387.79076923076894</v>
      </c>
      <c r="CU81" s="17">
        <f>CT81*VLOOKUP('Données projet'!$B$13,Paramètres!$A$1:$I$89,3,0)*VLOOKUP('Données projet'!$B$13,Paramètres!$A$1:$I$89,5,0)</f>
        <v>231.89887999999985</v>
      </c>
      <c r="CV81" s="13">
        <f t="shared" si="95"/>
        <v>56.693067102008712</v>
      </c>
      <c r="CW81" s="20">
        <f t="shared" si="67"/>
        <v>502.63097453599829</v>
      </c>
      <c r="CX81" s="59">
        <f t="shared" si="68"/>
        <v>795.96430786933161</v>
      </c>
      <c r="CY81" s="59">
        <f ca="1">AVERAGE(OFFSET($CX$3,0,0,'Données projet'!$E$13+1,1))-AVERAGE(OFFSET($H$3,0,0,'Données projet'!$E$13+1,1))</f>
        <v>179.32848817523677</v>
      </c>
      <c r="CZ81" s="59">
        <f t="shared" si="96"/>
        <v>131.3292389103035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3.4828951844861544</v>
      </c>
      <c r="DH81" s="21">
        <f>EXP(-LN(2)/2)*DH80+(1-EXP(-LN(2)/2))/(LN(2)/2)*DB81*DE81*VLOOKUP('Données projet'!$B$13,Paramètres!$A$1:$I$89,3,0)*0.475*44/12</f>
        <v>3.1369145972999576E-7</v>
      </c>
      <c r="DI81" s="22">
        <f t="shared" si="69"/>
        <v>3.4828954981776143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8.1746794871794854</v>
      </c>
      <c r="DO81" s="12">
        <f>IF('Données projet'!$A$166&gt;35,DO80+DN81-DW80,IF(A81&lt;'Données projet'!$A$166,$DL$205^A81,IF(A81='Données projet'!$A$166,'Données projet'!$B$166,DO80+DN81-DW80)))</f>
        <v>269.61538461538453</v>
      </c>
      <c r="DP81" s="17">
        <f>DO81*VLOOKUP('Données projet'!$B$14,Paramètres!$A$1:$I$89,3,0)*VLOOKUP('Données projet'!$B$14,Paramètres!$A$1:$I$89,5,0)</f>
        <v>260.77199999999993</v>
      </c>
      <c r="DQ81" s="13">
        <f t="shared" si="97"/>
        <v>62.886908752959542</v>
      </c>
      <c r="DR81" s="20">
        <f t="shared" si="70"/>
        <v>563.70593274473765</v>
      </c>
      <c r="DS81" s="59">
        <f t="shared" si="71"/>
        <v>857.03926607807102</v>
      </c>
      <c r="DT81" s="59">
        <f ca="1">AVERAGE(OFFSET($DS$3,0,0,'Données projet'!$E$14+1,1))-AVERAGE(OFFSET($H$3,0,0,'Données projet'!$E$14+1,1))</f>
        <v>340.4659523898373</v>
      </c>
      <c r="DU81" s="59">
        <f t="shared" si="98"/>
        <v>170.54530785680572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0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6.533974358974362</v>
      </c>
      <c r="EJ81" s="12">
        <f>IF('Données projet'!$A$192&gt;35,EJ80+EI81-ER80,IF(A81&lt;'Données projet'!$A$192,$EG$205^A81,IF(A81='Données projet'!$A$192,'Données projet'!$B$192,EJ80+EI81-ER80)))</f>
        <v>211.7833333333333</v>
      </c>
      <c r="EK81" s="17">
        <f>EJ81*VLOOKUP('Données projet'!$B$15,Paramètres!$A$1:$I$89,3,0)*VLOOKUP('Données projet'!$B$15,Paramètres!$A$1:$I$89,5,0)</f>
        <v>204.83683999999997</v>
      </c>
      <c r="EL81" s="13">
        <f t="shared" si="99"/>
        <v>50.805675874700157</v>
      </c>
      <c r="EM81" s="20">
        <f t="shared" si="73"/>
        <v>445.24404848176937</v>
      </c>
      <c r="EN81" s="59">
        <f t="shared" si="74"/>
        <v>738.57738181510263</v>
      </c>
      <c r="EO81" s="59">
        <f ca="1">AVERAGE(OFFSET($EN$3,0,0,'Données projet'!$E$15+1,1))-AVERAGE(OFFSET($H$3,0,0,'Données projet'!$E$15+1,1))</f>
        <v>262.20955982183017</v>
      </c>
      <c r="EP81" s="59">
        <f t="shared" si="100"/>
        <v>101.35842063036193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3.1</v>
      </c>
      <c r="FE81" s="12">
        <f>IF('Données projet'!$A$218&gt;35,FE80+FD81-FM80,IF(A81&lt;'Données projet'!$A$218,$FB$205^A81,IF(A81='Données projet'!$A$218,'Données projet'!$B$218,FE80+FD81-FM80)))</f>
        <v>277.8</v>
      </c>
      <c r="FF81" s="17">
        <f>FE81*VLOOKUP('Données projet'!$B$16,Paramètres!$A$1:$I$89,3,0)*VLOOKUP('Données projet'!$B$16,Paramètres!$A$1:$I$89,5,0)</f>
        <v>221.01768000000001</v>
      </c>
      <c r="FG81" s="13">
        <f t="shared" si="101"/>
        <v>54.336013993957934</v>
      </c>
      <c r="FH81" s="20">
        <f t="shared" si="76"/>
        <v>479.5743503728101</v>
      </c>
      <c r="FI81" s="59">
        <f t="shared" si="77"/>
        <v>772.90768370614342</v>
      </c>
      <c r="FJ81" s="59">
        <f ca="1">AVERAGE(OFFSET($FI$3,0,0,'Données projet'!$E$16+1,1))-AVERAGE(OFFSET($H$3,0,0,'Données projet'!$E$16+1,1))</f>
        <v>199.58763537752952</v>
      </c>
      <c r="FK81" s="59">
        <f t="shared" si="102"/>
        <v>242.62852778451929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2.7173229097091167</v>
      </c>
      <c r="FS81" s="21">
        <f>EXP(-LN(2)/2)*FS80+(1-EXP(-LN(2)/2))/(LN(2)/2)*FM81*FP81*VLOOKUP('Données projet'!$B$16,Paramètres!$A$1:$I$89,3,0)*0.475*44/12</f>
        <v>6.4143886525751471E-7</v>
      </c>
      <c r="FT81" s="22">
        <f t="shared" si="78"/>
        <v>2.7173235511479819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3.1</v>
      </c>
      <c r="FZ81" s="12">
        <f>IF('Données projet'!$A$244&gt;35,FZ80+FY81-GH80,IF(A81&lt;'Données projet'!$A$244,$FW$205^A81,IF(A81='Données projet'!$A$244,'Données projet'!$B$244,FZ80+FY81-GH80)))</f>
        <v>277.8</v>
      </c>
      <c r="GA81" s="17">
        <f>FZ81*VLOOKUP('Données projet'!$B$17,Paramètres!$A$1:$I$89,3,0)*VLOOKUP('Données projet'!$B$17,Paramètres!$A$1:$I$89,5,0)</f>
        <v>203.68296000000001</v>
      </c>
      <c r="GB81" s="13">
        <f t="shared" si="103"/>
        <v>50.552709277761799</v>
      </c>
      <c r="GC81" s="20">
        <f t="shared" si="79"/>
        <v>442.7937906587685</v>
      </c>
      <c r="GD81" s="59">
        <f t="shared" si="80"/>
        <v>736.12712399210182</v>
      </c>
      <c r="GE81" s="59">
        <f ca="1">AVERAGE(OFFSET($GD$3,0,0,'Données projet'!$E$17+1,1))-AVERAGE(OFFSET($H$3,0,0,'Données projet'!$E$17+1,1))</f>
        <v>178.12968684094687</v>
      </c>
      <c r="GF81" s="59">
        <f t="shared" si="104"/>
        <v>219.36004077210373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2.0317090641961242</v>
      </c>
      <c r="GN81" s="21">
        <f>EXP(-LN(2)/2)*GN80+(1-EXP(-LN(2)/2))/(LN(2)/2)*GH81*GK81*VLOOKUP('Données projet'!$B$17,Paramètres!$A$1:$I$89,3,0)*0.475*44/12</f>
        <v>5.9112993464908166E-7</v>
      </c>
      <c r="GO81" s="21">
        <f t="shared" si="81"/>
        <v>2.031709655326059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3.1</v>
      </c>
      <c r="GU81" s="12">
        <f>IF('Données projet'!$A$270&gt;35,GU80+GT81-HC80,IF(A81&lt;'Données projet'!$A$270,$GR$205^A81,IF(A81='Données projet'!$A$270,'Données projet'!$B$270,GU80+GT81-HC80)))</f>
        <v>277.8</v>
      </c>
      <c r="GV81" s="17">
        <f>GU81*VLOOKUP('Données projet'!$B$18,Paramètres!$A$1:$I$89,3,0)*VLOOKUP('Données projet'!$B$18,Paramètres!$A$1:$I$89,5,0)</f>
        <v>221.01768000000001</v>
      </c>
      <c r="GW81" s="13">
        <f t="shared" si="105"/>
        <v>54.336013993957934</v>
      </c>
      <c r="GX81" s="20">
        <f t="shared" si="82"/>
        <v>479.5743503728101</v>
      </c>
      <c r="GY81" s="59">
        <f t="shared" si="83"/>
        <v>772.90768370614342</v>
      </c>
      <c r="GZ81" s="59">
        <f ca="1">AVERAGE(OFFSET($GY$3,0,0,'Données projet'!$E$18+1,1))-AVERAGE(OFFSET($H$3,0,0,'Données projet'!$E$18+1,1))</f>
        <v>199.58763537752952</v>
      </c>
      <c r="HA81" s="59">
        <f t="shared" si="106"/>
        <v>242.62852778451929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0</v>
      </c>
      <c r="HH81" s="21">
        <f>EXP(-LN(2)/25)*HH80+(1-EXP(-LN(2)/25))/(LN(2)/25)*Calculateur!HC81*Calculateur!HE81*VLOOKUP('Données projet'!$B$18,Paramètres!$A$1:$I$89,3,0)*0.475*44/12</f>
        <v>2.7173229097091167</v>
      </c>
      <c r="HI81" s="21">
        <f>EXP(-LN(2)/2)*HI80+(1-EXP(-LN(2)/2))/(LN(2)/2)*HC81*HF81*VLOOKUP('Données projet'!$B$18,Paramètres!$A$1:$I$89,3,0)*0.475*44/12</f>
        <v>6.4143886525751471E-7</v>
      </c>
      <c r="HJ81" s="22">
        <f t="shared" si="84"/>
        <v>2.7173235511479819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8.1746794871794854</v>
      </c>
      <c r="N82" s="13">
        <f>IF('Données projet'!$A$36&gt;35,N81+M82-V81,IF(A82&lt;'Données projet'!$A$36,$K$205^A82,IF(A82='Données projet'!$A$36,'Données projet'!$B$36,N81+M82-V81)))</f>
        <v>277.79006410256403</v>
      </c>
      <c r="O82" s="13">
        <f>N82*VLOOKUP('Données projet'!$B$9,Paramètres!$A$1:$I$89,3,0)*VLOOKUP('Données projet'!$B$9,Paramètres!$A$1:$I$89,5,0)</f>
        <v>251.34444999999991</v>
      </c>
      <c r="P82" s="13">
        <f t="shared" si="87"/>
        <v>60.873744657540833</v>
      </c>
      <c r="Q82" s="20">
        <f t="shared" si="54"/>
        <v>543.78002236188331</v>
      </c>
      <c r="R82" s="59">
        <f t="shared" si="55"/>
        <v>837.11335569521657</v>
      </c>
      <c r="S82" s="59">
        <f ca="1">AVERAGE(OFFSET($R$3,0,0,'Données projet'!$E$9+1,1))-AVERAGE(OFFSET($H$3,0,0,'Données projet'!$E$9+1,1))</f>
        <v>309.07357540707869</v>
      </c>
      <c r="T82" s="59">
        <f t="shared" si="88"/>
        <v>155.9593924683299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6.533974358974362</v>
      </c>
      <c r="AI82" s="13">
        <f>IF('Données projet'!$A$62&gt;35,AI81+AH82-AQ81,IF(A82&lt;'Données projet'!$A$62,$AF$205^A82,IF(A82='Données projet'!$A$62,'Données projet'!$B$62,AI81+AH82-AQ81)))</f>
        <v>218.31730769230768</v>
      </c>
      <c r="AJ82" s="13">
        <f>AI82*VLOOKUP('Données projet'!$B$10,Paramètres!$A$1:$I$89,3,0)*VLOOKUP('Données projet'!$B$10,Paramètres!$A$1:$I$89,5,0)</f>
        <v>197.53349999999998</v>
      </c>
      <c r="AK82" s="13">
        <f t="shared" si="89"/>
        <v>49.201714815770728</v>
      </c>
      <c r="AL82" s="20">
        <f t="shared" si="58"/>
        <v>429.73049913746723</v>
      </c>
      <c r="AM82" s="59">
        <f t="shared" si="59"/>
        <v>723.06383247080055</v>
      </c>
      <c r="AN82" s="59">
        <f ca="1">AVERAGE(OFFSET($AM$3,0,0,'Données projet'!$E$10+1,1))-AVERAGE(OFFSET($H$3,0,0,'Données projet'!$E$10+1,1))</f>
        <v>234.30804102916278</v>
      </c>
      <c r="AO82" s="59">
        <f t="shared" si="90"/>
        <v>91.137993288782411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>
        <f>VLOOKUP(A82,'Données projet'!$A$87:$I$107,2,0)</f>
        <v>436.86153846153843</v>
      </c>
      <c r="BB82" s="12">
        <f>VLOOKUP(A82,'Données projet'!$A$87:$I$107,9,0)</f>
        <v>12.913461538461533</v>
      </c>
      <c r="BC82" s="12">
        <f t="array" ref="BC82">INDEX(BB:BB,MIN(IF(ISNUMBER(BB82:BB278),ROW(BB82:BB278),"")))</f>
        <v>12.913461538461533</v>
      </c>
      <c r="BD82" s="12">
        <f>IF('Données projet'!$A$88&gt;35,BD81+BC82-BL81,IF(A82&lt;'Données projet'!$A$88,$BA$205^A82,IF(A82='Données projet'!$A$88,'Données projet'!$B$88,BD81+BC82-BL81)))</f>
        <v>436.8615384615386</v>
      </c>
      <c r="BE82" s="13">
        <f>BD82*VLOOKUP('Données projet'!$B$11,Paramètres!$A$1:$I$89,3,0)*VLOOKUP('Données projet'!$B$11,Paramètres!$A$1:$I$89,5,0)</f>
        <v>204.45120000000009</v>
      </c>
      <c r="BF82" s="13">
        <f t="shared" si="91"/>
        <v>50.721150021305952</v>
      </c>
      <c r="BG82" s="20">
        <f t="shared" si="61"/>
        <v>444.42517628710794</v>
      </c>
      <c r="BH82" s="59">
        <f t="shared" si="62"/>
        <v>737.75850962044126</v>
      </c>
      <c r="BI82" s="59">
        <f ca="1">AVERAGE(OFFSET($BH$3,0,0,'Données projet'!$E$11+1,1))-AVERAGE(OFFSET($H$3,0,0,'Données projet'!$E$11+1,1))</f>
        <v>158.58786357608489</v>
      </c>
      <c r="BJ82" s="59">
        <f t="shared" si="92"/>
        <v>163.20074068819849</v>
      </c>
      <c r="BK82" s="15">
        <f>IF(ISNA(VLOOKUP(A82,'Données projet'!$A$87:$I$107,3,0)),0,VLOOKUP(A82,'Données projet'!$A$87:$I$107,3,0))</f>
        <v>6</v>
      </c>
      <c r="BL82" s="15">
        <f>IF(ISNA(VLOOKUP(A82,'Données projet'!$A$87:$I$107,4,0)),0,VLOOKUP(A82,'Données projet'!$A$87:$I$107,4,0))</f>
        <v>77.338461538461544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9.52371794871795</v>
      </c>
      <c r="BY82" s="12">
        <f>IF('Données projet'!$A$114&gt;35,BY81+BX82-CG81,IF(A82&lt;'Données projet'!$A$114,$BV$205^A82,IF(A82='Données projet'!$A$114,'Données projet'!$B$114,BY81+BX82-CG81)))</f>
        <v>321.68846153846141</v>
      </c>
      <c r="BZ82" s="13">
        <f>BY82*VLOOKUP('Données projet'!$B$12,Paramètres!$A$1:$I$89,3,0)*VLOOKUP('Données projet'!$B$12,Paramètres!$A$1:$I$89,5,0)</f>
        <v>150.55019999999993</v>
      </c>
      <c r="CA82" s="13">
        <f t="shared" si="93"/>
        <v>38.703593889379775</v>
      </c>
      <c r="CB82" s="20">
        <f t="shared" si="64"/>
        <v>329.61702435733633</v>
      </c>
      <c r="CC82" s="59">
        <f t="shared" si="65"/>
        <v>622.95035769066965</v>
      </c>
      <c r="CD82" s="59">
        <f ca="1">AVERAGE(OFFSET($CC$3,0,0,'Données projet'!$E$12+1,1))-AVERAGE(OFFSET($H$3,0,0,'Données projet'!$E$12+1,1))</f>
        <v>123.2823358462245</v>
      </c>
      <c r="CE82" s="59">
        <f t="shared" si="94"/>
        <v>92.75115399786057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7.5584615384615343</v>
      </c>
      <c r="CT82" s="12">
        <f>IF('Données projet'!$A$140&gt;35,CT81+CS82-DB81,IF(A82&lt;'Données projet'!$A$140,$CQ$205^A82,IF(A82='Données projet'!$A$140,'Données projet'!$B$140,CT81+CS82-DB81)))</f>
        <v>395.34923076923047</v>
      </c>
      <c r="CU82" s="17">
        <f>CT82*VLOOKUP('Données projet'!$B$13,Paramètres!$A$1:$I$89,3,0)*VLOOKUP('Données projet'!$B$13,Paramètres!$A$1:$I$89,5,0)</f>
        <v>236.41883999999985</v>
      </c>
      <c r="CV82" s="13">
        <f t="shared" si="95"/>
        <v>57.668353588027863</v>
      </c>
      <c r="CW82" s="20">
        <f t="shared" si="67"/>
        <v>512.20186216581487</v>
      </c>
      <c r="CX82" s="59">
        <f t="shared" si="68"/>
        <v>805.53519549914813</v>
      </c>
      <c r="CY82" s="59">
        <f ca="1">AVERAGE(OFFSET($CX$3,0,0,'Données projet'!$E$13+1,1))-AVERAGE(OFFSET($H$3,0,0,'Données projet'!$E$13+1,1))</f>
        <v>179.32848817523677</v>
      </c>
      <c r="CZ82" s="59">
        <f t="shared" si="96"/>
        <v>131.3292389103035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3.3876552325088829</v>
      </c>
      <c r="DH82" s="21">
        <f>EXP(-LN(2)/2)*DH81+(1-EXP(-LN(2)/2))/(LN(2)/2)*DB82*DE82*VLOOKUP('Données projet'!$B$13,Paramètres!$A$1:$I$89,3,0)*0.475*44/12</f>
        <v>2.218133583753868E-7</v>
      </c>
      <c r="DI82" s="22">
        <f t="shared" si="69"/>
        <v>3.3876554543222412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8.1746794871794854</v>
      </c>
      <c r="DO82" s="12">
        <f>IF('Données projet'!$A$166&gt;35,DO81+DN82-DW81,IF(A82&lt;'Données projet'!$A$166,$DL$205^A82,IF(A82='Données projet'!$A$166,'Données projet'!$B$166,DO81+DN82-DW81)))</f>
        <v>277.79006410256403</v>
      </c>
      <c r="DP82" s="17">
        <f>DO82*VLOOKUP('Données projet'!$B$14,Paramètres!$A$1:$I$89,3,0)*VLOOKUP('Données projet'!$B$14,Paramètres!$A$1:$I$89,5,0)</f>
        <v>268.67854999999997</v>
      </c>
      <c r="DQ82" s="13">
        <f t="shared" si="97"/>
        <v>64.568744217190343</v>
      </c>
      <c r="DR82" s="20">
        <f t="shared" si="70"/>
        <v>580.40570409493978</v>
      </c>
      <c r="DS82" s="59">
        <f t="shared" si="71"/>
        <v>873.73903742827315</v>
      </c>
      <c r="DT82" s="59">
        <f ca="1">AVERAGE(OFFSET($DS$3,0,0,'Données projet'!$E$14+1,1))-AVERAGE(OFFSET($H$3,0,0,'Données projet'!$E$14+1,1))</f>
        <v>340.4659523898373</v>
      </c>
      <c r="DU82" s="59">
        <f t="shared" si="98"/>
        <v>170.54530785680572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0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6.533974358974362</v>
      </c>
      <c r="EJ82" s="12">
        <f>IF('Données projet'!$A$192&gt;35,EJ81+EI82-ER81,IF(A82&lt;'Données projet'!$A$192,$EG$205^A82,IF(A82='Données projet'!$A$192,'Données projet'!$B$192,EJ81+EI82-ER81)))</f>
        <v>218.31730769230768</v>
      </c>
      <c r="EK82" s="17">
        <f>EJ82*VLOOKUP('Données projet'!$B$15,Paramètres!$A$1:$I$89,3,0)*VLOOKUP('Données projet'!$B$15,Paramètres!$A$1:$I$89,5,0)</f>
        <v>211.15649999999997</v>
      </c>
      <c r="EL82" s="13">
        <f t="shared" si="99"/>
        <v>52.188229208815343</v>
      </c>
      <c r="EM82" s="20">
        <f t="shared" si="73"/>
        <v>458.65873670535325</v>
      </c>
      <c r="EN82" s="59">
        <f t="shared" si="74"/>
        <v>751.99207003868651</v>
      </c>
      <c r="EO82" s="59">
        <f ca="1">AVERAGE(OFFSET($EN$3,0,0,'Données projet'!$E$15+1,1))-AVERAGE(OFFSET($H$3,0,0,'Données projet'!$E$15+1,1))</f>
        <v>262.20955982183017</v>
      </c>
      <c r="EP82" s="59">
        <f t="shared" si="100"/>
        <v>101.35842063036193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3.1</v>
      </c>
      <c r="FE82" s="12">
        <f>IF('Données projet'!$A$218&gt;35,FE81+FD82-FM81,IF(A82&lt;'Données projet'!$A$218,$FB$205^A82,IF(A82='Données projet'!$A$218,'Données projet'!$B$218,FE81+FD82-FM81)))</f>
        <v>280.90000000000003</v>
      </c>
      <c r="FF82" s="17">
        <f>FE82*VLOOKUP('Données projet'!$B$16,Paramètres!$A$1:$I$89,3,0)*VLOOKUP('Données projet'!$B$16,Paramètres!$A$1:$I$89,5,0)</f>
        <v>223.48404000000002</v>
      </c>
      <c r="FG82" s="13">
        <f t="shared" si="101"/>
        <v>54.871430742470253</v>
      </c>
      <c r="FH82" s="20">
        <f t="shared" si="76"/>
        <v>484.80244487646905</v>
      </c>
      <c r="FI82" s="59">
        <f t="shared" si="77"/>
        <v>778.13577820980231</v>
      </c>
      <c r="FJ82" s="59">
        <f ca="1">AVERAGE(OFFSET($FI$3,0,0,'Données projet'!$E$16+1,1))-AVERAGE(OFFSET($H$3,0,0,'Données projet'!$E$16+1,1))</f>
        <v>199.58763537752952</v>
      </c>
      <c r="FK82" s="59">
        <f t="shared" si="102"/>
        <v>242.62852778451929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2.6430175718453195</v>
      </c>
      <c r="FS82" s="21">
        <f>EXP(-LN(2)/2)*FS81+(1-EXP(-LN(2)/2))/(LN(2)/2)*FM82*FP82*VLOOKUP('Données projet'!$B$16,Paramètres!$A$1:$I$89,3,0)*0.475*44/12</f>
        <v>4.535657713401928E-7</v>
      </c>
      <c r="FT82" s="22">
        <f t="shared" si="78"/>
        <v>2.6430180254110907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3.1</v>
      </c>
      <c r="FZ82" s="12">
        <f>IF('Données projet'!$A$244&gt;35,FZ81+FY82-GH81,IF(A82&lt;'Données projet'!$A$244,$FW$205^A82,IF(A82='Données projet'!$A$244,'Données projet'!$B$244,FZ81+FY82-GH81)))</f>
        <v>280.90000000000003</v>
      </c>
      <c r="GA82" s="17">
        <f>FZ82*VLOOKUP('Données projet'!$B$17,Paramètres!$A$1:$I$89,3,0)*VLOOKUP('Données projet'!$B$17,Paramètres!$A$1:$I$89,5,0)</f>
        <v>205.95588000000001</v>
      </c>
      <c r="GB82" s="13">
        <f t="shared" si="103"/>
        <v>51.050846061092926</v>
      </c>
      <c r="GC82" s="20">
        <f t="shared" si="79"/>
        <v>447.62004788973678</v>
      </c>
      <c r="GD82" s="59">
        <f t="shared" si="80"/>
        <v>740.9533812230701</v>
      </c>
      <c r="GE82" s="59">
        <f ca="1">AVERAGE(OFFSET($GD$3,0,0,'Données projet'!$E$17+1,1))-AVERAGE(OFFSET($H$3,0,0,'Données projet'!$E$17+1,1))</f>
        <v>178.12968684094687</v>
      </c>
      <c r="GF82" s="59">
        <f t="shared" si="104"/>
        <v>219.36004077210373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1.976151872992745</v>
      </c>
      <c r="GN82" s="21">
        <f>EXP(-LN(2)/2)*GN81+(1-EXP(-LN(2)/2))/(LN(2)/2)*GH82*GK82*VLOOKUP('Données projet'!$B$17,Paramètres!$A$1:$I$89,3,0)*0.475*44/12</f>
        <v>4.1799198535272633E-7</v>
      </c>
      <c r="GO82" s="21">
        <f t="shared" si="81"/>
        <v>1.9761522909847302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3.1</v>
      </c>
      <c r="GU82" s="12">
        <f>IF('Données projet'!$A$270&gt;35,GU81+GT82-HC81,IF(A82&lt;'Données projet'!$A$270,$GR$205^A82,IF(A82='Données projet'!$A$270,'Données projet'!$B$270,GU81+GT82-HC81)))</f>
        <v>280.90000000000003</v>
      </c>
      <c r="GV82" s="17">
        <f>GU82*VLOOKUP('Données projet'!$B$18,Paramètres!$A$1:$I$89,3,0)*VLOOKUP('Données projet'!$B$18,Paramètres!$A$1:$I$89,5,0)</f>
        <v>223.48404000000002</v>
      </c>
      <c r="GW82" s="13">
        <f t="shared" si="105"/>
        <v>54.871430742470253</v>
      </c>
      <c r="GX82" s="20">
        <f t="shared" si="82"/>
        <v>484.80244487646905</v>
      </c>
      <c r="GY82" s="59">
        <f t="shared" si="83"/>
        <v>778.13577820980231</v>
      </c>
      <c r="GZ82" s="59">
        <f ca="1">AVERAGE(OFFSET($GY$3,0,0,'Données projet'!$E$18+1,1))-AVERAGE(OFFSET($H$3,0,0,'Données projet'!$E$18+1,1))</f>
        <v>199.58763537752952</v>
      </c>
      <c r="HA82" s="59">
        <f t="shared" si="106"/>
        <v>242.62852778451929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0</v>
      </c>
      <c r="HH82" s="21">
        <f>EXP(-LN(2)/25)*HH81+(1-EXP(-LN(2)/25))/(LN(2)/25)*Calculateur!HC82*Calculateur!HE82*VLOOKUP('Données projet'!$B$18,Paramètres!$A$1:$I$89,3,0)*0.475*44/12</f>
        <v>2.6430175718453195</v>
      </c>
      <c r="HI82" s="21">
        <f>EXP(-LN(2)/2)*HI81+(1-EXP(-LN(2)/2))/(LN(2)/2)*HC82*HF82*VLOOKUP('Données projet'!$B$18,Paramètres!$A$1:$I$89,3,0)*0.475*44/12</f>
        <v>4.535657713401928E-7</v>
      </c>
      <c r="HJ82" s="22">
        <f t="shared" si="84"/>
        <v>2.6430180254110907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8.1746794871794854</v>
      </c>
      <c r="N83" s="13">
        <f>IF('Données projet'!$A$36&gt;35,N82+M83-V82,IF(A83&lt;'Données projet'!$A$36,$K$205^A83,IF(A83='Données projet'!$A$36,'Données projet'!$B$36,N82+M83-V82)))</f>
        <v>285.96474358974353</v>
      </c>
      <c r="O83" s="13">
        <f>N83*VLOOKUP('Données projet'!$B$9,Paramètres!$A$1:$I$89,3,0)*VLOOKUP('Données projet'!$B$9,Paramètres!$A$1:$I$89,5,0)</f>
        <v>258.7408999999999</v>
      </c>
      <c r="P83" s="13">
        <f t="shared" si="87"/>
        <v>62.453912936792911</v>
      </c>
      <c r="Q83" s="20">
        <f t="shared" si="54"/>
        <v>559.41429919824748</v>
      </c>
      <c r="R83" s="59">
        <f t="shared" si="55"/>
        <v>852.74763253158085</v>
      </c>
      <c r="S83" s="59">
        <f ca="1">AVERAGE(OFFSET($R$3,0,0,'Données projet'!$E$9+1,1))-AVERAGE(OFFSET($H$3,0,0,'Données projet'!$E$9+1,1))</f>
        <v>309.07357540707869</v>
      </c>
      <c r="T83" s="59">
        <f t="shared" si="88"/>
        <v>155.9593924683299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6.533974358974362</v>
      </c>
      <c r="AI83" s="13">
        <f>IF('Données projet'!$A$62&gt;35,AI82+AH83-AQ82,IF(A83&lt;'Données projet'!$A$62,$AF$205^A83,IF(A83='Données projet'!$A$62,'Données projet'!$B$62,AI82+AH83-AQ82)))</f>
        <v>224.85128205128206</v>
      </c>
      <c r="AJ83" s="13">
        <f>AI83*VLOOKUP('Données projet'!$B$10,Paramètres!$A$1:$I$89,3,0)*VLOOKUP('Données projet'!$B$10,Paramètres!$A$1:$I$89,5,0)</f>
        <v>203.44543999999999</v>
      </c>
      <c r="AK83" s="13">
        <f t="shared" si="89"/>
        <v>50.50061678781659</v>
      </c>
      <c r="AL83" s="20">
        <f t="shared" si="58"/>
        <v>442.28938223878055</v>
      </c>
      <c r="AM83" s="59">
        <f t="shared" si="59"/>
        <v>735.62271557211386</v>
      </c>
      <c r="AN83" s="59">
        <f ca="1">AVERAGE(OFFSET($AM$3,0,0,'Données projet'!$E$10+1,1))-AVERAGE(OFFSET($H$3,0,0,'Données projet'!$E$10+1,1))</f>
        <v>234.30804102916278</v>
      </c>
      <c r="AO83" s="59">
        <f t="shared" si="90"/>
        <v>91.137993288782411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12.124038461538468</v>
      </c>
      <c r="BD83" s="12">
        <f>IF('Données projet'!$A$88&gt;35,BD82+BC83-BL82,IF(A83&lt;'Données projet'!$A$88,$BA$205^A83,IF(A83='Données projet'!$A$88,'Données projet'!$B$88,BD82+BC83-BL82)))</f>
        <v>371.64711538461552</v>
      </c>
      <c r="BE83" s="13">
        <f>BD83*VLOOKUP('Données projet'!$B$11,Paramètres!$A$1:$I$89,3,0)*VLOOKUP('Données projet'!$B$11,Paramètres!$A$1:$I$89,5,0)</f>
        <v>173.93085000000008</v>
      </c>
      <c r="BF83" s="13">
        <f t="shared" si="91"/>
        <v>43.969228534222836</v>
      </c>
      <c r="BG83" s="20">
        <f t="shared" si="61"/>
        <v>379.50930344710491</v>
      </c>
      <c r="BH83" s="59">
        <f t="shared" si="62"/>
        <v>672.84263678043817</v>
      </c>
      <c r="BI83" s="59">
        <f ca="1">AVERAGE(OFFSET($BH$3,0,0,'Données projet'!$E$11+1,1))-AVERAGE(OFFSET($H$3,0,0,'Données projet'!$E$11+1,1))</f>
        <v>158.58786357608489</v>
      </c>
      <c r="BJ83" s="59">
        <f t="shared" si="92"/>
        <v>163.20074068819849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9.52371794871795</v>
      </c>
      <c r="BY83" s="12">
        <f>IF('Données projet'!$A$114&gt;35,BY82+BX83-CG82,IF(A83&lt;'Données projet'!$A$114,$BV$205^A83,IF(A83='Données projet'!$A$114,'Données projet'!$B$114,BY82+BX83-CG82)))</f>
        <v>331.21217948717936</v>
      </c>
      <c r="BZ83" s="13">
        <f>BY83*VLOOKUP('Données projet'!$B$12,Paramètres!$A$1:$I$89,3,0)*VLOOKUP('Données projet'!$B$12,Paramètres!$A$1:$I$89,5,0)</f>
        <v>155.00729999999993</v>
      </c>
      <c r="CA83" s="13">
        <f t="shared" si="93"/>
        <v>39.714328701221483</v>
      </c>
      <c r="CB83" s="20">
        <f t="shared" si="64"/>
        <v>339.14016998796063</v>
      </c>
      <c r="CC83" s="59">
        <f t="shared" si="65"/>
        <v>632.47350332129395</v>
      </c>
      <c r="CD83" s="59">
        <f ca="1">AVERAGE(OFFSET($CC$3,0,0,'Données projet'!$E$12+1,1))-AVERAGE(OFFSET($H$3,0,0,'Données projet'!$E$12+1,1))</f>
        <v>123.2823358462245</v>
      </c>
      <c r="CE83" s="59">
        <f t="shared" si="94"/>
        <v>92.75115399786057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402.90769230769229</v>
      </c>
      <c r="CR83" s="12">
        <f>VLOOKUP(A83,'Données projet'!$A$139:$I$159,9,0)</f>
        <v>7.5584615384615343</v>
      </c>
      <c r="CS83" s="12">
        <f t="array" ref="CS83">INDEX(CR:CR,MIN(IF(ISNUMBER(CR83:CR279),ROW(CR83:CR279),"")))</f>
        <v>7.5584615384615343</v>
      </c>
      <c r="CT83" s="12">
        <f>IF('Données projet'!$A$140&gt;35,CT82+CS83-DB82,IF(A83&lt;'Données projet'!$A$140,$CQ$205^A83,IF(A83='Données projet'!$A$140,'Données projet'!$B$140,CT82+CS83-DB82)))</f>
        <v>402.907692307692</v>
      </c>
      <c r="CU83" s="17">
        <f>CT83*VLOOKUP('Données projet'!$B$13,Paramètres!$A$1:$I$89,3,0)*VLOOKUP('Données projet'!$B$13,Paramètres!$A$1:$I$89,5,0)</f>
        <v>240.93879999999982</v>
      </c>
      <c r="CV83" s="13">
        <f t="shared" si="95"/>
        <v>58.64147195802866</v>
      </c>
      <c r="CW83" s="20">
        <f t="shared" si="67"/>
        <v>521.76897366023286</v>
      </c>
      <c r="CX83" s="59">
        <f t="shared" si="68"/>
        <v>815.10230699356612</v>
      </c>
      <c r="CY83" s="59">
        <f ca="1">AVERAGE(OFFSET($CX$3,0,0,'Données projet'!$E$13+1,1))-AVERAGE(OFFSET($H$3,0,0,'Données projet'!$E$13+1,1))</f>
        <v>179.32848817523677</v>
      </c>
      <c r="CZ83" s="59">
        <f t="shared" si="96"/>
        <v>131.3292389103035</v>
      </c>
      <c r="DA83" s="15">
        <f>IF(ISNA(VLOOKUP(A83,'Données projet'!$A$139:$I$159,3,0)),0,VLOOKUP(A83,'Données projet'!$A$139:$I$159,3,0))</f>
        <v>8</v>
      </c>
      <c r="DB83" s="15">
        <f>IF(ISNA(VLOOKUP(A83,'Données projet'!$A$139:$I$159,4,0)),0,VLOOKUP(A83,'Données projet'!$A$139:$I$159,4,0))</f>
        <v>402.90769230769229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3.2950196220268815</v>
      </c>
      <c r="DH83" s="21">
        <f>EXP(-LN(2)/2)*DH82+(1-EXP(-LN(2)/2))/(LN(2)/2)*DB83*DE83*VLOOKUP('Données projet'!$B$13,Paramètres!$A$1:$I$89,3,0)*0.475*44/12</f>
        <v>1.5684572986499788E-7</v>
      </c>
      <c r="DI83" s="22">
        <f t="shared" si="69"/>
        <v>3.2950197788726112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8.1746794871794854</v>
      </c>
      <c r="DO83" s="12">
        <f>IF('Données projet'!$A$166&gt;35,DO82+DN83-DW82,IF(A83&lt;'Données projet'!$A$166,$DL$205^A83,IF(A83='Données projet'!$A$166,'Données projet'!$B$166,DO82+DN83-DW82)))</f>
        <v>285.96474358974353</v>
      </c>
      <c r="DP83" s="17">
        <f>DO83*VLOOKUP('Données projet'!$B$14,Paramètres!$A$1:$I$89,3,0)*VLOOKUP('Données projet'!$B$14,Paramètres!$A$1:$I$89,5,0)</f>
        <v>276.58509999999995</v>
      </c>
      <c r="DQ83" s="13">
        <f t="shared" si="97"/>
        <v>66.24482775726392</v>
      </c>
      <c r="DR83" s="20">
        <f t="shared" si="70"/>
        <v>597.09545751056794</v>
      </c>
      <c r="DS83" s="59">
        <f t="shared" si="71"/>
        <v>890.4287908439012</v>
      </c>
      <c r="DT83" s="59">
        <f ca="1">AVERAGE(OFFSET($DS$3,0,0,'Données projet'!$E$14+1,1))-AVERAGE(OFFSET($H$3,0,0,'Données projet'!$E$14+1,1))</f>
        <v>340.4659523898373</v>
      </c>
      <c r="DU83" s="59">
        <f t="shared" si="98"/>
        <v>170.54530785680572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0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6.533974358974362</v>
      </c>
      <c r="EJ83" s="12">
        <f>IF('Données projet'!$A$192&gt;35,EJ82+EI83-ER82,IF(A83&lt;'Données projet'!$A$192,$EG$205^A83,IF(A83='Données projet'!$A$192,'Données projet'!$B$192,EJ82+EI83-ER82)))</f>
        <v>224.85128205128206</v>
      </c>
      <c r="EK83" s="17">
        <f>EJ83*VLOOKUP('Données projet'!$B$15,Paramètres!$A$1:$I$89,3,0)*VLOOKUP('Données projet'!$B$15,Paramètres!$A$1:$I$89,5,0)</f>
        <v>217.47615999999999</v>
      </c>
      <c r="EL83" s="13">
        <f t="shared" si="99"/>
        <v>53.565973746596853</v>
      </c>
      <c r="EM83" s="20">
        <f t="shared" si="73"/>
        <v>472.06504960865618</v>
      </c>
      <c r="EN83" s="59">
        <f t="shared" si="74"/>
        <v>765.39838294198944</v>
      </c>
      <c r="EO83" s="59">
        <f ca="1">AVERAGE(OFFSET($EN$3,0,0,'Données projet'!$E$15+1,1))-AVERAGE(OFFSET($H$3,0,0,'Données projet'!$E$15+1,1))</f>
        <v>262.20955982183017</v>
      </c>
      <c r="EP83" s="59">
        <f t="shared" si="100"/>
        <v>101.35842063036193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284</v>
      </c>
      <c r="FC83" s="12">
        <f>VLOOKUP(A83,'Données projet'!$A$217:$I$237,9,0)</f>
        <v>3.1</v>
      </c>
      <c r="FD83" s="12">
        <f t="array" ref="FD83">INDEX(FC:FC,MIN(IF(ISNUMBER(FC83:FC279),ROW(FC83:FC279),"")))</f>
        <v>3.1</v>
      </c>
      <c r="FE83" s="12">
        <f>IF('Données projet'!$A$218&gt;35,FE82+FD83-FM82,IF(A83&lt;'Données projet'!$A$218,$FB$205^A83,IF(A83='Données projet'!$A$218,'Données projet'!$B$218,FE82+FD83-FM82)))</f>
        <v>284.00000000000006</v>
      </c>
      <c r="FF83" s="17">
        <f>FE83*VLOOKUP('Données projet'!$B$16,Paramètres!$A$1:$I$89,3,0)*VLOOKUP('Données projet'!$B$16,Paramètres!$A$1:$I$89,5,0)</f>
        <v>225.95040000000006</v>
      </c>
      <c r="FG83" s="13">
        <f t="shared" si="101"/>
        <v>55.406160129335312</v>
      </c>
      <c r="FH83" s="20">
        <f t="shared" si="76"/>
        <v>490.02934222525914</v>
      </c>
      <c r="FI83" s="59">
        <f t="shared" si="77"/>
        <v>783.3626755585924</v>
      </c>
      <c r="FJ83" s="59">
        <f ca="1">AVERAGE(OFFSET($FI$3,0,0,'Données projet'!$E$16+1,1))-AVERAGE(OFFSET($H$3,0,0,'Données projet'!$E$16+1,1))</f>
        <v>199.58763537752952</v>
      </c>
      <c r="FK83" s="59">
        <f t="shared" si="102"/>
        <v>242.62852778451929</v>
      </c>
      <c r="FL83" s="15">
        <f>IF(ISNA(VLOOKUP(A83,'Données projet'!$A$217:$I$237,3,0)),0,VLOOKUP(A83,'Données projet'!$A$217:$I$237,3,0))</f>
        <v>7</v>
      </c>
      <c r="FM83" s="15">
        <f>IF(ISNA(VLOOKUP(A83,'Données projet'!$A$217:$I$237,4,0)),0,VLOOKUP(A83,'Données projet'!$A$217:$I$237,4,0))</f>
        <v>284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2.5707441173529557</v>
      </c>
      <c r="FS83" s="21">
        <f>EXP(-LN(2)/2)*FS82+(1-EXP(-LN(2)/2))/(LN(2)/2)*FM83*FP83*VLOOKUP('Données projet'!$B$16,Paramètres!$A$1:$I$89,3,0)*0.475*44/12</f>
        <v>3.2071943262875735E-7</v>
      </c>
      <c r="FT83" s="22">
        <f t="shared" si="78"/>
        <v>2.5707444380723885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284</v>
      </c>
      <c r="FX83" s="12">
        <f>VLOOKUP(A83,'Données projet'!$A$243:$I$263,9,0)</f>
        <v>3.1</v>
      </c>
      <c r="FY83" s="12">
        <f t="array" ref="FY83">INDEX(FX:FX,MIN(IF(ISNUMBER(FX83:FX279),ROW(FX83:FX279),"")))</f>
        <v>3.1</v>
      </c>
      <c r="FZ83" s="12">
        <f>IF('Données projet'!$A$244&gt;35,FZ82+FY83-GH82,IF(A83&lt;'Données projet'!$A$244,$FW$205^A83,IF(A83='Données projet'!$A$244,'Données projet'!$B$244,FZ82+FY83-GH82)))</f>
        <v>284.00000000000006</v>
      </c>
      <c r="GA83" s="17">
        <f>FZ83*VLOOKUP('Données projet'!$B$17,Paramètres!$A$1:$I$89,3,0)*VLOOKUP('Données projet'!$B$17,Paramètres!$A$1:$I$89,5,0)</f>
        <v>208.22880000000004</v>
      </c>
      <c r="GB83" s="13">
        <f t="shared" si="103"/>
        <v>51.548343342352297</v>
      </c>
      <c r="GC83" s="20">
        <f t="shared" si="79"/>
        <v>452.44519132126362</v>
      </c>
      <c r="GD83" s="59">
        <f t="shared" si="80"/>
        <v>745.77852465459694</v>
      </c>
      <c r="GE83" s="59">
        <f ca="1">AVERAGE(OFFSET($GD$3,0,0,'Données projet'!$E$17+1,1))-AVERAGE(OFFSET($H$3,0,0,'Données projet'!$E$17+1,1))</f>
        <v>178.12968684094687</v>
      </c>
      <c r="GF83" s="59">
        <f t="shared" si="104"/>
        <v>219.36004077210373</v>
      </c>
      <c r="GG83" s="15">
        <f>IF(ISNA(VLOOKUP(A83,'Données projet'!$A$243:$I$263,3,0)),0,VLOOKUP(A83,'Données projet'!$A$243:$I$263,3,0))</f>
        <v>7</v>
      </c>
      <c r="GH83" s="15">
        <f>IF(ISNA(VLOOKUP(A83,'Données projet'!$A$243:$I$263,4,0)),0,VLOOKUP(A83,'Données projet'!$A$243:$I$263,4,0))</f>
        <v>284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1.9221138961044479</v>
      </c>
      <c r="GN83" s="21">
        <f>EXP(-LN(2)/2)*GN82+(1-EXP(-LN(2)/2))/(LN(2)/2)*GH83*GK83*VLOOKUP('Données projet'!$B$17,Paramètres!$A$1:$I$89,3,0)*0.475*44/12</f>
        <v>2.9556496732454083E-7</v>
      </c>
      <c r="GO83" s="21">
        <f t="shared" si="81"/>
        <v>1.9221141916694153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284</v>
      </c>
      <c r="GS83" s="12">
        <f>VLOOKUP(A83,'Données projet'!$A$269:$I$289,9,0)</f>
        <v>3.1</v>
      </c>
      <c r="GT83" s="12">
        <f t="array" ref="GT83">INDEX(GS:GS,MIN(IF(ISNUMBER(GS83:GS279),ROW(GS83:GS279),"")))</f>
        <v>3.1</v>
      </c>
      <c r="GU83" s="12">
        <f>IF('Données projet'!$A$270&gt;35,GU82+GT83-HC82,IF(A83&lt;'Données projet'!$A$270,$GR$205^A83,IF(A83='Données projet'!$A$270,'Données projet'!$B$270,GU82+GT83-HC82)))</f>
        <v>284.00000000000006</v>
      </c>
      <c r="GV83" s="17">
        <f>GU83*VLOOKUP('Données projet'!$B$18,Paramètres!$A$1:$I$89,3,0)*VLOOKUP('Données projet'!$B$18,Paramètres!$A$1:$I$89,5,0)</f>
        <v>225.95040000000006</v>
      </c>
      <c r="GW83" s="13">
        <f t="shared" si="105"/>
        <v>55.406160129335312</v>
      </c>
      <c r="GX83" s="20">
        <f t="shared" si="82"/>
        <v>490.02934222525914</v>
      </c>
      <c r="GY83" s="59">
        <f t="shared" si="83"/>
        <v>783.3626755585924</v>
      </c>
      <c r="GZ83" s="59">
        <f ca="1">AVERAGE(OFFSET($GY$3,0,0,'Données projet'!$E$18+1,1))-AVERAGE(OFFSET($H$3,0,0,'Données projet'!$E$18+1,1))</f>
        <v>199.58763537752952</v>
      </c>
      <c r="HA83" s="59">
        <f t="shared" si="106"/>
        <v>242.62852778451929</v>
      </c>
      <c r="HB83" s="15">
        <f>IF(ISNA(VLOOKUP(A83,'Données projet'!$A$269:$I$289,3,0)),0,VLOOKUP(A83,'Données projet'!$A$269:$I$289,3,0))</f>
        <v>7</v>
      </c>
      <c r="HC83" s="15">
        <f>IF(ISNA(VLOOKUP(A83,'Données projet'!$A$269:$I$289,4,0)),0,VLOOKUP(A83,'Données projet'!$A$269:$I$289,4,0))</f>
        <v>284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>
        <f>EXP(-LN(2)/35)*HG82+(1-EXP(-LN(2)/35))/(LN(2)/35)*HC83*HD83*VLOOKUP('Données projet'!$B$18,Paramètres!$A$1:$I$89,3,0)*0.475*44/12</f>
        <v>0</v>
      </c>
      <c r="HH83" s="21">
        <f>EXP(-LN(2)/25)*HH82+(1-EXP(-LN(2)/25))/(LN(2)/25)*Calculateur!HC83*Calculateur!HE83*VLOOKUP('Données projet'!$B$18,Paramètres!$A$1:$I$89,3,0)*0.475*44/12</f>
        <v>2.5707441173529557</v>
      </c>
      <c r="HI83" s="21">
        <f>EXP(-LN(2)/2)*HI82+(1-EXP(-LN(2)/2))/(LN(2)/2)*HC83*HF83*VLOOKUP('Données projet'!$B$18,Paramètres!$A$1:$I$89,3,0)*0.475*44/12</f>
        <v>3.2071943262875735E-7</v>
      </c>
      <c r="HJ83" s="22">
        <f t="shared" si="84"/>
        <v>2.5707444380723885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8.1746794871794854</v>
      </c>
      <c r="N84" s="13">
        <f>IF('Données projet'!$A$36&gt;35,N83+M84-V83,IF(A84&lt;'Données projet'!$A$36,$K$205^A84,IF(A84='Données projet'!$A$36,'Données projet'!$B$36,N83+M84-V83)))</f>
        <v>294.13942307692304</v>
      </c>
      <c r="O84" s="13">
        <f>N84*VLOOKUP('Données projet'!$B$9,Paramètres!$A$1:$I$89,3,0)*VLOOKUP('Données projet'!$B$9,Paramètres!$A$1:$I$89,5,0)</f>
        <v>266.13734999999997</v>
      </c>
      <c r="P84" s="13">
        <f t="shared" si="87"/>
        <v>64.02883127145283</v>
      </c>
      <c r="Q84" s="20">
        <f t="shared" si="54"/>
        <v>575.03943238111356</v>
      </c>
      <c r="R84" s="59">
        <f t="shared" si="55"/>
        <v>868.37276571444681</v>
      </c>
      <c r="S84" s="59">
        <f ca="1">AVERAGE(OFFSET($R$3,0,0,'Données projet'!$E$9+1,1))-AVERAGE(OFFSET($H$3,0,0,'Données projet'!$E$9+1,1))</f>
        <v>309.07357540707869</v>
      </c>
      <c r="T84" s="59">
        <f t="shared" si="88"/>
        <v>155.9593924683299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6.533974358974362</v>
      </c>
      <c r="AI84" s="13">
        <f>IF('Données projet'!$A$62&gt;35,AI83+AH84-AQ83,IF(A84&lt;'Données projet'!$A$62,$AF$205^A84,IF(A84='Données projet'!$A$62,'Données projet'!$B$62,AI83+AH84-AQ83)))</f>
        <v>231.38525641025643</v>
      </c>
      <c r="AJ84" s="13">
        <f>AI84*VLOOKUP('Données projet'!$B$10,Paramètres!$A$1:$I$89,3,0)*VLOOKUP('Données projet'!$B$10,Paramètres!$A$1:$I$89,5,0)</f>
        <v>209.35738000000003</v>
      </c>
      <c r="AK84" s="13">
        <f t="shared" si="89"/>
        <v>51.79513202169526</v>
      </c>
      <c r="AL84" s="20">
        <f t="shared" si="58"/>
        <v>454.84062510445273</v>
      </c>
      <c r="AM84" s="59">
        <f t="shared" si="59"/>
        <v>748.17395843778604</v>
      </c>
      <c r="AN84" s="59">
        <f ca="1">AVERAGE(OFFSET($AM$3,0,0,'Données projet'!$E$10+1,1))-AVERAGE(OFFSET($H$3,0,0,'Données projet'!$E$10+1,1))</f>
        <v>234.30804102916278</v>
      </c>
      <c r="AO84" s="59">
        <f t="shared" si="90"/>
        <v>91.137993288782411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12.124038461538468</v>
      </c>
      <c r="BD84" s="12">
        <f>IF('Données projet'!$A$88&gt;35,BD83+BC84-BL83,IF(A84&lt;'Données projet'!$A$88,$BA$205^A84,IF(A84='Données projet'!$A$88,'Données projet'!$B$88,BD83+BC84-BL83)))</f>
        <v>383.77115384615399</v>
      </c>
      <c r="BE84" s="13">
        <f>BD84*VLOOKUP('Données projet'!$B$11,Paramètres!$A$1:$I$89,3,0)*VLOOKUP('Données projet'!$B$11,Paramètres!$A$1:$I$89,5,0)</f>
        <v>179.60490000000007</v>
      </c>
      <c r="BF84" s="13">
        <f t="shared" si="91"/>
        <v>45.234272457213635</v>
      </c>
      <c r="BG84" s="20">
        <f t="shared" si="61"/>
        <v>391.59489202964716</v>
      </c>
      <c r="BH84" s="59">
        <f t="shared" si="62"/>
        <v>684.92822536298047</v>
      </c>
      <c r="BI84" s="59">
        <f ca="1">AVERAGE(OFFSET($BH$3,0,0,'Données projet'!$E$11+1,1))-AVERAGE(OFFSET($H$3,0,0,'Données projet'!$E$11+1,1))</f>
        <v>158.58786357608489</v>
      </c>
      <c r="BJ84" s="59">
        <f t="shared" si="92"/>
        <v>163.20074068819849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9.52371794871795</v>
      </c>
      <c r="BY84" s="12">
        <f>IF('Données projet'!$A$114&gt;35,BY83+BX84-CG83,IF(A84&lt;'Données projet'!$A$114,$BV$205^A84,IF(A84='Données projet'!$A$114,'Données projet'!$B$114,BY83+BX84-CG83)))</f>
        <v>340.7358974358973</v>
      </c>
      <c r="BZ84" s="13">
        <f>BY84*VLOOKUP('Données projet'!$B$12,Paramètres!$A$1:$I$89,3,0)*VLOOKUP('Données projet'!$B$12,Paramètres!$A$1:$I$89,5,0)</f>
        <v>159.46439999999993</v>
      </c>
      <c r="CA84" s="13">
        <f t="shared" si="93"/>
        <v>40.721685766303267</v>
      </c>
      <c r="CB84" s="20">
        <f t="shared" si="64"/>
        <v>348.65743270964475</v>
      </c>
      <c r="CC84" s="59">
        <f t="shared" si="65"/>
        <v>641.99076604297807</v>
      </c>
      <c r="CD84" s="59">
        <f ca="1">AVERAGE(OFFSET($CC$3,0,0,'Données projet'!$E$12+1,1))-AVERAGE(OFFSET($H$3,0,0,'Données projet'!$E$12+1,1))</f>
        <v>123.2823358462245</v>
      </c>
      <c r="CE84" s="59">
        <f t="shared" si="94"/>
        <v>92.75115399786057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-2.8421709430404007E-13</v>
      </c>
      <c r="CU84" s="17">
        <f>CT84*VLOOKUP('Données projet'!$B$13,Paramètres!$A$1:$I$89,3,0)*VLOOKUP('Données projet'!$B$13,Paramètres!$A$1:$I$89,5,0)</f>
        <v>-1.69961822393816E-13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179.32848817523677</v>
      </c>
      <c r="CZ84" s="59">
        <f t="shared" si="96"/>
        <v>131.3292389103035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3.2049171371850051</v>
      </c>
      <c r="DH84" s="21">
        <f>EXP(-LN(2)/2)*DH83+(1-EXP(-LN(2)/2))/(LN(2)/2)*DB84*DE84*VLOOKUP('Données projet'!$B$13,Paramètres!$A$1:$I$89,3,0)*0.475*44/12</f>
        <v>1.109066791876934E-7</v>
      </c>
      <c r="DI84" s="22">
        <f t="shared" si="69"/>
        <v>3.2049172480916845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8.1746794871794854</v>
      </c>
      <c r="DO84" s="12">
        <f>IF('Données projet'!$A$166&gt;35,DO83+DN84-DW83,IF(A84&lt;'Données projet'!$A$166,$DL$205^A84,IF(A84='Données projet'!$A$166,'Données projet'!$B$166,DO83+DN84-DW83)))</f>
        <v>294.13942307692304</v>
      </c>
      <c r="DP84" s="17">
        <f>DO84*VLOOKUP('Données projet'!$B$14,Paramètres!$A$1:$I$89,3,0)*VLOOKUP('Données projet'!$B$14,Paramètres!$A$1:$I$89,5,0)</f>
        <v>284.49164999999999</v>
      </c>
      <c r="DQ84" s="13">
        <f t="shared" si="97"/>
        <v>67.915342684277192</v>
      </c>
      <c r="DR84" s="20">
        <f t="shared" si="70"/>
        <v>613.77551225844934</v>
      </c>
      <c r="DS84" s="59">
        <f t="shared" si="71"/>
        <v>907.10884559178271</v>
      </c>
      <c r="DT84" s="59">
        <f ca="1">AVERAGE(OFFSET($DS$3,0,0,'Données projet'!$E$14+1,1))-AVERAGE(OFFSET($H$3,0,0,'Données projet'!$E$14+1,1))</f>
        <v>340.4659523898373</v>
      </c>
      <c r="DU84" s="59">
        <f t="shared" si="98"/>
        <v>170.54530785680572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0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6.533974358974362</v>
      </c>
      <c r="EJ84" s="12">
        <f>IF('Données projet'!$A$192&gt;35,EJ83+EI84-ER83,IF(A84&lt;'Données projet'!$A$192,$EG$205^A84,IF(A84='Données projet'!$A$192,'Données projet'!$B$192,EJ83+EI84-ER83)))</f>
        <v>231.38525641025643</v>
      </c>
      <c r="EK84" s="17">
        <f>EJ84*VLOOKUP('Données projet'!$B$15,Paramètres!$A$1:$I$89,3,0)*VLOOKUP('Données projet'!$B$15,Paramètres!$A$1:$I$89,5,0)</f>
        <v>223.79582000000002</v>
      </c>
      <c r="EL84" s="13">
        <f t="shared" si="99"/>
        <v>54.939065273852137</v>
      </c>
      <c r="EM84" s="20">
        <f t="shared" si="73"/>
        <v>485.46325851862588</v>
      </c>
      <c r="EN84" s="59">
        <f t="shared" si="74"/>
        <v>778.79659185195919</v>
      </c>
      <c r="EO84" s="59">
        <f ca="1">AVERAGE(OFFSET($EN$3,0,0,'Données projet'!$E$15+1,1))-AVERAGE(OFFSET($H$3,0,0,'Données projet'!$E$15+1,1))</f>
        <v>262.20955982183017</v>
      </c>
      <c r="EP84" s="59">
        <f t="shared" si="100"/>
        <v>101.35842063036193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5.6843418860808015E-14</v>
      </c>
      <c r="FF84" s="17">
        <f>FE84*VLOOKUP('Données projet'!$B$16,Paramètres!$A$1:$I$89,3,0)*VLOOKUP('Données projet'!$B$16,Paramètres!$A$1:$I$89,5,0)</f>
        <v>4.5224624045658861E-14</v>
      </c>
      <c r="FG84" s="13">
        <f t="shared" si="101"/>
        <v>7.4514601661523691E-13</v>
      </c>
      <c r="FH84" s="20">
        <f t="shared" si="76"/>
        <v>1.3765621991510601E-12</v>
      </c>
      <c r="FI84" s="59">
        <f t="shared" si="77"/>
        <v>293.33333333333468</v>
      </c>
      <c r="FJ84" s="59">
        <f ca="1">AVERAGE(OFFSET($FI$3,0,0,'Données projet'!$E$16+1,1))-AVERAGE(OFFSET($H$3,0,0,'Données projet'!$E$16+1,1))</f>
        <v>199.58763537752952</v>
      </c>
      <c r="FK84" s="59">
        <f t="shared" si="102"/>
        <v>242.62852778451929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2.5004469842743817</v>
      </c>
      <c r="FS84" s="21">
        <f>EXP(-LN(2)/2)*FS83+(1-EXP(-LN(2)/2))/(LN(2)/2)*FM84*FP84*VLOOKUP('Données projet'!$B$16,Paramètres!$A$1:$I$89,3,0)*0.475*44/12</f>
        <v>2.267828856700964E-7</v>
      </c>
      <c r="FT84" s="22">
        <f t="shared" si="78"/>
        <v>2.5004472110572675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5.6843418860808015E-14</v>
      </c>
      <c r="GA84" s="17">
        <f>FZ84*VLOOKUP('Données projet'!$B$17,Paramètres!$A$1:$I$89,3,0)*VLOOKUP('Données projet'!$B$17,Paramètres!$A$1:$I$89,5,0)</f>
        <v>4.1677594708744434E-14</v>
      </c>
      <c r="GB84" s="13">
        <f t="shared" si="103"/>
        <v>6.9326303456159188E-13</v>
      </c>
      <c r="GC84" s="20">
        <f t="shared" si="79"/>
        <v>1.2800215959791691E-12</v>
      </c>
      <c r="GD84" s="59">
        <f t="shared" si="80"/>
        <v>293.33333333333462</v>
      </c>
      <c r="GE84" s="59">
        <f ca="1">AVERAGE(OFFSET($GD$3,0,0,'Données projet'!$E$17+1,1))-AVERAGE(OFFSET($H$3,0,0,'Données projet'!$E$17+1,1))</f>
        <v>178.12968684094687</v>
      </c>
      <c r="GF84" s="59">
        <f t="shared" si="104"/>
        <v>219.36004077210373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1.8695535905358951</v>
      </c>
      <c r="GN84" s="21">
        <f>EXP(-LN(2)/2)*GN83+(1-EXP(-LN(2)/2))/(LN(2)/2)*GH84*GK84*VLOOKUP('Données projet'!$B$17,Paramètres!$A$1:$I$89,3,0)*0.475*44/12</f>
        <v>2.0899599267636317E-7</v>
      </c>
      <c r="GO84" s="21">
        <f t="shared" si="81"/>
        <v>1.8695537995318878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5.6843418860808015E-14</v>
      </c>
      <c r="GV84" s="17">
        <f>GU84*VLOOKUP('Données projet'!$B$18,Paramètres!$A$1:$I$89,3,0)*VLOOKUP('Données projet'!$B$18,Paramètres!$A$1:$I$89,5,0)</f>
        <v>4.5224624045658861E-14</v>
      </c>
      <c r="GW84" s="13">
        <f t="shared" si="105"/>
        <v>7.4514601661523691E-13</v>
      </c>
      <c r="GX84" s="20">
        <f t="shared" si="82"/>
        <v>1.3765621991510601E-12</v>
      </c>
      <c r="GY84" s="59">
        <f t="shared" si="83"/>
        <v>293.33333333333468</v>
      </c>
      <c r="GZ84" s="59">
        <f ca="1">AVERAGE(OFFSET($GY$3,0,0,'Données projet'!$E$18+1,1))-AVERAGE(OFFSET($H$3,0,0,'Données projet'!$E$18+1,1))</f>
        <v>199.58763537752952</v>
      </c>
      <c r="HA84" s="59">
        <f t="shared" si="106"/>
        <v>242.62852778451929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0</v>
      </c>
      <c r="HH84" s="21">
        <f>EXP(-LN(2)/25)*HH83+(1-EXP(-LN(2)/25))/(LN(2)/25)*Calculateur!HC84*Calculateur!HE84*VLOOKUP('Données projet'!$B$18,Paramètres!$A$1:$I$89,3,0)*0.475*44/12</f>
        <v>2.5004469842743817</v>
      </c>
      <c r="HI84" s="21">
        <f>EXP(-LN(2)/2)*HI83+(1-EXP(-LN(2)/2))/(LN(2)/2)*HC84*HF84*VLOOKUP('Données projet'!$B$18,Paramètres!$A$1:$I$89,3,0)*0.475*44/12</f>
        <v>2.267828856700964E-7</v>
      </c>
      <c r="HJ84" s="22">
        <f t="shared" si="84"/>
        <v>2.5004472110572675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302.31410256410254</v>
      </c>
      <c r="L85" s="12">
        <f>VLOOKUP(A85,'Données projet'!$A$35:$I$55,9,0)</f>
        <v>8.1746794871794854</v>
      </c>
      <c r="M85" s="12">
        <f t="array" ref="M85">INDEX(L:L,MIN(IF(ISNUMBER(L85:L281),ROW(L85:L281),"")))</f>
        <v>8.1746794871794854</v>
      </c>
      <c r="N85" s="13">
        <f>IF('Données projet'!$A$36&gt;35,N84+M85-V84,IF(A85&lt;'Données projet'!$A$36,$K$205^A85,IF(A85='Données projet'!$A$36,'Données projet'!$B$36,N84+M85-V84)))</f>
        <v>302.31410256410254</v>
      </c>
      <c r="O85" s="13">
        <f>N85*VLOOKUP('Données projet'!$B$9,Paramètres!$A$1:$I$89,3,0)*VLOOKUP('Données projet'!$B$9,Paramètres!$A$1:$I$89,5,0)</f>
        <v>273.53379999999999</v>
      </c>
      <c r="P85" s="13">
        <f t="shared" si="87"/>
        <v>65.598662329861284</v>
      </c>
      <c r="Q85" s="20">
        <f t="shared" si="54"/>
        <v>590.65570522450832</v>
      </c>
      <c r="R85" s="59">
        <f t="shared" si="55"/>
        <v>883.9890385578417</v>
      </c>
      <c r="S85" s="59">
        <f ca="1">AVERAGE(OFFSET($R$3,0,0,'Données projet'!$E$9+1,1))-AVERAGE(OFFSET($H$3,0,0,'Données projet'!$E$9+1,1))</f>
        <v>309.07357540707869</v>
      </c>
      <c r="T85" s="59">
        <f t="shared" si="88"/>
        <v>155.9593924683299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40.371794871794869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6.533974358974362</v>
      </c>
      <c r="AI85" s="13">
        <f>IF('Données projet'!$A$62&gt;35,AI84+AH85-AQ84,IF(A85&lt;'Données projet'!$A$62,$AF$205^A85,IF(A85='Données projet'!$A$62,'Données projet'!$B$62,AI84+AH85-AQ84)))</f>
        <v>237.91923076923081</v>
      </c>
      <c r="AJ85" s="13">
        <f>AI85*VLOOKUP('Données projet'!$B$10,Paramètres!$A$1:$I$89,3,0)*VLOOKUP('Données projet'!$B$10,Paramètres!$A$1:$I$89,5,0)</f>
        <v>215.26932000000002</v>
      </c>
      <c r="AK85" s="13">
        <f t="shared" si="89"/>
        <v>53.085398621543455</v>
      </c>
      <c r="AL85" s="20">
        <f t="shared" si="58"/>
        <v>467.38446826585488</v>
      </c>
      <c r="AM85" s="59">
        <f t="shared" si="59"/>
        <v>760.71780159918819</v>
      </c>
      <c r="AN85" s="59">
        <f ca="1">AVERAGE(OFFSET($AM$3,0,0,'Données projet'!$E$10+1,1))-AVERAGE(OFFSET($H$3,0,0,'Données projet'!$E$10+1,1))</f>
        <v>234.30804102916278</v>
      </c>
      <c r="AO85" s="59">
        <f t="shared" si="90"/>
        <v>91.137993288782411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12.124038461538468</v>
      </c>
      <c r="BD85" s="12">
        <f>IF('Données projet'!$A$88&gt;35,BD84+BC85-BL84,IF(A85&lt;'Données projet'!$A$88,$BA$205^A85,IF(A85='Données projet'!$A$88,'Données projet'!$B$88,BD84+BC85-BL84)))</f>
        <v>395.89519230769247</v>
      </c>
      <c r="BE85" s="13">
        <f>BD85*VLOOKUP('Données projet'!$B$11,Paramètres!$A$1:$I$89,3,0)*VLOOKUP('Données projet'!$B$11,Paramètres!$A$1:$I$89,5,0)</f>
        <v>185.27895000000009</v>
      </c>
      <c r="BF85" s="13">
        <f t="shared" si="91"/>
        <v>46.494672172616063</v>
      </c>
      <c r="BG85" s="20">
        <f t="shared" si="61"/>
        <v>403.67239195063979</v>
      </c>
      <c r="BH85" s="59">
        <f t="shared" si="62"/>
        <v>697.00572528397311</v>
      </c>
      <c r="BI85" s="59">
        <f ca="1">AVERAGE(OFFSET($BH$3,0,0,'Données projet'!$E$11+1,1))-AVERAGE(OFFSET($H$3,0,0,'Données projet'!$E$11+1,1))</f>
        <v>158.58786357608489</v>
      </c>
      <c r="BJ85" s="59">
        <f t="shared" si="92"/>
        <v>163.20074068819849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9.52371794871795</v>
      </c>
      <c r="BY85" s="12">
        <f>IF('Données projet'!$A$114&gt;35,BY84+BX85-CG84,IF(A85&lt;'Données projet'!$A$114,$BV$205^A85,IF(A85='Données projet'!$A$114,'Données projet'!$B$114,BY84+BX85-CG84)))</f>
        <v>350.25961538461524</v>
      </c>
      <c r="BZ85" s="13">
        <f>BY85*VLOOKUP('Données projet'!$B$12,Paramètres!$A$1:$I$89,3,0)*VLOOKUP('Données projet'!$B$12,Paramètres!$A$1:$I$89,5,0)</f>
        <v>163.92149999999992</v>
      </c>
      <c r="CA85" s="13">
        <f t="shared" si="93"/>
        <v>41.72577033989257</v>
      </c>
      <c r="CB85" s="20">
        <f t="shared" si="64"/>
        <v>358.16899584197944</v>
      </c>
      <c r="CC85" s="59">
        <f t="shared" si="65"/>
        <v>651.50232917531275</v>
      </c>
      <c r="CD85" s="59">
        <f ca="1">AVERAGE(OFFSET($CC$3,0,0,'Données projet'!$E$12+1,1))-AVERAGE(OFFSET($H$3,0,0,'Données projet'!$E$12+1,1))</f>
        <v>123.2823358462245</v>
      </c>
      <c r="CE85" s="59">
        <f t="shared" si="94"/>
        <v>92.75115399786057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-2.8421709430404007E-13</v>
      </c>
      <c r="CU85" s="17">
        <f>CT85*VLOOKUP('Données projet'!$B$13,Paramètres!$A$1:$I$89,3,0)*VLOOKUP('Données projet'!$B$13,Paramètres!$A$1:$I$89,5,0)</f>
        <v>-1.69961822393816E-13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179.32848817523677</v>
      </c>
      <c r="CZ85" s="59">
        <f t="shared" si="96"/>
        <v>131.3292389103035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3.117278509529414</v>
      </c>
      <c r="DH85" s="21">
        <f>EXP(-LN(2)/2)*DH84+(1-EXP(-LN(2)/2))/(LN(2)/2)*DB85*DE85*VLOOKUP('Données projet'!$B$13,Paramètres!$A$1:$I$89,3,0)*0.475*44/12</f>
        <v>7.8422864932498939E-8</v>
      </c>
      <c r="DI85" s="22">
        <f t="shared" si="69"/>
        <v>3.1172785879522791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>
        <f>VLOOKUP(A85,'Données projet'!$A$165:$I$185,2,0)</f>
        <v>302.31410256410254</v>
      </c>
      <c r="DM85" s="12">
        <f>VLOOKUP(A85,'Données projet'!$A$165:$I$185,9,0)</f>
        <v>8.1746794871794854</v>
      </c>
      <c r="DN85" s="12">
        <f t="array" ref="DN85">INDEX(DM:DM,MIN(IF(ISNUMBER(DM85:DM281),ROW(DM85:DM281),"")))</f>
        <v>8.1746794871794854</v>
      </c>
      <c r="DO85" s="12">
        <f>IF('Données projet'!$A$166&gt;35,DO84+DN85-DW84,IF(A85&lt;'Données projet'!$A$166,$DL$205^A85,IF(A85='Données projet'!$A$166,'Données projet'!$B$166,DO84+DN85-DW84)))</f>
        <v>302.31410256410254</v>
      </c>
      <c r="DP85" s="17">
        <f>DO85*VLOOKUP('Données projet'!$B$14,Paramètres!$A$1:$I$89,3,0)*VLOOKUP('Données projet'!$B$14,Paramètres!$A$1:$I$89,5,0)</f>
        <v>292.39819999999997</v>
      </c>
      <c r="DQ85" s="13">
        <f t="shared" si="97"/>
        <v>69.580461540440993</v>
      </c>
      <c r="DR85" s="20">
        <f t="shared" si="70"/>
        <v>630.44616884960124</v>
      </c>
      <c r="DS85" s="59">
        <f t="shared" si="71"/>
        <v>923.77950218293449</v>
      </c>
      <c r="DT85" s="59">
        <f ca="1">AVERAGE(OFFSET($DS$3,0,0,'Données projet'!$E$14+1,1))-AVERAGE(OFFSET($H$3,0,0,'Données projet'!$E$14+1,1))</f>
        <v>340.4659523898373</v>
      </c>
      <c r="DU85" s="59">
        <f t="shared" si="98"/>
        <v>170.54530785680572</v>
      </c>
      <c r="DV85" s="15">
        <f>IF(ISNA(VLOOKUP(A85,'Données projet'!$A$165:$I$185,3,0)),0,VLOOKUP(A85,'Données projet'!$A$165:$I$185,3,0))</f>
        <v>7</v>
      </c>
      <c r="DW85" s="15">
        <f>IF(ISNA(VLOOKUP(A85,'Données projet'!$A$165:$I$185,4,0)),0,VLOOKUP(A85,'Données projet'!$A$165:$I$185,4,0))</f>
        <v>40.371794871794869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0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6.533974358974362</v>
      </c>
      <c r="EJ85" s="12">
        <f>IF('Données projet'!$A$192&gt;35,EJ84+EI85-ER84,IF(A85&lt;'Données projet'!$A$192,$EG$205^A85,IF(A85='Données projet'!$A$192,'Données projet'!$B$192,EJ84+EI85-ER84)))</f>
        <v>237.91923076923081</v>
      </c>
      <c r="EK85" s="17">
        <f>EJ85*VLOOKUP('Données projet'!$B$15,Paramètres!$A$1:$I$89,3,0)*VLOOKUP('Données projet'!$B$15,Paramètres!$A$1:$I$89,5,0)</f>
        <v>230.11548000000002</v>
      </c>
      <c r="EL85" s="13">
        <f t="shared" si="99"/>
        <v>56.307650277555616</v>
      </c>
      <c r="EM85" s="20">
        <f t="shared" si="73"/>
        <v>498.85361856674268</v>
      </c>
      <c r="EN85" s="59">
        <f t="shared" si="74"/>
        <v>792.186951900076</v>
      </c>
      <c r="EO85" s="59">
        <f ca="1">AVERAGE(OFFSET($EN$3,0,0,'Données projet'!$E$15+1,1))-AVERAGE(OFFSET($H$3,0,0,'Données projet'!$E$15+1,1))</f>
        <v>262.20955982183017</v>
      </c>
      <c r="EP85" s="59">
        <f t="shared" si="100"/>
        <v>101.35842063036193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5.6843418860808015E-14</v>
      </c>
      <c r="FF85" s="17">
        <f>FE85*VLOOKUP('Données projet'!$B$16,Paramètres!$A$1:$I$89,3,0)*VLOOKUP('Données projet'!$B$16,Paramètres!$A$1:$I$89,5,0)</f>
        <v>4.5224624045658861E-14</v>
      </c>
      <c r="FG85" s="13">
        <f t="shared" si="101"/>
        <v>7.4514601661523691E-13</v>
      </c>
      <c r="FH85" s="20">
        <f t="shared" si="76"/>
        <v>1.3765621991510601E-12</v>
      </c>
      <c r="FI85" s="59">
        <f t="shared" si="77"/>
        <v>293.33333333333468</v>
      </c>
      <c r="FJ85" s="59">
        <f ca="1">AVERAGE(OFFSET($FI$3,0,0,'Données projet'!$E$16+1,1))-AVERAGE(OFFSET($H$3,0,0,'Données projet'!$E$16+1,1))</f>
        <v>199.58763537752952</v>
      </c>
      <c r="FK85" s="59">
        <f t="shared" si="102"/>
        <v>242.62852778451929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2.4320721299966066</v>
      </c>
      <c r="FS85" s="21">
        <f>EXP(-LN(2)/2)*FS84+(1-EXP(-LN(2)/2))/(LN(2)/2)*FM85*FP85*VLOOKUP('Données projet'!$B$16,Paramètres!$A$1:$I$89,3,0)*0.475*44/12</f>
        <v>1.6035971631437868E-7</v>
      </c>
      <c r="FT85" s="22">
        <f t="shared" si="78"/>
        <v>2.4320722903563228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5.6843418860808015E-14</v>
      </c>
      <c r="GA85" s="17">
        <f>FZ85*VLOOKUP('Données projet'!$B$17,Paramètres!$A$1:$I$89,3,0)*VLOOKUP('Données projet'!$B$17,Paramètres!$A$1:$I$89,5,0)</f>
        <v>4.1677594708744434E-14</v>
      </c>
      <c r="GB85" s="13">
        <f t="shared" si="103"/>
        <v>6.9326303456159188E-13</v>
      </c>
      <c r="GC85" s="20">
        <f t="shared" si="79"/>
        <v>1.2800215959791691E-12</v>
      </c>
      <c r="GD85" s="59">
        <f t="shared" si="80"/>
        <v>293.33333333333462</v>
      </c>
      <c r="GE85" s="59">
        <f ca="1">AVERAGE(OFFSET($GD$3,0,0,'Données projet'!$E$17+1,1))-AVERAGE(OFFSET($H$3,0,0,'Données projet'!$E$17+1,1))</f>
        <v>178.12968684094687</v>
      </c>
      <c r="GF85" s="59">
        <f t="shared" si="104"/>
        <v>219.36004077210373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1.8184305492871407</v>
      </c>
      <c r="GN85" s="21">
        <f>EXP(-LN(2)/2)*GN84+(1-EXP(-LN(2)/2))/(LN(2)/2)*GH85*GK85*VLOOKUP('Données projet'!$B$17,Paramètres!$A$1:$I$89,3,0)*0.475*44/12</f>
        <v>1.4778248366227042E-7</v>
      </c>
      <c r="GO85" s="21">
        <f t="shared" si="81"/>
        <v>1.8184306970696242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5.6843418860808015E-14</v>
      </c>
      <c r="GV85" s="17">
        <f>GU85*VLOOKUP('Données projet'!$B$18,Paramètres!$A$1:$I$89,3,0)*VLOOKUP('Données projet'!$B$18,Paramètres!$A$1:$I$89,5,0)</f>
        <v>4.5224624045658861E-14</v>
      </c>
      <c r="GW85" s="13">
        <f t="shared" si="105"/>
        <v>7.4514601661523691E-13</v>
      </c>
      <c r="GX85" s="20">
        <f t="shared" si="82"/>
        <v>1.3765621991510601E-12</v>
      </c>
      <c r="GY85" s="59">
        <f t="shared" si="83"/>
        <v>293.33333333333468</v>
      </c>
      <c r="GZ85" s="59">
        <f ca="1">AVERAGE(OFFSET($GY$3,0,0,'Données projet'!$E$18+1,1))-AVERAGE(OFFSET($H$3,0,0,'Données projet'!$E$18+1,1))</f>
        <v>199.58763537752952</v>
      </c>
      <c r="HA85" s="59">
        <f t="shared" si="106"/>
        <v>242.62852778451929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0</v>
      </c>
      <c r="HH85" s="21">
        <f>EXP(-LN(2)/25)*HH84+(1-EXP(-LN(2)/25))/(LN(2)/25)*Calculateur!HC85*Calculateur!HE85*VLOOKUP('Données projet'!$B$18,Paramètres!$A$1:$I$89,3,0)*0.475*44/12</f>
        <v>2.4320721299966066</v>
      </c>
      <c r="HI85" s="21">
        <f>EXP(-LN(2)/2)*HI84+(1-EXP(-LN(2)/2))/(LN(2)/2)*HC85*HF85*VLOOKUP('Données projet'!$B$18,Paramètres!$A$1:$I$89,3,0)*0.475*44/12</f>
        <v>1.6035971631437868E-7</v>
      </c>
      <c r="HJ85" s="22">
        <f t="shared" si="84"/>
        <v>2.4320722903563228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7.8677884615384599</v>
      </c>
      <c r="N86" s="13">
        <f>IF('Données projet'!$A$36&gt;35,N85+M86-V85,IF(A86&lt;'Données projet'!$A$36,$K$205^A86,IF(A86='Données projet'!$A$36,'Données projet'!$B$36,N85+M86-V85)))</f>
        <v>269.81009615384613</v>
      </c>
      <c r="O86" s="13">
        <f>N86*VLOOKUP('Données projet'!$B$9,Paramètres!$A$1:$I$89,3,0)*VLOOKUP('Données projet'!$B$9,Paramètres!$A$1:$I$89,5,0)</f>
        <v>244.12417499999998</v>
      </c>
      <c r="P86" s="13">
        <f t="shared" si="87"/>
        <v>59.325985011718309</v>
      </c>
      <c r="Q86" s="20">
        <f t="shared" si="54"/>
        <v>528.50902868707601</v>
      </c>
      <c r="R86" s="59">
        <f t="shared" si="55"/>
        <v>821.84236202040938</v>
      </c>
      <c r="S86" s="59">
        <f ca="1">AVERAGE(OFFSET($R$3,0,0,'Données projet'!$E$9+1,1))-AVERAGE(OFFSET($H$3,0,0,'Données projet'!$E$9+1,1))</f>
        <v>309.07357540707869</v>
      </c>
      <c r="T86" s="59">
        <f t="shared" si="88"/>
        <v>155.9593924683299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6.533974358974362</v>
      </c>
      <c r="AI86" s="13">
        <f>IF('Données projet'!$A$62&gt;35,AI85+AH86-AQ85,IF(A86&lt;'Données projet'!$A$62,$AF$205^A86,IF(A86='Données projet'!$A$62,'Données projet'!$B$62,AI85+AH86-AQ85)))</f>
        <v>244.45320512820518</v>
      </c>
      <c r="AJ86" s="13">
        <f>AI86*VLOOKUP('Données projet'!$B$10,Paramètres!$A$1:$I$89,3,0)*VLOOKUP('Données projet'!$B$10,Paramètres!$A$1:$I$89,5,0)</f>
        <v>221.18126000000004</v>
      </c>
      <c r="AK86" s="13">
        <f t="shared" si="89"/>
        <v>54.371546674285838</v>
      </c>
      <c r="AL86" s="20">
        <f t="shared" si="58"/>
        <v>479.92113829104784</v>
      </c>
      <c r="AM86" s="59">
        <f t="shared" si="59"/>
        <v>773.25447162438115</v>
      </c>
      <c r="AN86" s="59">
        <f ca="1">AVERAGE(OFFSET($AM$3,0,0,'Données projet'!$E$10+1,1))-AVERAGE(OFFSET($H$3,0,0,'Données projet'!$E$10+1,1))</f>
        <v>234.30804102916278</v>
      </c>
      <c r="AO86" s="59">
        <f t="shared" si="90"/>
        <v>91.137993288782411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12.124038461538468</v>
      </c>
      <c r="BD86" s="12">
        <f>IF('Données projet'!$A$88&gt;35,BD85+BC86-BL85,IF(A86&lt;'Données projet'!$A$88,$BA$205^A86,IF(A86='Données projet'!$A$88,'Données projet'!$B$88,BD85+BC86-BL85)))</f>
        <v>408.01923076923094</v>
      </c>
      <c r="BE86" s="13">
        <f>BD86*VLOOKUP('Données projet'!$B$11,Paramètres!$A$1:$I$89,3,0)*VLOOKUP('Données projet'!$B$11,Paramètres!$A$1:$I$89,5,0)</f>
        <v>190.95300000000006</v>
      </c>
      <c r="BF86" s="13">
        <f t="shared" si="91"/>
        <v>47.750586229034354</v>
      </c>
      <c r="BG86" s="20">
        <f t="shared" si="61"/>
        <v>415.7420793489016</v>
      </c>
      <c r="BH86" s="59">
        <f t="shared" si="62"/>
        <v>709.07541268223486</v>
      </c>
      <c r="BI86" s="59">
        <f ca="1">AVERAGE(OFFSET($BH$3,0,0,'Données projet'!$E$11+1,1))-AVERAGE(OFFSET($H$3,0,0,'Données projet'!$E$11+1,1))</f>
        <v>158.58786357608489</v>
      </c>
      <c r="BJ86" s="59">
        <f t="shared" si="92"/>
        <v>163.20074068819849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9.52371794871795</v>
      </c>
      <c r="BY86" s="12">
        <f>IF('Données projet'!$A$114&gt;35,BY85+BX86-CG85,IF(A86&lt;'Données projet'!$A$114,$BV$205^A86,IF(A86='Données projet'!$A$114,'Données projet'!$B$114,BY85+BX86-CG85)))</f>
        <v>359.78333333333319</v>
      </c>
      <c r="BZ86" s="13">
        <f>BY86*VLOOKUP('Données projet'!$B$12,Paramètres!$A$1:$I$89,3,0)*VLOOKUP('Données projet'!$B$12,Paramètres!$A$1:$I$89,5,0)</f>
        <v>168.37859999999992</v>
      </c>
      <c r="CA86" s="13">
        <f t="shared" si="93"/>
        <v>42.726681627572866</v>
      </c>
      <c r="CB86" s="20">
        <f t="shared" si="64"/>
        <v>367.6750321680226</v>
      </c>
      <c r="CC86" s="59">
        <f t="shared" si="65"/>
        <v>661.00836550135591</v>
      </c>
      <c r="CD86" s="59">
        <f ca="1">AVERAGE(OFFSET($CC$3,0,0,'Données projet'!$E$12+1,1))-AVERAGE(OFFSET($H$3,0,0,'Données projet'!$E$12+1,1))</f>
        <v>123.2823358462245</v>
      </c>
      <c r="CE86" s="59">
        <f t="shared" si="94"/>
        <v>92.75115399786057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-2.8421709430404007E-13</v>
      </c>
      <c r="CU86" s="17">
        <f>CT86*VLOOKUP('Données projet'!$B$13,Paramètres!$A$1:$I$89,3,0)*VLOOKUP('Données projet'!$B$13,Paramètres!$A$1:$I$89,5,0)</f>
        <v>-1.69961822393816E-13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179.32848817523677</v>
      </c>
      <c r="CZ86" s="59">
        <f t="shared" si="96"/>
        <v>131.3292389103035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3.03203636475578</v>
      </c>
      <c r="DH86" s="21">
        <f>EXP(-LN(2)/2)*DH85+(1-EXP(-LN(2)/2))/(LN(2)/2)*DB86*DE86*VLOOKUP('Données projet'!$B$13,Paramètres!$A$1:$I$89,3,0)*0.475*44/12</f>
        <v>5.5453339593846699E-8</v>
      </c>
      <c r="DI86" s="22">
        <f t="shared" si="69"/>
        <v>3.0320364202091197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7.8677884615384599</v>
      </c>
      <c r="DO86" s="12">
        <f>IF('Données projet'!$A$166&gt;35,DO85+DN86-DW85,IF(A86&lt;'Données projet'!$A$166,$DL$205^A86,IF(A86='Données projet'!$A$166,'Données projet'!$B$166,DO85+DN86-DW85)))</f>
        <v>269.81009615384613</v>
      </c>
      <c r="DP86" s="17">
        <f>DO86*VLOOKUP('Données projet'!$B$14,Paramètres!$A$1:$I$89,3,0)*VLOOKUP('Données projet'!$B$14,Paramètres!$A$1:$I$89,5,0)</f>
        <v>260.96032499999995</v>
      </c>
      <c r="DQ86" s="13">
        <f t="shared" si="97"/>
        <v>62.927036495034905</v>
      </c>
      <c r="DR86" s="20">
        <f t="shared" si="70"/>
        <v>564.10382127051901</v>
      </c>
      <c r="DS86" s="59">
        <f t="shared" si="71"/>
        <v>857.43715460385238</v>
      </c>
      <c r="DT86" s="59">
        <f ca="1">AVERAGE(OFFSET($DS$3,0,0,'Données projet'!$E$14+1,1))-AVERAGE(OFFSET($H$3,0,0,'Données projet'!$E$14+1,1))</f>
        <v>340.4659523898373</v>
      </c>
      <c r="DU86" s="59">
        <f t="shared" si="98"/>
        <v>170.54530785680572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0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6.533974358974362</v>
      </c>
      <c r="EJ86" s="12">
        <f>IF('Données projet'!$A$192&gt;35,EJ85+EI86-ER85,IF(A86&lt;'Données projet'!$A$192,$EG$205^A86,IF(A86='Données projet'!$A$192,'Données projet'!$B$192,EJ85+EI86-ER85)))</f>
        <v>244.45320512820518</v>
      </c>
      <c r="EK86" s="17">
        <f>EJ86*VLOOKUP('Données projet'!$B$15,Paramètres!$A$1:$I$89,3,0)*VLOOKUP('Données projet'!$B$15,Paramètres!$A$1:$I$89,5,0)</f>
        <v>236.43514000000005</v>
      </c>
      <c r="EL86" s="13">
        <f t="shared" si="99"/>
        <v>57.671866740829707</v>
      </c>
      <c r="EM86" s="20">
        <f t="shared" si="73"/>
        <v>512.23637007361174</v>
      </c>
      <c r="EN86" s="59">
        <f t="shared" si="74"/>
        <v>805.56970340694511</v>
      </c>
      <c r="EO86" s="59">
        <f ca="1">AVERAGE(OFFSET($EN$3,0,0,'Données projet'!$E$15+1,1))-AVERAGE(OFFSET($H$3,0,0,'Données projet'!$E$15+1,1))</f>
        <v>262.20955982183017</v>
      </c>
      <c r="EP86" s="59">
        <f t="shared" si="100"/>
        <v>101.35842063036193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5.6843418860808015E-14</v>
      </c>
      <c r="FF86" s="17">
        <f>FE86*VLOOKUP('Données projet'!$B$16,Paramètres!$A$1:$I$89,3,0)*VLOOKUP('Données projet'!$B$16,Paramètres!$A$1:$I$89,5,0)</f>
        <v>4.5224624045658861E-14</v>
      </c>
      <c r="FG86" s="13">
        <f t="shared" si="101"/>
        <v>7.4514601661523691E-13</v>
      </c>
      <c r="FH86" s="20">
        <f t="shared" si="76"/>
        <v>1.3765621991510601E-12</v>
      </c>
      <c r="FI86" s="59">
        <f t="shared" si="77"/>
        <v>293.33333333333468</v>
      </c>
      <c r="FJ86" s="59">
        <f ca="1">AVERAGE(OFFSET($FI$3,0,0,'Données projet'!$E$16+1,1))-AVERAGE(OFFSET($H$3,0,0,'Données projet'!$E$16+1,1))</f>
        <v>199.58763537752952</v>
      </c>
      <c r="FK86" s="59">
        <f t="shared" si="102"/>
        <v>242.62852778451929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2.3655669897047344</v>
      </c>
      <c r="FS86" s="21">
        <f>EXP(-LN(2)/2)*FS85+(1-EXP(-LN(2)/2))/(LN(2)/2)*FM86*FP86*VLOOKUP('Données projet'!$B$16,Paramètres!$A$1:$I$89,3,0)*0.475*44/12</f>
        <v>1.133914428350482E-7</v>
      </c>
      <c r="FT86" s="22">
        <f t="shared" si="78"/>
        <v>2.3655671030961773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5.6843418860808015E-14</v>
      </c>
      <c r="GA86" s="17">
        <f>FZ86*VLOOKUP('Données projet'!$B$17,Paramètres!$A$1:$I$89,3,0)*VLOOKUP('Données projet'!$B$17,Paramètres!$A$1:$I$89,5,0)</f>
        <v>4.1677594708744434E-14</v>
      </c>
      <c r="GB86" s="13">
        <f t="shared" si="103"/>
        <v>6.9326303456159188E-13</v>
      </c>
      <c r="GC86" s="20">
        <f t="shared" si="79"/>
        <v>1.2800215959791691E-12</v>
      </c>
      <c r="GD86" s="59">
        <f t="shared" si="80"/>
        <v>293.33333333333462</v>
      </c>
      <c r="GE86" s="59">
        <f ca="1">AVERAGE(OFFSET($GD$3,0,0,'Données projet'!$E$17+1,1))-AVERAGE(OFFSET($H$3,0,0,'Données projet'!$E$17+1,1))</f>
        <v>178.12968684094687</v>
      </c>
      <c r="GF86" s="59">
        <f t="shared" si="104"/>
        <v>219.36004077210373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1.7687054702897773</v>
      </c>
      <c r="GN86" s="21">
        <f>EXP(-LN(2)/2)*GN85+(1-EXP(-LN(2)/2))/(LN(2)/2)*GH86*GK86*VLOOKUP('Données projet'!$B$17,Paramètres!$A$1:$I$89,3,0)*0.475*44/12</f>
        <v>1.0449799633818158E-7</v>
      </c>
      <c r="GO86" s="21">
        <f t="shared" si="81"/>
        <v>1.7687055747877736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5.6843418860808015E-14</v>
      </c>
      <c r="GV86" s="17">
        <f>GU86*VLOOKUP('Données projet'!$B$18,Paramètres!$A$1:$I$89,3,0)*VLOOKUP('Données projet'!$B$18,Paramètres!$A$1:$I$89,5,0)</f>
        <v>4.5224624045658861E-14</v>
      </c>
      <c r="GW86" s="13">
        <f t="shared" si="105"/>
        <v>7.4514601661523691E-13</v>
      </c>
      <c r="GX86" s="20">
        <f t="shared" si="82"/>
        <v>1.3765621991510601E-12</v>
      </c>
      <c r="GY86" s="59">
        <f t="shared" si="83"/>
        <v>293.33333333333468</v>
      </c>
      <c r="GZ86" s="59">
        <f ca="1">AVERAGE(OFFSET($GY$3,0,0,'Données projet'!$E$18+1,1))-AVERAGE(OFFSET($H$3,0,0,'Données projet'!$E$18+1,1))</f>
        <v>199.58763537752952</v>
      </c>
      <c r="HA86" s="59">
        <f t="shared" si="106"/>
        <v>242.62852778451929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0</v>
      </c>
      <c r="HH86" s="21">
        <f>EXP(-LN(2)/25)*HH85+(1-EXP(-LN(2)/25))/(LN(2)/25)*Calculateur!HC86*Calculateur!HE86*VLOOKUP('Données projet'!$B$18,Paramètres!$A$1:$I$89,3,0)*0.475*44/12</f>
        <v>2.3655669897047344</v>
      </c>
      <c r="HI86" s="21">
        <f>EXP(-LN(2)/2)*HI85+(1-EXP(-LN(2)/2))/(LN(2)/2)*HC86*HF86*VLOOKUP('Données projet'!$B$18,Paramètres!$A$1:$I$89,3,0)*0.475*44/12</f>
        <v>1.133914428350482E-7</v>
      </c>
      <c r="HJ86" s="22">
        <f t="shared" si="84"/>
        <v>2.3655671030961773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7.8677884615384599</v>
      </c>
      <c r="N87" s="13">
        <f>IF('Données projet'!$A$36&gt;35,N86+M87-V86,IF(A87&lt;'Données projet'!$A$36,$K$205^A87,IF(A87='Données projet'!$A$36,'Données projet'!$B$36,N86+M87-V86)))</f>
        <v>277.67788461538458</v>
      </c>
      <c r="O87" s="13">
        <f>N87*VLOOKUP('Données projet'!$B$9,Paramètres!$A$1:$I$89,3,0)*VLOOKUP('Données projet'!$B$9,Paramètres!$A$1:$I$89,5,0)</f>
        <v>251.24294999999998</v>
      </c>
      <c r="P87" s="13">
        <f t="shared" si="87"/>
        <v>60.852023014307242</v>
      </c>
      <c r="Q87" s="20">
        <f t="shared" si="54"/>
        <v>543.56541133325175</v>
      </c>
      <c r="R87" s="59">
        <f t="shared" si="55"/>
        <v>836.89874466658512</v>
      </c>
      <c r="S87" s="59">
        <f ca="1">AVERAGE(OFFSET($R$3,0,0,'Données projet'!$E$9+1,1))-AVERAGE(OFFSET($H$3,0,0,'Données projet'!$E$9+1,1))</f>
        <v>309.07357540707869</v>
      </c>
      <c r="T87" s="59">
        <f t="shared" si="88"/>
        <v>155.9593924683299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250.9871794871795</v>
      </c>
      <c r="AG87" s="12">
        <f>VLOOKUP(A87,'Données projet'!$A$61:$I$81,9,0)</f>
        <v>6.533974358974362</v>
      </c>
      <c r="AH87" s="12">
        <f t="array" ref="AH87">INDEX(AG:AG,MIN(IF(ISNUMBER(AG87:AG283),ROW(AG87:AG283),"")))</f>
        <v>6.533974358974362</v>
      </c>
      <c r="AI87" s="13">
        <f>IF('Données projet'!$A$62&gt;35,AI86+AH87-AQ86,IF(A87&lt;'Données projet'!$A$62,$AF$205^A87,IF(A87='Données projet'!$A$62,'Données projet'!$B$62,AI86+AH87-AQ86)))</f>
        <v>250.98717948717956</v>
      </c>
      <c r="AJ87" s="13">
        <f>AI87*VLOOKUP('Données projet'!$B$10,Paramètres!$A$1:$I$89,3,0)*VLOOKUP('Données projet'!$B$10,Paramètres!$A$1:$I$89,5,0)</f>
        <v>227.09320000000008</v>
      </c>
      <c r="AK87" s="13">
        <f t="shared" si="89"/>
        <v>55.653698916736445</v>
      </c>
      <c r="AL87" s="20">
        <f t="shared" si="58"/>
        <v>492.4508489466495</v>
      </c>
      <c r="AM87" s="59">
        <f t="shared" si="59"/>
        <v>785.78418227998282</v>
      </c>
      <c r="AN87" s="59">
        <f ca="1">AVERAGE(OFFSET($AM$3,0,0,'Données projet'!$E$10+1,1))-AVERAGE(OFFSET($H$3,0,0,'Données projet'!$E$10+1,1))</f>
        <v>234.30804102916278</v>
      </c>
      <c r="AO87" s="59">
        <f t="shared" si="90"/>
        <v>91.137993288782411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47.256410256410255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12.124038461538468</v>
      </c>
      <c r="BD87" s="12">
        <f>IF('Données projet'!$A$88&gt;35,BD86+BC87-BL86,IF(A87&lt;'Données projet'!$A$88,$BA$205^A87,IF(A87='Données projet'!$A$88,'Données projet'!$B$88,BD86+BC87-BL86)))</f>
        <v>420.14326923076942</v>
      </c>
      <c r="BE87" s="13">
        <f>BD87*VLOOKUP('Données projet'!$B$11,Paramètres!$A$1:$I$89,3,0)*VLOOKUP('Données projet'!$B$11,Paramètres!$A$1:$I$89,5,0)</f>
        <v>196.62705000000008</v>
      </c>
      <c r="BF87" s="13">
        <f t="shared" si="91"/>
        <v>49.002163217129386</v>
      </c>
      <c r="BG87" s="20">
        <f t="shared" si="61"/>
        <v>427.80421301983375</v>
      </c>
      <c r="BH87" s="59">
        <f t="shared" si="62"/>
        <v>721.13754635316707</v>
      </c>
      <c r="BI87" s="59">
        <f ca="1">AVERAGE(OFFSET($BH$3,0,0,'Données projet'!$E$11+1,1))-AVERAGE(OFFSET($H$3,0,0,'Données projet'!$E$11+1,1))</f>
        <v>158.58786357608489</v>
      </c>
      <c r="BJ87" s="59">
        <f t="shared" si="92"/>
        <v>163.20074068819849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9.52371794871795</v>
      </c>
      <c r="BY87" s="12">
        <f>IF('Données projet'!$A$114&gt;35,BY86+BX87-CG86,IF(A87&lt;'Données projet'!$A$114,$BV$205^A87,IF(A87='Données projet'!$A$114,'Données projet'!$B$114,BY86+BX87-CG86)))</f>
        <v>369.30705128205113</v>
      </c>
      <c r="BZ87" s="13">
        <f>BY87*VLOOKUP('Données projet'!$B$12,Paramètres!$A$1:$I$89,3,0)*VLOOKUP('Données projet'!$B$12,Paramètres!$A$1:$I$89,5,0)</f>
        <v>172.83569999999992</v>
      </c>
      <c r="CA87" s="13">
        <f t="shared" si="93"/>
        <v>43.72451328376944</v>
      </c>
      <c r="CB87" s="20">
        <f t="shared" si="64"/>
        <v>377.17570480256501</v>
      </c>
      <c r="CC87" s="59">
        <f t="shared" si="65"/>
        <v>670.50903813589832</v>
      </c>
      <c r="CD87" s="59">
        <f ca="1">AVERAGE(OFFSET($CC$3,0,0,'Données projet'!$E$12+1,1))-AVERAGE(OFFSET($H$3,0,0,'Données projet'!$E$12+1,1))</f>
        <v>123.2823358462245</v>
      </c>
      <c r="CE87" s="59">
        <f t="shared" si="94"/>
        <v>92.75115399786057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-2.8421709430404007E-13</v>
      </c>
      <c r="CU87" s="17">
        <f>CT87*VLOOKUP('Données projet'!$B$13,Paramètres!$A$1:$I$89,3,0)*VLOOKUP('Données projet'!$B$13,Paramètres!$A$1:$I$89,5,0)</f>
        <v>-1.69961822393816E-13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179.32848817523677</v>
      </c>
      <c r="CZ87" s="59">
        <f t="shared" si="96"/>
        <v>131.3292389103035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2.9491251709136708</v>
      </c>
      <c r="DH87" s="21">
        <f>EXP(-LN(2)/2)*DH86+(1-EXP(-LN(2)/2))/(LN(2)/2)*DB87*DE87*VLOOKUP('Données projet'!$B$13,Paramètres!$A$1:$I$89,3,0)*0.475*44/12</f>
        <v>3.9211432466249469E-8</v>
      </c>
      <c r="DI87" s="22">
        <f t="shared" si="69"/>
        <v>2.9491252101251031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7.8677884615384599</v>
      </c>
      <c r="DO87" s="12">
        <f>IF('Données projet'!$A$166&gt;35,DO86+DN87-DW86,IF(A87&lt;'Données projet'!$A$166,$DL$205^A87,IF(A87='Données projet'!$A$166,'Données projet'!$B$166,DO86+DN87-DW86)))</f>
        <v>277.67788461538458</v>
      </c>
      <c r="DP87" s="17">
        <f>DO87*VLOOKUP('Données projet'!$B$14,Paramètres!$A$1:$I$89,3,0)*VLOOKUP('Données projet'!$B$14,Paramètres!$A$1:$I$89,5,0)</f>
        <v>268.57004999999998</v>
      </c>
      <c r="DQ87" s="13">
        <f t="shared" si="97"/>
        <v>64.545704083322832</v>
      </c>
      <c r="DR87" s="20">
        <f t="shared" si="70"/>
        <v>580.17660502845399</v>
      </c>
      <c r="DS87" s="59">
        <f t="shared" si="71"/>
        <v>873.50993836178736</v>
      </c>
      <c r="DT87" s="59">
        <f ca="1">AVERAGE(OFFSET($DS$3,0,0,'Données projet'!$E$14+1,1))-AVERAGE(OFFSET($H$3,0,0,'Données projet'!$E$14+1,1))</f>
        <v>340.4659523898373</v>
      </c>
      <c r="DU87" s="59">
        <f t="shared" si="98"/>
        <v>170.54530785680572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0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250.9871794871795</v>
      </c>
      <c r="EH87" s="12">
        <f>VLOOKUP(A87,'Données projet'!$A$191:$I$211,9,0)</f>
        <v>6.533974358974362</v>
      </c>
      <c r="EI87" s="12">
        <f t="array" ref="EI87">INDEX(EH:EH,MIN(IF(ISNUMBER(EH87:EH283),ROW(EH87:EH283),"")))</f>
        <v>6.533974358974362</v>
      </c>
      <c r="EJ87" s="12">
        <f>IF('Données projet'!$A$192&gt;35,EJ86+EI87-ER86,IF(A87&lt;'Données projet'!$A$192,$EG$205^A87,IF(A87='Données projet'!$A$192,'Données projet'!$B$192,EJ86+EI87-ER86)))</f>
        <v>250.98717948717956</v>
      </c>
      <c r="EK87" s="17">
        <f>EJ87*VLOOKUP('Données projet'!$B$15,Paramètres!$A$1:$I$89,3,0)*VLOOKUP('Données projet'!$B$15,Paramètres!$A$1:$I$89,5,0)</f>
        <v>242.7548000000001</v>
      </c>
      <c r="EL87" s="13">
        <f t="shared" si="99"/>
        <v>59.031844850539024</v>
      </c>
      <c r="EM87" s="20">
        <f t="shared" si="73"/>
        <v>525.6117397813556</v>
      </c>
      <c r="EN87" s="59">
        <f t="shared" si="74"/>
        <v>818.94507311468897</v>
      </c>
      <c r="EO87" s="59">
        <f ca="1">AVERAGE(OFFSET($EN$3,0,0,'Données projet'!$E$15+1,1))-AVERAGE(OFFSET($H$3,0,0,'Données projet'!$E$15+1,1))</f>
        <v>262.20955982183017</v>
      </c>
      <c r="EP87" s="59">
        <f t="shared" si="100"/>
        <v>101.35842063036193</v>
      </c>
      <c r="EQ87" s="15">
        <f>IF(ISNA(VLOOKUP(A87,'Données projet'!$A$191:$I$211,3,0)),0,VLOOKUP(A87,'Données projet'!$A$191:$I$211,3,0))</f>
        <v>6</v>
      </c>
      <c r="ER87" s="15">
        <f>IF(ISNA(VLOOKUP(A87,'Données projet'!$A$191:$I$211,4,0)),0,VLOOKUP(A87,'Données projet'!$A$191:$I$211,4,0))</f>
        <v>47.256410256410255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5.6843418860808015E-14</v>
      </c>
      <c r="FF87" s="17">
        <f>FE87*VLOOKUP('Données projet'!$B$16,Paramètres!$A$1:$I$89,3,0)*VLOOKUP('Données projet'!$B$16,Paramètres!$A$1:$I$89,5,0)</f>
        <v>4.5224624045658861E-14</v>
      </c>
      <c r="FG87" s="13">
        <f t="shared" si="101"/>
        <v>7.4514601661523691E-13</v>
      </c>
      <c r="FH87" s="20">
        <f t="shared" si="76"/>
        <v>1.3765621991510601E-12</v>
      </c>
      <c r="FI87" s="59">
        <f t="shared" si="77"/>
        <v>293.33333333333468</v>
      </c>
      <c r="FJ87" s="59">
        <f ca="1">AVERAGE(OFFSET($FI$3,0,0,'Données projet'!$E$16+1,1))-AVERAGE(OFFSET($H$3,0,0,'Données projet'!$E$16+1,1))</f>
        <v>199.58763537752952</v>
      </c>
      <c r="FK87" s="59">
        <f t="shared" si="102"/>
        <v>242.62852778451929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2.3008804359714969</v>
      </c>
      <c r="FS87" s="21">
        <f>EXP(-LN(2)/2)*FS86+(1-EXP(-LN(2)/2))/(LN(2)/2)*FM87*FP87*VLOOKUP('Données projet'!$B$16,Paramètres!$A$1:$I$89,3,0)*0.475*44/12</f>
        <v>8.0179858157189339E-8</v>
      </c>
      <c r="FT87" s="22">
        <f t="shared" si="78"/>
        <v>2.3008805161513552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5.6843418860808015E-14</v>
      </c>
      <c r="GA87" s="17">
        <f>FZ87*VLOOKUP('Données projet'!$B$17,Paramètres!$A$1:$I$89,3,0)*VLOOKUP('Données projet'!$B$17,Paramètres!$A$1:$I$89,5,0)</f>
        <v>4.1677594708744434E-14</v>
      </c>
      <c r="GB87" s="13">
        <f t="shared" si="103"/>
        <v>6.9326303456159188E-13</v>
      </c>
      <c r="GC87" s="20">
        <f t="shared" si="79"/>
        <v>1.2800215959791691E-12</v>
      </c>
      <c r="GD87" s="59">
        <f t="shared" si="80"/>
        <v>293.33333333333462</v>
      </c>
      <c r="GE87" s="59">
        <f ca="1">AVERAGE(OFFSET($GD$3,0,0,'Données projet'!$E$17+1,1))-AVERAGE(OFFSET($H$3,0,0,'Données projet'!$E$17+1,1))</f>
        <v>178.12968684094687</v>
      </c>
      <c r="GF87" s="59">
        <f t="shared" si="104"/>
        <v>219.36004077210373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1.7203401261925251</v>
      </c>
      <c r="GN87" s="21">
        <f>EXP(-LN(2)/2)*GN86+(1-EXP(-LN(2)/2))/(LN(2)/2)*GH87*GK87*VLOOKUP('Données projet'!$B$17,Paramètres!$A$1:$I$89,3,0)*0.475*44/12</f>
        <v>7.3891241831135208E-8</v>
      </c>
      <c r="GO87" s="21">
        <f t="shared" si="81"/>
        <v>1.7203402000837669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5.6843418860808015E-14</v>
      </c>
      <c r="GV87" s="17">
        <f>GU87*VLOOKUP('Données projet'!$B$18,Paramètres!$A$1:$I$89,3,0)*VLOOKUP('Données projet'!$B$18,Paramètres!$A$1:$I$89,5,0)</f>
        <v>4.5224624045658861E-14</v>
      </c>
      <c r="GW87" s="13">
        <f t="shared" si="105"/>
        <v>7.4514601661523691E-13</v>
      </c>
      <c r="GX87" s="20">
        <f t="shared" si="82"/>
        <v>1.3765621991510601E-12</v>
      </c>
      <c r="GY87" s="59">
        <f t="shared" si="83"/>
        <v>293.33333333333468</v>
      </c>
      <c r="GZ87" s="59">
        <f ca="1">AVERAGE(OFFSET($GY$3,0,0,'Données projet'!$E$18+1,1))-AVERAGE(OFFSET($H$3,0,0,'Données projet'!$E$18+1,1))</f>
        <v>199.58763537752952</v>
      </c>
      <c r="HA87" s="59">
        <f t="shared" si="106"/>
        <v>242.62852778451929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0</v>
      </c>
      <c r="HH87" s="21">
        <f>EXP(-LN(2)/25)*HH86+(1-EXP(-LN(2)/25))/(LN(2)/25)*Calculateur!HC87*Calculateur!HE87*VLOOKUP('Données projet'!$B$18,Paramètres!$A$1:$I$89,3,0)*0.475*44/12</f>
        <v>2.3008804359714969</v>
      </c>
      <c r="HI87" s="21">
        <f>EXP(-LN(2)/2)*HI86+(1-EXP(-LN(2)/2))/(LN(2)/2)*HC87*HF87*VLOOKUP('Données projet'!$B$18,Paramètres!$A$1:$I$89,3,0)*0.475*44/12</f>
        <v>8.0179858157189339E-8</v>
      </c>
      <c r="HJ87" s="22">
        <f t="shared" si="84"/>
        <v>2.3008805161513552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7.8677884615384599</v>
      </c>
      <c r="N88" s="13">
        <f>IF('Données projet'!$A$36&gt;35,N87+M88-V87,IF(A88&lt;'Données projet'!$A$36,$K$205^A88,IF(A88='Données projet'!$A$36,'Données projet'!$B$36,N87+M88-V87)))</f>
        <v>285.54567307692304</v>
      </c>
      <c r="O88" s="13">
        <f>N88*VLOOKUP('Données projet'!$B$9,Paramètres!$A$1:$I$89,3,0)*VLOOKUP('Données projet'!$B$9,Paramètres!$A$1:$I$89,5,0)</f>
        <v>258.36172499999998</v>
      </c>
      <c r="P88" s="13">
        <f t="shared" si="87"/>
        <v>62.373035564748605</v>
      </c>
      <c r="Q88" s="20">
        <f t="shared" si="54"/>
        <v>558.61304131693703</v>
      </c>
      <c r="R88" s="59">
        <f t="shared" si="55"/>
        <v>851.9463746502704</v>
      </c>
      <c r="S88" s="59">
        <f ca="1">AVERAGE(OFFSET($R$3,0,0,'Données projet'!$E$9+1,1))-AVERAGE(OFFSET($H$3,0,0,'Données projet'!$E$9+1,1))</f>
        <v>309.07357540707869</v>
      </c>
      <c r="T88" s="59">
        <f t="shared" si="88"/>
        <v>155.9593924683299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6.2512820512820468</v>
      </c>
      <c r="AI88" s="13">
        <f>IF('Données projet'!$A$62&gt;35,AI87+AH88-AQ87,IF(A88&lt;'Données projet'!$A$62,$AF$205^A88,IF(A88='Données projet'!$A$62,'Données projet'!$B$62,AI87+AH88-AQ87)))</f>
        <v>209.98205128205134</v>
      </c>
      <c r="AJ88" s="13">
        <f>AI88*VLOOKUP('Données projet'!$B$10,Paramètres!$A$1:$I$89,3,0)*VLOOKUP('Données projet'!$B$10,Paramètres!$A$1:$I$89,5,0)</f>
        <v>189.99176000000006</v>
      </c>
      <c r="AK88" s="13">
        <f t="shared" si="89"/>
        <v>47.538131099623079</v>
      </c>
      <c r="AL88" s="20">
        <f t="shared" si="58"/>
        <v>413.69789366517693</v>
      </c>
      <c r="AM88" s="59">
        <f t="shared" si="59"/>
        <v>707.03122699851019</v>
      </c>
      <c r="AN88" s="59">
        <f ca="1">AVERAGE(OFFSET($AM$3,0,0,'Données projet'!$E$10+1,1))-AVERAGE(OFFSET($H$3,0,0,'Données projet'!$E$10+1,1))</f>
        <v>234.30804102916278</v>
      </c>
      <c r="AO88" s="59">
        <f t="shared" si="90"/>
        <v>91.137993288782411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12.124038461538468</v>
      </c>
      <c r="BD88" s="12">
        <f>IF('Données projet'!$A$88&gt;35,BD87+BC88-BL87,IF(A88&lt;'Données projet'!$A$88,$BA$205^A88,IF(A88='Données projet'!$A$88,'Données projet'!$B$88,BD87+BC88-BL87)))</f>
        <v>432.2673076923079</v>
      </c>
      <c r="BE88" s="13">
        <f>BD88*VLOOKUP('Données projet'!$B$11,Paramètres!$A$1:$I$89,3,0)*VLOOKUP('Données projet'!$B$11,Paramètres!$A$1:$I$89,5,0)</f>
        <v>202.3011000000001</v>
      </c>
      <c r="BF88" s="13">
        <f t="shared" si="91"/>
        <v>50.249542664134772</v>
      </c>
      <c r="BG88" s="20">
        <f t="shared" si="61"/>
        <v>439.85903597336824</v>
      </c>
      <c r="BH88" s="59">
        <f t="shared" si="62"/>
        <v>733.19236930670149</v>
      </c>
      <c r="BI88" s="59">
        <f ca="1">AVERAGE(OFFSET($BH$3,0,0,'Données projet'!$E$11+1,1))-AVERAGE(OFFSET($H$3,0,0,'Données projet'!$E$11+1,1))</f>
        <v>158.58786357608489</v>
      </c>
      <c r="BJ88" s="59">
        <f t="shared" si="92"/>
        <v>163.20074068819849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378.83076923076925</v>
      </c>
      <c r="BW88" s="12">
        <f>VLOOKUP(A88,'Données projet'!$A$113:$I$133,9,0)</f>
        <v>9.52371794871795</v>
      </c>
      <c r="BX88" s="12">
        <f t="array" ref="BX88">INDEX(BW:BW,MIN(IF(ISNUMBER(BW88:BW284),ROW(BW88:BW284),"")))</f>
        <v>9.52371794871795</v>
      </c>
      <c r="BY88" s="12">
        <f>IF('Données projet'!$A$114&gt;35,BY87+BX88-CG87,IF(A88&lt;'Données projet'!$A$114,$BV$205^A88,IF(A88='Données projet'!$A$114,'Données projet'!$B$114,BY87+BX88-CG87)))</f>
        <v>378.83076923076908</v>
      </c>
      <c r="BZ88" s="13">
        <f>BY88*VLOOKUP('Données projet'!$B$12,Paramètres!$A$1:$I$89,3,0)*VLOOKUP('Données projet'!$B$12,Paramètres!$A$1:$I$89,5,0)</f>
        <v>177.29279999999994</v>
      </c>
      <c r="CA88" s="13">
        <f t="shared" si="93"/>
        <v>44.719353857403867</v>
      </c>
      <c r="CB88" s="20">
        <f t="shared" si="64"/>
        <v>386.67116796831164</v>
      </c>
      <c r="CC88" s="59">
        <f t="shared" si="65"/>
        <v>680.00450130164495</v>
      </c>
      <c r="CD88" s="59">
        <f ca="1">AVERAGE(OFFSET($CC$3,0,0,'Données projet'!$E$12+1,1))-AVERAGE(OFFSET($H$3,0,0,'Données projet'!$E$12+1,1))</f>
        <v>123.2823358462245</v>
      </c>
      <c r="CE88" s="59">
        <f t="shared" si="94"/>
        <v>92.75115399786057</v>
      </c>
      <c r="CF88" s="15">
        <f>IF(ISNA(VLOOKUP(A88,'Données projet'!$A$113:$I$133,3,0)),0,VLOOKUP(A88,'Données projet'!$A$113:$I$133,3,0))</f>
        <v>4</v>
      </c>
      <c r="CG88" s="15">
        <f>IF(ISNA(VLOOKUP(A88,'Données projet'!$A$113:$I$133,4,0)),0,VLOOKUP(A88,'Données projet'!$A$113:$I$133,4,0))</f>
        <v>85.207692307692298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-2.8421709430404007E-13</v>
      </c>
      <c r="CU88" s="17">
        <f>CT88*VLOOKUP('Données projet'!$B$13,Paramètres!$A$1:$I$89,3,0)*VLOOKUP('Données projet'!$B$13,Paramètres!$A$1:$I$89,5,0)</f>
        <v>-1.69961822393816E-13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179.32848817523677</v>
      </c>
      <c r="CZ88" s="59">
        <f t="shared" si="96"/>
        <v>131.3292389103035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2.868481188027284</v>
      </c>
      <c r="DH88" s="21">
        <f>EXP(-LN(2)/2)*DH87+(1-EXP(-LN(2)/2))/(LN(2)/2)*DB88*DE88*VLOOKUP('Données projet'!$B$13,Paramètres!$A$1:$I$89,3,0)*0.475*44/12</f>
        <v>2.7726669796923349E-8</v>
      </c>
      <c r="DI88" s="22">
        <f t="shared" si="69"/>
        <v>2.8684812157539539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7.8677884615384599</v>
      </c>
      <c r="DO88" s="12">
        <f>IF('Données projet'!$A$166&gt;35,DO87+DN88-DW87,IF(A88&lt;'Données projet'!$A$166,$DL$205^A88,IF(A88='Données projet'!$A$166,'Données projet'!$B$166,DO87+DN88-DW87)))</f>
        <v>285.54567307692304</v>
      </c>
      <c r="DP88" s="17">
        <f>DO88*VLOOKUP('Données projet'!$B$14,Paramètres!$A$1:$I$89,3,0)*VLOOKUP('Données projet'!$B$14,Paramètres!$A$1:$I$89,5,0)</f>
        <v>276.17977500000001</v>
      </c>
      <c r="DQ88" s="13">
        <f t="shared" si="97"/>
        <v>66.159041177550947</v>
      </c>
      <c r="DR88" s="20">
        <f t="shared" si="70"/>
        <v>596.2401048425678</v>
      </c>
      <c r="DS88" s="59">
        <f t="shared" si="71"/>
        <v>889.57343817590117</v>
      </c>
      <c r="DT88" s="59">
        <f ca="1">AVERAGE(OFFSET($DS$3,0,0,'Données projet'!$E$14+1,1))-AVERAGE(OFFSET($H$3,0,0,'Données projet'!$E$14+1,1))</f>
        <v>340.4659523898373</v>
      </c>
      <c r="DU88" s="59">
        <f t="shared" si="98"/>
        <v>170.54530785680572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0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6.2512820512820468</v>
      </c>
      <c r="EJ88" s="12">
        <f>IF('Données projet'!$A$192&gt;35,EJ87+EI88-ER87,IF(A88&lt;'Données projet'!$A$192,$EG$205^A88,IF(A88='Données projet'!$A$192,'Données projet'!$B$192,EJ87+EI88-ER87)))</f>
        <v>209.98205128205134</v>
      </c>
      <c r="EK88" s="17">
        <f>EJ88*VLOOKUP('Données projet'!$B$15,Paramètres!$A$1:$I$89,3,0)*VLOOKUP('Données projet'!$B$15,Paramètres!$A$1:$I$89,5,0)</f>
        <v>203.09464000000006</v>
      </c>
      <c r="EL88" s="13">
        <f t="shared" si="99"/>
        <v>50.423666965173105</v>
      </c>
      <c r="EM88" s="20">
        <f t="shared" si="73"/>
        <v>441.54438463100996</v>
      </c>
      <c r="EN88" s="59">
        <f t="shared" si="74"/>
        <v>734.87771796434322</v>
      </c>
      <c r="EO88" s="59">
        <f ca="1">AVERAGE(OFFSET($EN$3,0,0,'Données projet'!$E$15+1,1))-AVERAGE(OFFSET($H$3,0,0,'Données projet'!$E$15+1,1))</f>
        <v>262.20955982183017</v>
      </c>
      <c r="EP88" s="59">
        <f t="shared" si="100"/>
        <v>101.35842063036193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5.6843418860808015E-14</v>
      </c>
      <c r="FF88" s="17">
        <f>FE88*VLOOKUP('Données projet'!$B$16,Paramètres!$A$1:$I$89,3,0)*VLOOKUP('Données projet'!$B$16,Paramètres!$A$1:$I$89,5,0)</f>
        <v>4.5224624045658861E-14</v>
      </c>
      <c r="FG88" s="13">
        <f t="shared" si="101"/>
        <v>7.4514601661523691E-13</v>
      </c>
      <c r="FH88" s="20">
        <f t="shared" si="76"/>
        <v>1.3765621991510601E-12</v>
      </c>
      <c r="FI88" s="59">
        <f t="shared" si="77"/>
        <v>293.33333333333468</v>
      </c>
      <c r="FJ88" s="59">
        <f ca="1">AVERAGE(OFFSET($FI$3,0,0,'Données projet'!$E$16+1,1))-AVERAGE(OFFSET($H$3,0,0,'Données projet'!$E$16+1,1))</f>
        <v>199.58763537752952</v>
      </c>
      <c r="FK88" s="59">
        <f t="shared" si="102"/>
        <v>242.62852778451929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2.2379627394518131</v>
      </c>
      <c r="FS88" s="21">
        <f>EXP(-LN(2)/2)*FS87+(1-EXP(-LN(2)/2))/(LN(2)/2)*FM88*FP88*VLOOKUP('Données projet'!$B$16,Paramètres!$A$1:$I$89,3,0)*0.475*44/12</f>
        <v>5.66957214175241E-8</v>
      </c>
      <c r="FT88" s="22">
        <f t="shared" si="78"/>
        <v>2.2379627961475346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5.6843418860808015E-14</v>
      </c>
      <c r="GA88" s="17">
        <f>FZ88*VLOOKUP('Données projet'!$B$17,Paramètres!$A$1:$I$89,3,0)*VLOOKUP('Données projet'!$B$17,Paramètres!$A$1:$I$89,5,0)</f>
        <v>4.1677594708744434E-14</v>
      </c>
      <c r="GB88" s="13">
        <f t="shared" si="103"/>
        <v>6.9326303456159188E-13</v>
      </c>
      <c r="GC88" s="20">
        <f t="shared" si="79"/>
        <v>1.2800215959791691E-12</v>
      </c>
      <c r="GD88" s="59">
        <f t="shared" si="80"/>
        <v>293.33333333333462</v>
      </c>
      <c r="GE88" s="59">
        <f ca="1">AVERAGE(OFFSET($GD$3,0,0,'Données projet'!$E$17+1,1))-AVERAGE(OFFSET($H$3,0,0,'Données projet'!$E$17+1,1))</f>
        <v>178.12968684094687</v>
      </c>
      <c r="GF88" s="59">
        <f t="shared" si="104"/>
        <v>219.36004077210373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1.6732973349730351</v>
      </c>
      <c r="GN88" s="21">
        <f>EXP(-LN(2)/2)*GN87+(1-EXP(-LN(2)/2))/(LN(2)/2)*GH88*GK88*VLOOKUP('Données projet'!$B$17,Paramètres!$A$1:$I$89,3,0)*0.475*44/12</f>
        <v>5.2248998169090791E-8</v>
      </c>
      <c r="GO88" s="21">
        <f t="shared" si="81"/>
        <v>1.6732973872220334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5.6843418860808015E-14</v>
      </c>
      <c r="GV88" s="17">
        <f>GU88*VLOOKUP('Données projet'!$B$18,Paramètres!$A$1:$I$89,3,0)*VLOOKUP('Données projet'!$B$18,Paramètres!$A$1:$I$89,5,0)</f>
        <v>4.5224624045658861E-14</v>
      </c>
      <c r="GW88" s="13">
        <f t="shared" si="105"/>
        <v>7.4514601661523691E-13</v>
      </c>
      <c r="GX88" s="20">
        <f t="shared" si="82"/>
        <v>1.3765621991510601E-12</v>
      </c>
      <c r="GY88" s="59">
        <f t="shared" si="83"/>
        <v>293.33333333333468</v>
      </c>
      <c r="GZ88" s="59">
        <f ca="1">AVERAGE(OFFSET($GY$3,0,0,'Données projet'!$E$18+1,1))-AVERAGE(OFFSET($H$3,0,0,'Données projet'!$E$18+1,1))</f>
        <v>199.58763537752952</v>
      </c>
      <c r="HA88" s="59">
        <f t="shared" si="106"/>
        <v>242.62852778451929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0</v>
      </c>
      <c r="HH88" s="21">
        <f>EXP(-LN(2)/25)*HH87+(1-EXP(-LN(2)/25))/(LN(2)/25)*Calculateur!HC88*Calculateur!HE88*VLOOKUP('Données projet'!$B$18,Paramètres!$A$1:$I$89,3,0)*0.475*44/12</f>
        <v>2.2379627394518131</v>
      </c>
      <c r="HI88" s="21">
        <f>EXP(-LN(2)/2)*HI87+(1-EXP(-LN(2)/2))/(LN(2)/2)*HC88*HF88*VLOOKUP('Données projet'!$B$18,Paramètres!$A$1:$I$89,3,0)*0.475*44/12</f>
        <v>5.66957214175241E-8</v>
      </c>
      <c r="HJ88" s="22">
        <f t="shared" si="84"/>
        <v>2.2379627961475346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7.8677884615384599</v>
      </c>
      <c r="N89" s="13">
        <f>IF('Données projet'!$A$36&gt;35,N88+M89-V88,IF(A89&lt;'Données projet'!$A$36,$K$205^A89,IF(A89='Données projet'!$A$36,'Données projet'!$B$36,N88+M89-V88)))</f>
        <v>293.41346153846149</v>
      </c>
      <c r="O89" s="13">
        <f>N89*VLOOKUP('Données projet'!$B$9,Paramètres!$A$1:$I$89,3,0)*VLOOKUP('Données projet'!$B$9,Paramètres!$A$1:$I$89,5,0)</f>
        <v>265.48049999999995</v>
      </c>
      <c r="P89" s="13">
        <f t="shared" si="87"/>
        <v>63.88917704165199</v>
      </c>
      <c r="Q89" s="20">
        <f t="shared" si="54"/>
        <v>573.65218751421037</v>
      </c>
      <c r="R89" s="59">
        <f t="shared" si="55"/>
        <v>866.98552084754374</v>
      </c>
      <c r="S89" s="59">
        <f ca="1">AVERAGE(OFFSET($R$3,0,0,'Données projet'!$E$9+1,1))-AVERAGE(OFFSET($H$3,0,0,'Données projet'!$E$9+1,1))</f>
        <v>309.07357540707869</v>
      </c>
      <c r="T89" s="59">
        <f t="shared" si="88"/>
        <v>155.9593924683299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6.2512820512820468</v>
      </c>
      <c r="AI89" s="13">
        <f>IF('Données projet'!$A$62&gt;35,AI88+AH89-AQ88,IF(A89&lt;'Données projet'!$A$62,$AF$205^A89,IF(A89='Données projet'!$A$62,'Données projet'!$B$62,AI88+AH89-AQ88)))</f>
        <v>216.23333333333341</v>
      </c>
      <c r="AJ89" s="13">
        <f>AI89*VLOOKUP('Données projet'!$B$10,Paramètres!$A$1:$I$89,3,0)*VLOOKUP('Données projet'!$B$10,Paramètres!$A$1:$I$89,5,0)</f>
        <v>195.64792000000006</v>
      </c>
      <c r="AK89" s="13">
        <f t="shared" si="89"/>
        <v>48.786491034291537</v>
      </c>
      <c r="AL89" s="20">
        <f t="shared" si="58"/>
        <v>425.72326588472453</v>
      </c>
      <c r="AM89" s="59">
        <f t="shared" si="59"/>
        <v>719.05659921805784</v>
      </c>
      <c r="AN89" s="59">
        <f ca="1">AVERAGE(OFFSET($AM$3,0,0,'Données projet'!$E$10+1,1))-AVERAGE(OFFSET($H$3,0,0,'Données projet'!$E$10+1,1))</f>
        <v>234.30804102916278</v>
      </c>
      <c r="AO89" s="59">
        <f t="shared" si="90"/>
        <v>91.137993288782411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12.124038461538468</v>
      </c>
      <c r="BD89" s="12">
        <f>IF('Données projet'!$A$88&gt;35,BD88+BC89-BL88,IF(A89&lt;'Données projet'!$A$88,$BA$205^A89,IF(A89='Données projet'!$A$88,'Données projet'!$B$88,BD88+BC89-BL88)))</f>
        <v>444.39134615384637</v>
      </c>
      <c r="BE89" s="13">
        <f>BD89*VLOOKUP('Données projet'!$B$11,Paramètres!$A$1:$I$89,3,0)*VLOOKUP('Données projet'!$B$11,Paramètres!$A$1:$I$89,5,0)</f>
        <v>207.9751500000001</v>
      </c>
      <c r="BF89" s="13">
        <f t="shared" si="91"/>
        <v>51.492855825196166</v>
      </c>
      <c r="BG89" s="20">
        <f t="shared" si="61"/>
        <v>451.90677681221678</v>
      </c>
      <c r="BH89" s="59">
        <f t="shared" si="62"/>
        <v>745.24011014555003</v>
      </c>
      <c r="BI89" s="59">
        <f ca="1">AVERAGE(OFFSET($BH$3,0,0,'Données projet'!$E$11+1,1))-AVERAGE(OFFSET($H$3,0,0,'Données projet'!$E$11+1,1))</f>
        <v>158.58786357608489</v>
      </c>
      <c r="BJ89" s="59">
        <f t="shared" si="92"/>
        <v>163.20074068819849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8.7211538461538449</v>
      </c>
      <c r="BY89" s="12">
        <f>IF('Données projet'!$A$114&gt;35,BY88+BX89-CG88,IF(A89&lt;'Données projet'!$A$114,$BV$205^A89,IF(A89='Données projet'!$A$114,'Données projet'!$B$114,BY88+BX89-CG88)))</f>
        <v>302.34423076923065</v>
      </c>
      <c r="BZ89" s="13">
        <f>BY89*VLOOKUP('Données projet'!$B$12,Paramètres!$A$1:$I$89,3,0)*VLOOKUP('Données projet'!$B$12,Paramètres!$A$1:$I$89,5,0)</f>
        <v>141.49709999999996</v>
      </c>
      <c r="CA89" s="13">
        <f t="shared" si="93"/>
        <v>36.639757477223647</v>
      </c>
      <c r="CB89" s="20">
        <f t="shared" si="64"/>
        <v>310.25502677283106</v>
      </c>
      <c r="CC89" s="59">
        <f t="shared" si="65"/>
        <v>603.58836010616437</v>
      </c>
      <c r="CD89" s="59">
        <f ca="1">AVERAGE(OFFSET($CC$3,0,0,'Données projet'!$E$12+1,1))-AVERAGE(OFFSET($H$3,0,0,'Données projet'!$E$12+1,1))</f>
        <v>123.2823358462245</v>
      </c>
      <c r="CE89" s="59">
        <f t="shared" si="94"/>
        <v>92.75115399786057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-2.8421709430404007E-13</v>
      </c>
      <c r="CU89" s="17">
        <f>CT89*VLOOKUP('Données projet'!$B$13,Paramètres!$A$1:$I$89,3,0)*VLOOKUP('Données projet'!$B$13,Paramètres!$A$1:$I$89,5,0)</f>
        <v>-1.69961822393816E-13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179.32848817523677</v>
      </c>
      <c r="CZ89" s="59">
        <f t="shared" si="96"/>
        <v>131.3292389103035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2.7900424190938082</v>
      </c>
      <c r="DH89" s="21">
        <f>EXP(-LN(2)/2)*DH88+(1-EXP(-LN(2)/2))/(LN(2)/2)*DB89*DE89*VLOOKUP('Données projet'!$B$13,Paramètres!$A$1:$I$89,3,0)*0.475*44/12</f>
        <v>1.9605716233124735E-8</v>
      </c>
      <c r="DI89" s="22">
        <f t="shared" si="69"/>
        <v>2.7900424386995244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7.8677884615384599</v>
      </c>
      <c r="DO89" s="12">
        <f>IF('Données projet'!$A$166&gt;35,DO88+DN89-DW88,IF(A89&lt;'Données projet'!$A$166,$DL$205^A89,IF(A89='Données projet'!$A$166,'Données projet'!$B$166,DO88+DN89-DW88)))</f>
        <v>293.41346153846149</v>
      </c>
      <c r="DP89" s="17">
        <f>DO89*VLOOKUP('Données projet'!$B$14,Paramètres!$A$1:$I$89,3,0)*VLOOKUP('Données projet'!$B$14,Paramètres!$A$1:$I$89,5,0)</f>
        <v>283.78949999999998</v>
      </c>
      <c r="DQ89" s="13">
        <f t="shared" si="97"/>
        <v>67.767211527017437</v>
      </c>
      <c r="DR89" s="20">
        <f t="shared" si="70"/>
        <v>612.29460590955534</v>
      </c>
      <c r="DS89" s="59">
        <f t="shared" si="71"/>
        <v>905.62793924288871</v>
      </c>
      <c r="DT89" s="59">
        <f ca="1">AVERAGE(OFFSET($DS$3,0,0,'Données projet'!$E$14+1,1))-AVERAGE(OFFSET($H$3,0,0,'Données projet'!$E$14+1,1))</f>
        <v>340.4659523898373</v>
      </c>
      <c r="DU89" s="59">
        <f t="shared" si="98"/>
        <v>170.54530785680572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0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6.2512820512820468</v>
      </c>
      <c r="EJ89" s="12">
        <f>IF('Données projet'!$A$192&gt;35,EJ88+EI89-ER88,IF(A89&lt;'Données projet'!$A$192,$EG$205^A89,IF(A89='Données projet'!$A$192,'Données projet'!$B$192,EJ88+EI89-ER88)))</f>
        <v>216.23333333333341</v>
      </c>
      <c r="EK89" s="17">
        <f>EJ89*VLOOKUP('Données projet'!$B$15,Paramètres!$A$1:$I$89,3,0)*VLOOKUP('Données projet'!$B$15,Paramètres!$A$1:$I$89,5,0)</f>
        <v>209.14088000000007</v>
      </c>
      <c r="EL89" s="13">
        <f t="shared" si="99"/>
        <v>51.747801594413644</v>
      </c>
      <c r="EM89" s="20">
        <f t="shared" si="73"/>
        <v>454.38112044360383</v>
      </c>
      <c r="EN89" s="59">
        <f t="shared" si="74"/>
        <v>747.71445377693715</v>
      </c>
      <c r="EO89" s="59">
        <f ca="1">AVERAGE(OFFSET($EN$3,0,0,'Données projet'!$E$15+1,1))-AVERAGE(OFFSET($H$3,0,0,'Données projet'!$E$15+1,1))</f>
        <v>262.20955982183017</v>
      </c>
      <c r="EP89" s="59">
        <f t="shared" si="100"/>
        <v>101.35842063036193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5.6843418860808015E-14</v>
      </c>
      <c r="FF89" s="17">
        <f>FE89*VLOOKUP('Données projet'!$B$16,Paramètres!$A$1:$I$89,3,0)*VLOOKUP('Données projet'!$B$16,Paramètres!$A$1:$I$89,5,0)</f>
        <v>4.5224624045658861E-14</v>
      </c>
      <c r="FG89" s="13">
        <f t="shared" si="101"/>
        <v>7.4514601661523691E-13</v>
      </c>
      <c r="FH89" s="20">
        <f t="shared" si="76"/>
        <v>1.3765621991510601E-12</v>
      </c>
      <c r="FI89" s="59">
        <f t="shared" si="77"/>
        <v>293.33333333333468</v>
      </c>
      <c r="FJ89" s="59">
        <f ca="1">AVERAGE(OFFSET($FI$3,0,0,'Données projet'!$E$16+1,1))-AVERAGE(OFFSET($H$3,0,0,'Données projet'!$E$16+1,1))</f>
        <v>199.58763537752952</v>
      </c>
      <c r="FK89" s="59">
        <f t="shared" si="102"/>
        <v>242.62852778451929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2.1767655306521578</v>
      </c>
      <c r="FS89" s="21">
        <f>EXP(-LN(2)/2)*FS88+(1-EXP(-LN(2)/2))/(LN(2)/2)*FM89*FP89*VLOOKUP('Données projet'!$B$16,Paramètres!$A$1:$I$89,3,0)*0.475*44/12</f>
        <v>4.0089929078594669E-8</v>
      </c>
      <c r="FT89" s="22">
        <f t="shared" si="78"/>
        <v>2.176765570742087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5.6843418860808015E-14</v>
      </c>
      <c r="GA89" s="17">
        <f>FZ89*VLOOKUP('Données projet'!$B$17,Paramètres!$A$1:$I$89,3,0)*VLOOKUP('Données projet'!$B$17,Paramètres!$A$1:$I$89,5,0)</f>
        <v>4.1677594708744434E-14</v>
      </c>
      <c r="GB89" s="13">
        <f t="shared" si="103"/>
        <v>6.9326303456159188E-13</v>
      </c>
      <c r="GC89" s="20">
        <f t="shared" si="79"/>
        <v>1.2800215959791691E-12</v>
      </c>
      <c r="GD89" s="59">
        <f t="shared" si="80"/>
        <v>293.33333333333462</v>
      </c>
      <c r="GE89" s="59">
        <f ca="1">AVERAGE(OFFSET($GD$3,0,0,'Données projet'!$E$17+1,1))-AVERAGE(OFFSET($H$3,0,0,'Données projet'!$E$17+1,1))</f>
        <v>178.12968684094687</v>
      </c>
      <c r="GF89" s="59">
        <f t="shared" si="104"/>
        <v>219.36004077210373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1.6275409313533149</v>
      </c>
      <c r="GN89" s="21">
        <f>EXP(-LN(2)/2)*GN88+(1-EXP(-LN(2)/2))/(LN(2)/2)*GH89*GK89*VLOOKUP('Données projet'!$B$17,Paramètres!$A$1:$I$89,3,0)*0.475*44/12</f>
        <v>3.6945620915567604E-8</v>
      </c>
      <c r="GO89" s="21">
        <f t="shared" si="81"/>
        <v>1.6275409682989359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5.6843418860808015E-14</v>
      </c>
      <c r="GV89" s="17">
        <f>GU89*VLOOKUP('Données projet'!$B$18,Paramètres!$A$1:$I$89,3,0)*VLOOKUP('Données projet'!$B$18,Paramètres!$A$1:$I$89,5,0)</f>
        <v>4.5224624045658861E-14</v>
      </c>
      <c r="GW89" s="13">
        <f t="shared" si="105"/>
        <v>7.4514601661523691E-13</v>
      </c>
      <c r="GX89" s="20">
        <f t="shared" si="82"/>
        <v>1.3765621991510601E-12</v>
      </c>
      <c r="GY89" s="59">
        <f t="shared" si="83"/>
        <v>293.33333333333468</v>
      </c>
      <c r="GZ89" s="59">
        <f ca="1">AVERAGE(OFFSET($GY$3,0,0,'Données projet'!$E$18+1,1))-AVERAGE(OFFSET($H$3,0,0,'Données projet'!$E$18+1,1))</f>
        <v>199.58763537752952</v>
      </c>
      <c r="HA89" s="59">
        <f t="shared" si="106"/>
        <v>242.62852778451929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0</v>
      </c>
      <c r="HH89" s="21">
        <f>EXP(-LN(2)/25)*HH88+(1-EXP(-LN(2)/25))/(LN(2)/25)*Calculateur!HC89*Calculateur!HE89*VLOOKUP('Données projet'!$B$18,Paramètres!$A$1:$I$89,3,0)*0.475*44/12</f>
        <v>2.1767655306521578</v>
      </c>
      <c r="HI89" s="21">
        <f>EXP(-LN(2)/2)*HI88+(1-EXP(-LN(2)/2))/(LN(2)/2)*HC89*HF89*VLOOKUP('Données projet'!$B$18,Paramètres!$A$1:$I$89,3,0)*0.475*44/12</f>
        <v>4.0089929078594669E-8</v>
      </c>
      <c r="HJ89" s="22">
        <f t="shared" si="84"/>
        <v>2.176765570742087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7.8677884615384599</v>
      </c>
      <c r="N90" s="13">
        <f>IF('Données projet'!$A$36&gt;35,N89+M90-V89,IF(A90&lt;'Données projet'!$A$36,$K$205^A90,IF(A90='Données projet'!$A$36,'Données projet'!$B$36,N89+M90-V89)))</f>
        <v>301.28124999999994</v>
      </c>
      <c r="O90" s="13">
        <f>N90*VLOOKUP('Données projet'!$B$9,Paramètres!$A$1:$I$89,3,0)*VLOOKUP('Données projet'!$B$9,Paramètres!$A$1:$I$89,5,0)</f>
        <v>272.59927499999998</v>
      </c>
      <c r="P90" s="13">
        <f t="shared" si="87"/>
        <v>65.400593073041165</v>
      </c>
      <c r="Q90" s="20">
        <f t="shared" si="54"/>
        <v>588.68310356054678</v>
      </c>
      <c r="R90" s="59">
        <f t="shared" si="55"/>
        <v>882.01643689388015</v>
      </c>
      <c r="S90" s="59">
        <f ca="1">AVERAGE(OFFSET($R$3,0,0,'Données projet'!$E$9+1,1))-AVERAGE(OFFSET($H$3,0,0,'Données projet'!$E$9+1,1))</f>
        <v>309.07357540707869</v>
      </c>
      <c r="T90" s="59">
        <f t="shared" si="88"/>
        <v>155.9593924683299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6.2512820512820468</v>
      </c>
      <c r="AI90" s="13">
        <f>IF('Données projet'!$A$62&gt;35,AI89+AH90-AQ89,IF(A90&lt;'Données projet'!$A$62,$AF$205^A90,IF(A90='Données projet'!$A$62,'Données projet'!$B$62,AI89+AH90-AQ89)))</f>
        <v>222.48461538461544</v>
      </c>
      <c r="AJ90" s="13">
        <f>AI90*VLOOKUP('Données projet'!$B$10,Paramètres!$A$1:$I$89,3,0)*VLOOKUP('Données projet'!$B$10,Paramètres!$A$1:$I$89,5,0)</f>
        <v>201.30408000000006</v>
      </c>
      <c r="AK90" s="13">
        <f t="shared" si="89"/>
        <v>50.030656541767812</v>
      </c>
      <c r="AL90" s="20">
        <f t="shared" si="58"/>
        <v>437.74133281024569</v>
      </c>
      <c r="AM90" s="59">
        <f t="shared" si="59"/>
        <v>731.07466614357895</v>
      </c>
      <c r="AN90" s="59">
        <f ca="1">AVERAGE(OFFSET($AM$3,0,0,'Données projet'!$E$10+1,1))-AVERAGE(OFFSET($H$3,0,0,'Données projet'!$E$10+1,1))</f>
        <v>234.30804102916278</v>
      </c>
      <c r="AO90" s="59">
        <f t="shared" si="90"/>
        <v>91.137993288782411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>
        <f>VLOOKUP(A90,'Données projet'!$A$87:$I$107,2,0)</f>
        <v>456.51538461538462</v>
      </c>
      <c r="BB90" s="12">
        <f>VLOOKUP(A90,'Données projet'!$A$87:$I$107,9,0)</f>
        <v>12.124038461538468</v>
      </c>
      <c r="BC90" s="12">
        <f t="array" ref="BC90">INDEX(BB:BB,MIN(IF(ISNUMBER(BB90:BB286),ROW(BB90:BB286),"")))</f>
        <v>12.124038461538468</v>
      </c>
      <c r="BD90" s="12">
        <f>IF('Données projet'!$A$88&gt;35,BD89+BC90-BL89,IF(A90&lt;'Données projet'!$A$88,$BA$205^A90,IF(A90='Données projet'!$A$88,'Données projet'!$B$88,BD89+BC90-BL89)))</f>
        <v>456.51538461538485</v>
      </c>
      <c r="BE90" s="13">
        <f>BD90*VLOOKUP('Données projet'!$B$11,Paramètres!$A$1:$I$89,3,0)*VLOOKUP('Données projet'!$B$11,Paramètres!$A$1:$I$89,5,0)</f>
        <v>213.64920000000012</v>
      </c>
      <c r="BF90" s="13">
        <f t="shared" si="91"/>
        <v>52.732226385923781</v>
      </c>
      <c r="BG90" s="20">
        <f t="shared" si="61"/>
        <v>463.94765095548405</v>
      </c>
      <c r="BH90" s="59">
        <f t="shared" si="62"/>
        <v>757.28098428881731</v>
      </c>
      <c r="BI90" s="59">
        <f ca="1">AVERAGE(OFFSET($BH$3,0,0,'Données projet'!$E$11+1,1))-AVERAGE(OFFSET($H$3,0,0,'Données projet'!$E$11+1,1))</f>
        <v>158.58786357608489</v>
      </c>
      <c r="BJ90" s="59">
        <f t="shared" si="92"/>
        <v>163.20074068819849</v>
      </c>
      <c r="BK90" s="15">
        <f>IF(ISNA(VLOOKUP(A90,'Données projet'!$A$87:$I$107,3,0)),0,VLOOKUP(A90,'Données projet'!$A$87:$I$107,3,0))</f>
        <v>7</v>
      </c>
      <c r="BL90" s="15">
        <f>IF(ISNA(VLOOKUP(A90,'Données projet'!$A$87:$I$107,4,0)),0,VLOOKUP(A90,'Données projet'!$A$87:$I$107,4,0))</f>
        <v>77.330769230769235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8.7211538461538449</v>
      </c>
      <c r="BY90" s="12">
        <f>IF('Données projet'!$A$114&gt;35,BY89+BX90-CG89,IF(A90&lt;'Données projet'!$A$114,$BV$205^A90,IF(A90='Données projet'!$A$114,'Données projet'!$B$114,BY89+BX90-CG89)))</f>
        <v>311.06538461538452</v>
      </c>
      <c r="BZ90" s="13">
        <f>BY90*VLOOKUP('Données projet'!$B$12,Paramètres!$A$1:$I$89,3,0)*VLOOKUP('Données projet'!$B$12,Paramètres!$A$1:$I$89,5,0)</f>
        <v>145.57859999999994</v>
      </c>
      <c r="CA90" s="13">
        <f t="shared" si="93"/>
        <v>37.572063695955563</v>
      </c>
      <c r="CB90" s="20">
        <f t="shared" si="64"/>
        <v>318.98740593712245</v>
      </c>
      <c r="CC90" s="59">
        <f t="shared" si="65"/>
        <v>612.32073927045576</v>
      </c>
      <c r="CD90" s="59">
        <f ca="1">AVERAGE(OFFSET($CC$3,0,0,'Données projet'!$E$12+1,1))-AVERAGE(OFFSET($H$3,0,0,'Données projet'!$E$12+1,1))</f>
        <v>123.2823358462245</v>
      </c>
      <c r="CE90" s="59">
        <f t="shared" si="94"/>
        <v>92.75115399786057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-2.8421709430404007E-13</v>
      </c>
      <c r="CU90" s="17">
        <f>CT90*VLOOKUP('Données projet'!$B$13,Paramètres!$A$1:$I$89,3,0)*VLOOKUP('Données projet'!$B$13,Paramètres!$A$1:$I$89,5,0)</f>
        <v>-1.69961822393816E-13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179.32848817523677</v>
      </c>
      <c r="CZ90" s="59">
        <f t="shared" si="96"/>
        <v>131.3292389103035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2.7137485624217339</v>
      </c>
      <c r="DH90" s="21">
        <f>EXP(-LN(2)/2)*DH89+(1-EXP(-LN(2)/2))/(LN(2)/2)*DB90*DE90*VLOOKUP('Données projet'!$B$13,Paramètres!$A$1:$I$89,3,0)*0.475*44/12</f>
        <v>1.3863334898461675E-8</v>
      </c>
      <c r="DI90" s="22">
        <f t="shared" si="69"/>
        <v>2.7137485762850688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7.8677884615384599</v>
      </c>
      <c r="DO90" s="12">
        <f>IF('Données projet'!$A$166&gt;35,DO89+DN90-DW89,IF(A90&lt;'Données projet'!$A$166,$DL$205^A90,IF(A90='Données projet'!$A$166,'Données projet'!$B$166,DO89+DN90-DW89)))</f>
        <v>301.28124999999994</v>
      </c>
      <c r="DP90" s="17">
        <f>DO90*VLOOKUP('Données projet'!$B$14,Paramètres!$A$1:$I$89,3,0)*VLOOKUP('Données projet'!$B$14,Paramètres!$A$1:$I$89,5,0)</f>
        <v>291.39922499999994</v>
      </c>
      <c r="DQ90" s="13">
        <f t="shared" si="97"/>
        <v>69.370369599278987</v>
      </c>
      <c r="DR90" s="20">
        <f t="shared" si="70"/>
        <v>628.34037726041072</v>
      </c>
      <c r="DS90" s="59">
        <f t="shared" si="71"/>
        <v>921.67371059374409</v>
      </c>
      <c r="DT90" s="59">
        <f ca="1">AVERAGE(OFFSET($DS$3,0,0,'Données projet'!$E$14+1,1))-AVERAGE(OFFSET($H$3,0,0,'Données projet'!$E$14+1,1))</f>
        <v>340.4659523898373</v>
      </c>
      <c r="DU90" s="59">
        <f t="shared" si="98"/>
        <v>170.54530785680572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0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6.2512820512820468</v>
      </c>
      <c r="EJ90" s="12">
        <f>IF('Données projet'!$A$192&gt;35,EJ89+EI90-ER89,IF(A90&lt;'Données projet'!$A$192,$EG$205^A90,IF(A90='Données projet'!$A$192,'Données projet'!$B$192,EJ89+EI90-ER89)))</f>
        <v>222.48461538461544</v>
      </c>
      <c r="EK90" s="17">
        <f>EJ90*VLOOKUP('Données projet'!$B$15,Paramètres!$A$1:$I$89,3,0)*VLOOKUP('Données projet'!$B$15,Paramètres!$A$1:$I$89,5,0)</f>
        <v>215.18712000000005</v>
      </c>
      <c r="EL90" s="13">
        <f t="shared" si="99"/>
        <v>53.067487197263034</v>
      </c>
      <c r="EM90" s="20">
        <f t="shared" si="73"/>
        <v>467.21010753523325</v>
      </c>
      <c r="EN90" s="59">
        <f t="shared" si="74"/>
        <v>760.54344086856656</v>
      </c>
      <c r="EO90" s="59">
        <f ca="1">AVERAGE(OFFSET($EN$3,0,0,'Données projet'!$E$15+1,1))-AVERAGE(OFFSET($H$3,0,0,'Données projet'!$E$15+1,1))</f>
        <v>262.20955982183017</v>
      </c>
      <c r="EP90" s="59">
        <f t="shared" si="100"/>
        <v>101.35842063036193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5.6843418860808015E-14</v>
      </c>
      <c r="FF90" s="17">
        <f>FE90*VLOOKUP('Données projet'!$B$16,Paramètres!$A$1:$I$89,3,0)*VLOOKUP('Données projet'!$B$16,Paramètres!$A$1:$I$89,5,0)</f>
        <v>4.5224624045658861E-14</v>
      </c>
      <c r="FG90" s="13">
        <f t="shared" si="101"/>
        <v>7.4514601661523691E-13</v>
      </c>
      <c r="FH90" s="20">
        <f t="shared" si="76"/>
        <v>1.3765621991510601E-12</v>
      </c>
      <c r="FI90" s="59">
        <f t="shared" si="77"/>
        <v>293.33333333333468</v>
      </c>
      <c r="FJ90" s="59">
        <f ca="1">AVERAGE(OFFSET($FI$3,0,0,'Données projet'!$E$16+1,1))-AVERAGE(OFFSET($H$3,0,0,'Données projet'!$E$16+1,1))</f>
        <v>199.58763537752952</v>
      </c>
      <c r="FK90" s="59">
        <f t="shared" si="102"/>
        <v>242.62852778451929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2.1172417627453504</v>
      </c>
      <c r="FS90" s="21">
        <f>EXP(-LN(2)/2)*FS89+(1-EXP(-LN(2)/2))/(LN(2)/2)*FM90*FP90*VLOOKUP('Données projet'!$B$16,Paramètres!$A$1:$I$89,3,0)*0.475*44/12</f>
        <v>2.834786070876205E-8</v>
      </c>
      <c r="FT90" s="22">
        <f t="shared" si="78"/>
        <v>2.1172417910932109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5.6843418860808015E-14</v>
      </c>
      <c r="GA90" s="17">
        <f>FZ90*VLOOKUP('Données projet'!$B$17,Paramètres!$A$1:$I$89,3,0)*VLOOKUP('Données projet'!$B$17,Paramètres!$A$1:$I$89,5,0)</f>
        <v>4.1677594708744434E-14</v>
      </c>
      <c r="GB90" s="13">
        <f t="shared" si="103"/>
        <v>6.9326303456159188E-13</v>
      </c>
      <c r="GC90" s="20">
        <f t="shared" si="79"/>
        <v>1.2800215959791691E-12</v>
      </c>
      <c r="GD90" s="59">
        <f t="shared" si="80"/>
        <v>293.33333333333462</v>
      </c>
      <c r="GE90" s="59">
        <f ca="1">AVERAGE(OFFSET($GD$3,0,0,'Données projet'!$E$17+1,1))-AVERAGE(OFFSET($H$3,0,0,'Données projet'!$E$17+1,1))</f>
        <v>178.12968684094687</v>
      </c>
      <c r="GF90" s="59">
        <f t="shared" si="104"/>
        <v>219.36004077210373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1.5830357389968006</v>
      </c>
      <c r="GN90" s="21">
        <f>EXP(-LN(2)/2)*GN89+(1-EXP(-LN(2)/2))/(LN(2)/2)*GH90*GK90*VLOOKUP('Données projet'!$B$17,Paramètres!$A$1:$I$89,3,0)*0.475*44/12</f>
        <v>2.6124499084545396E-8</v>
      </c>
      <c r="GO90" s="21">
        <f t="shared" si="81"/>
        <v>1.5830357651212996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5.6843418860808015E-14</v>
      </c>
      <c r="GV90" s="17">
        <f>GU90*VLOOKUP('Données projet'!$B$18,Paramètres!$A$1:$I$89,3,0)*VLOOKUP('Données projet'!$B$18,Paramètres!$A$1:$I$89,5,0)</f>
        <v>4.5224624045658861E-14</v>
      </c>
      <c r="GW90" s="13">
        <f t="shared" si="105"/>
        <v>7.4514601661523691E-13</v>
      </c>
      <c r="GX90" s="20">
        <f t="shared" si="82"/>
        <v>1.3765621991510601E-12</v>
      </c>
      <c r="GY90" s="59">
        <f t="shared" si="83"/>
        <v>293.33333333333468</v>
      </c>
      <c r="GZ90" s="59">
        <f ca="1">AVERAGE(OFFSET($GY$3,0,0,'Données projet'!$E$18+1,1))-AVERAGE(OFFSET($H$3,0,0,'Données projet'!$E$18+1,1))</f>
        <v>199.58763537752952</v>
      </c>
      <c r="HA90" s="59">
        <f t="shared" si="106"/>
        <v>242.62852778451929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0</v>
      </c>
      <c r="HH90" s="21">
        <f>EXP(-LN(2)/25)*HH89+(1-EXP(-LN(2)/25))/(LN(2)/25)*Calculateur!HC90*Calculateur!HE90*VLOOKUP('Données projet'!$B$18,Paramètres!$A$1:$I$89,3,0)*0.475*44/12</f>
        <v>2.1172417627453504</v>
      </c>
      <c r="HI90" s="21">
        <f>EXP(-LN(2)/2)*HI89+(1-EXP(-LN(2)/2))/(LN(2)/2)*HC90*HF90*VLOOKUP('Données projet'!$B$18,Paramètres!$A$1:$I$89,3,0)*0.475*44/12</f>
        <v>2.834786070876205E-8</v>
      </c>
      <c r="HJ90" s="22">
        <f t="shared" si="84"/>
        <v>2.1172417910932109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7.8677884615384599</v>
      </c>
      <c r="N91" s="13">
        <f>IF('Données projet'!$A$36&gt;35,N90+M91-V90,IF(A91&lt;'Données projet'!$A$36,$K$205^A91,IF(A91='Données projet'!$A$36,'Données projet'!$B$36,N90+M91-V90)))</f>
        <v>309.1490384615384</v>
      </c>
      <c r="O91" s="13">
        <f>N91*VLOOKUP('Données projet'!$B$9,Paramètres!$A$1:$I$89,3,0)*VLOOKUP('Données projet'!$B$9,Paramètres!$A$1:$I$89,5,0)</f>
        <v>279.71804999999995</v>
      </c>
      <c r="P91" s="13">
        <f t="shared" si="87"/>
        <v>66.907421247747862</v>
      </c>
      <c r="Q91" s="20">
        <f t="shared" si="54"/>
        <v>603.70602908982733</v>
      </c>
      <c r="R91" s="59">
        <f t="shared" si="55"/>
        <v>897.03936242316058</v>
      </c>
      <c r="S91" s="59">
        <f ca="1">AVERAGE(OFFSET($R$3,0,0,'Données projet'!$E$9+1,1))-AVERAGE(OFFSET($H$3,0,0,'Données projet'!$E$9+1,1))</f>
        <v>309.07357540707869</v>
      </c>
      <c r="T91" s="59">
        <f t="shared" si="88"/>
        <v>155.9593924683299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6.2512820512820468</v>
      </c>
      <c r="AI91" s="13">
        <f>IF('Données projet'!$A$62&gt;35,AI90+AH91-AQ90,IF(A91&lt;'Données projet'!$A$62,$AF$205^A91,IF(A91='Données projet'!$A$62,'Données projet'!$B$62,AI90+AH91-AQ90)))</f>
        <v>228.73589743589747</v>
      </c>
      <c r="AJ91" s="13">
        <f>AI91*VLOOKUP('Données projet'!$B$10,Paramètres!$A$1:$I$89,3,0)*VLOOKUP('Données projet'!$B$10,Paramètres!$A$1:$I$89,5,0)</f>
        <v>206.96024000000003</v>
      </c>
      <c r="AK91" s="13">
        <f t="shared" si="89"/>
        <v>51.270759013587337</v>
      </c>
      <c r="AL91" s="20">
        <f t="shared" si="58"/>
        <v>449.75232328199803</v>
      </c>
      <c r="AM91" s="59">
        <f t="shared" si="59"/>
        <v>743.08565661533135</v>
      </c>
      <c r="AN91" s="59">
        <f ca="1">AVERAGE(OFFSET($AM$3,0,0,'Données projet'!$E$10+1,1))-AVERAGE(OFFSET($H$3,0,0,'Données projet'!$E$10+1,1))</f>
        <v>234.30804102916278</v>
      </c>
      <c r="AO91" s="59">
        <f t="shared" si="90"/>
        <v>91.137993288782411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11.242307692307691</v>
      </c>
      <c r="BD91" s="12">
        <f>IF('Données projet'!$A$88&gt;35,BD90+BC91-BL90,IF(A91&lt;'Données projet'!$A$88,$BA$205^A91,IF(A91='Données projet'!$A$88,'Données projet'!$B$88,BD90+BC91-BL90)))</f>
        <v>390.42692307692329</v>
      </c>
      <c r="BE91" s="13">
        <f>BD91*VLOOKUP('Données projet'!$B$11,Paramètres!$A$1:$I$89,3,0)*VLOOKUP('Données projet'!$B$11,Paramètres!$A$1:$I$89,5,0)</f>
        <v>182.71980000000011</v>
      </c>
      <c r="BF91" s="13">
        <f t="shared" si="91"/>
        <v>45.926762394770535</v>
      </c>
      <c r="BG91" s="20">
        <f t="shared" si="61"/>
        <v>398.22609617089216</v>
      </c>
      <c r="BH91" s="59">
        <f t="shared" si="62"/>
        <v>691.55942950422548</v>
      </c>
      <c r="BI91" s="59">
        <f ca="1">AVERAGE(OFFSET($BH$3,0,0,'Données projet'!$E$11+1,1))-AVERAGE(OFFSET($H$3,0,0,'Données projet'!$E$11+1,1))</f>
        <v>158.58786357608489</v>
      </c>
      <c r="BJ91" s="59">
        <f t="shared" si="92"/>
        <v>163.20074068819849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8.7211538461538449</v>
      </c>
      <c r="BY91" s="12">
        <f>IF('Données projet'!$A$114&gt;35,BY90+BX91-CG90,IF(A91&lt;'Données projet'!$A$114,$BV$205^A91,IF(A91='Données projet'!$A$114,'Données projet'!$B$114,BY90+BX91-CG90)))</f>
        <v>319.78653846153838</v>
      </c>
      <c r="BZ91" s="13">
        <f>BY91*VLOOKUP('Données projet'!$B$12,Paramètres!$A$1:$I$89,3,0)*VLOOKUP('Données projet'!$B$12,Paramètres!$A$1:$I$89,5,0)</f>
        <v>149.66009999999997</v>
      </c>
      <c r="CA91" s="13">
        <f t="shared" si="93"/>
        <v>38.501331930603499</v>
      </c>
      <c r="CB91" s="20">
        <f t="shared" si="64"/>
        <v>327.714493945801</v>
      </c>
      <c r="CC91" s="59">
        <f t="shared" si="65"/>
        <v>621.04782727913425</v>
      </c>
      <c r="CD91" s="59">
        <f ca="1">AVERAGE(OFFSET($CC$3,0,0,'Données projet'!$E$12+1,1))-AVERAGE(OFFSET($H$3,0,0,'Données projet'!$E$12+1,1))</f>
        <v>123.2823358462245</v>
      </c>
      <c r="CE91" s="59">
        <f t="shared" si="94"/>
        <v>92.75115399786057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-2.8421709430404007E-13</v>
      </c>
      <c r="CU91" s="17">
        <f>CT91*VLOOKUP('Données projet'!$B$13,Paramètres!$A$1:$I$89,3,0)*VLOOKUP('Données projet'!$B$13,Paramètres!$A$1:$I$89,5,0)</f>
        <v>-1.69961822393816E-13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179.32848817523677</v>
      </c>
      <c r="CZ91" s="59">
        <f t="shared" si="96"/>
        <v>131.3292389103035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2.6395409652724768</v>
      </c>
      <c r="DH91" s="21">
        <f>EXP(-LN(2)/2)*DH90+(1-EXP(-LN(2)/2))/(LN(2)/2)*DB91*DE91*VLOOKUP('Données projet'!$B$13,Paramètres!$A$1:$I$89,3,0)*0.475*44/12</f>
        <v>9.8028581165623673E-9</v>
      </c>
      <c r="DI91" s="22">
        <f t="shared" si="69"/>
        <v>2.6395409750753349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7.8677884615384599</v>
      </c>
      <c r="DO91" s="12">
        <f>IF('Données projet'!$A$166&gt;35,DO90+DN91-DW90,IF(A91&lt;'Données projet'!$A$166,$DL$205^A91,IF(A91='Données projet'!$A$166,'Données projet'!$B$166,DO90+DN91-DW90)))</f>
        <v>309.1490384615384</v>
      </c>
      <c r="DP91" s="17">
        <f>DO91*VLOOKUP('Données projet'!$B$14,Paramètres!$A$1:$I$89,3,0)*VLOOKUP('Données projet'!$B$14,Paramètres!$A$1:$I$89,5,0)</f>
        <v>299.00894999999991</v>
      </c>
      <c r="DQ91" s="13">
        <f t="shared" si="97"/>
        <v>70.968661334726548</v>
      </c>
      <c r="DR91" s="20">
        <f t="shared" si="70"/>
        <v>644.37767307464867</v>
      </c>
      <c r="DS91" s="59">
        <f t="shared" si="71"/>
        <v>937.71100640798204</v>
      </c>
      <c r="DT91" s="59">
        <f ca="1">AVERAGE(OFFSET($DS$3,0,0,'Données projet'!$E$14+1,1))-AVERAGE(OFFSET($H$3,0,0,'Données projet'!$E$14+1,1))</f>
        <v>340.4659523898373</v>
      </c>
      <c r="DU91" s="59">
        <f t="shared" si="98"/>
        <v>170.54530785680572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0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6.2512820512820468</v>
      </c>
      <c r="EJ91" s="12">
        <f>IF('Données projet'!$A$192&gt;35,EJ90+EI91-ER90,IF(A91&lt;'Données projet'!$A$192,$EG$205^A91,IF(A91='Données projet'!$A$192,'Données projet'!$B$192,EJ90+EI91-ER90)))</f>
        <v>228.73589743589747</v>
      </c>
      <c r="EK91" s="17">
        <f>EJ91*VLOOKUP('Données projet'!$B$15,Paramètres!$A$1:$I$89,3,0)*VLOOKUP('Données projet'!$B$15,Paramètres!$A$1:$I$89,5,0)</f>
        <v>221.23336000000006</v>
      </c>
      <c r="EL91" s="13">
        <f t="shared" si="99"/>
        <v>54.382863140643501</v>
      </c>
      <c r="EM91" s="20">
        <f t="shared" si="73"/>
        <v>480.03158863662088</v>
      </c>
      <c r="EN91" s="59">
        <f t="shared" si="74"/>
        <v>773.36492196995414</v>
      </c>
      <c r="EO91" s="59">
        <f ca="1">AVERAGE(OFFSET($EN$3,0,0,'Données projet'!$E$15+1,1))-AVERAGE(OFFSET($H$3,0,0,'Données projet'!$E$15+1,1))</f>
        <v>262.20955982183017</v>
      </c>
      <c r="EP91" s="59">
        <f t="shared" si="100"/>
        <v>101.35842063036193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5.6843418860808015E-14</v>
      </c>
      <c r="FF91" s="17">
        <f>FE91*VLOOKUP('Données projet'!$B$16,Paramètres!$A$1:$I$89,3,0)*VLOOKUP('Données projet'!$B$16,Paramètres!$A$1:$I$89,5,0)</f>
        <v>4.5224624045658861E-14</v>
      </c>
      <c r="FG91" s="13">
        <f t="shared" si="101"/>
        <v>7.4514601661523691E-13</v>
      </c>
      <c r="FH91" s="20">
        <f t="shared" si="76"/>
        <v>1.3765621991510601E-12</v>
      </c>
      <c r="FI91" s="59">
        <f t="shared" si="77"/>
        <v>293.33333333333468</v>
      </c>
      <c r="FJ91" s="59">
        <f ca="1">AVERAGE(OFFSET($FI$3,0,0,'Données projet'!$E$16+1,1))-AVERAGE(OFFSET($H$3,0,0,'Données projet'!$E$16+1,1))</f>
        <v>199.58763537752952</v>
      </c>
      <c r="FK91" s="59">
        <f t="shared" si="102"/>
        <v>242.62852778451929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2.0593456754021733</v>
      </c>
      <c r="FS91" s="21">
        <f>EXP(-LN(2)/2)*FS90+(1-EXP(-LN(2)/2))/(LN(2)/2)*FM91*FP91*VLOOKUP('Données projet'!$B$16,Paramètres!$A$1:$I$89,3,0)*0.475*44/12</f>
        <v>2.0044964539297335E-8</v>
      </c>
      <c r="FT91" s="22">
        <f t="shared" si="78"/>
        <v>2.0593456954471376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5.6843418860808015E-14</v>
      </c>
      <c r="GA91" s="17">
        <f>FZ91*VLOOKUP('Données projet'!$B$17,Paramètres!$A$1:$I$89,3,0)*VLOOKUP('Données projet'!$B$17,Paramètres!$A$1:$I$89,5,0)</f>
        <v>4.1677594708744434E-14</v>
      </c>
      <c r="GB91" s="13">
        <f t="shared" si="103"/>
        <v>6.9326303456159188E-13</v>
      </c>
      <c r="GC91" s="20">
        <f t="shared" si="79"/>
        <v>1.2800215959791691E-12</v>
      </c>
      <c r="GD91" s="59">
        <f t="shared" si="80"/>
        <v>293.33333333333462</v>
      </c>
      <c r="GE91" s="59">
        <f ca="1">AVERAGE(OFFSET($GD$3,0,0,'Données projet'!$E$17+1,1))-AVERAGE(OFFSET($H$3,0,0,'Données projet'!$E$17+1,1))</f>
        <v>178.12968684094687</v>
      </c>
      <c r="GF91" s="59">
        <f t="shared" si="104"/>
        <v>219.36004077210373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1.5397475434657018</v>
      </c>
      <c r="GN91" s="21">
        <f>EXP(-LN(2)/2)*GN90+(1-EXP(-LN(2)/2))/(LN(2)/2)*GH91*GK91*VLOOKUP('Données projet'!$B$17,Paramètres!$A$1:$I$89,3,0)*0.475*44/12</f>
        <v>1.8472810457783802E-8</v>
      </c>
      <c r="GO91" s="21">
        <f t="shared" si="81"/>
        <v>1.5397475619385121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5.6843418860808015E-14</v>
      </c>
      <c r="GV91" s="17">
        <f>GU91*VLOOKUP('Données projet'!$B$18,Paramètres!$A$1:$I$89,3,0)*VLOOKUP('Données projet'!$B$18,Paramètres!$A$1:$I$89,5,0)</f>
        <v>4.5224624045658861E-14</v>
      </c>
      <c r="GW91" s="13">
        <f t="shared" si="105"/>
        <v>7.4514601661523691E-13</v>
      </c>
      <c r="GX91" s="20">
        <f t="shared" si="82"/>
        <v>1.3765621991510601E-12</v>
      </c>
      <c r="GY91" s="59">
        <f t="shared" si="83"/>
        <v>293.33333333333468</v>
      </c>
      <c r="GZ91" s="59">
        <f ca="1">AVERAGE(OFFSET($GY$3,0,0,'Données projet'!$E$18+1,1))-AVERAGE(OFFSET($H$3,0,0,'Données projet'!$E$18+1,1))</f>
        <v>199.58763537752952</v>
      </c>
      <c r="HA91" s="59">
        <f t="shared" si="106"/>
        <v>242.62852778451929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0</v>
      </c>
      <c r="HH91" s="21">
        <f>EXP(-LN(2)/25)*HH90+(1-EXP(-LN(2)/25))/(LN(2)/25)*Calculateur!HC91*Calculateur!HE91*VLOOKUP('Données projet'!$B$18,Paramètres!$A$1:$I$89,3,0)*0.475*44/12</f>
        <v>2.0593456754021733</v>
      </c>
      <c r="HI91" s="21">
        <f>EXP(-LN(2)/2)*HI90+(1-EXP(-LN(2)/2))/(LN(2)/2)*HC91*HF91*VLOOKUP('Données projet'!$B$18,Paramètres!$A$1:$I$89,3,0)*0.475*44/12</f>
        <v>2.0044964539297335E-8</v>
      </c>
      <c r="HJ91" s="22">
        <f t="shared" si="84"/>
        <v>2.0593456954471376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7.8677884615384599</v>
      </c>
      <c r="N92" s="13">
        <f>IF('Données projet'!$A$36&gt;35,N91+M92-V91,IF(A92&lt;'Données projet'!$A$36,$K$205^A92,IF(A92='Données projet'!$A$36,'Données projet'!$B$36,N91+M92-V91)))</f>
        <v>317.01682692307685</v>
      </c>
      <c r="O92" s="13">
        <f>N92*VLOOKUP('Données projet'!$B$9,Paramètres!$A$1:$I$89,3,0)*VLOOKUP('Données projet'!$B$9,Paramètres!$A$1:$I$89,5,0)</f>
        <v>286.83682499999992</v>
      </c>
      <c r="P92" s="13">
        <f t="shared" si="87"/>
        <v>68.409791752349292</v>
      </c>
      <c r="Q92" s="20">
        <f t="shared" si="54"/>
        <v>618.72119084367489</v>
      </c>
      <c r="R92" s="59">
        <f t="shared" si="55"/>
        <v>912.05452417700826</v>
      </c>
      <c r="S92" s="59">
        <f ca="1">AVERAGE(OFFSET($R$3,0,0,'Données projet'!$E$9+1,1))-AVERAGE(OFFSET($H$3,0,0,'Données projet'!$E$9+1,1))</f>
        <v>309.07357540707869</v>
      </c>
      <c r="T92" s="59">
        <f t="shared" si="88"/>
        <v>155.9593924683299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6.2512820512820468</v>
      </c>
      <c r="AI92" s="13">
        <f>IF('Données projet'!$A$62&gt;35,AI91+AH92-AQ91,IF(A92&lt;'Données projet'!$A$62,$AF$205^A92,IF(A92='Données projet'!$A$62,'Données projet'!$B$62,AI91+AH92-AQ91)))</f>
        <v>234.9871794871795</v>
      </c>
      <c r="AJ92" s="13">
        <f>AI92*VLOOKUP('Données projet'!$B$10,Paramètres!$A$1:$I$89,3,0)*VLOOKUP('Données projet'!$B$10,Paramètres!$A$1:$I$89,5,0)</f>
        <v>212.61640000000003</v>
      </c>
      <c r="AK92" s="13">
        <f t="shared" si="89"/>
        <v>52.506922250744786</v>
      </c>
      <c r="AL92" s="20">
        <f t="shared" si="58"/>
        <v>461.7564529200472</v>
      </c>
      <c r="AM92" s="59">
        <f t="shared" si="59"/>
        <v>755.08978625338045</v>
      </c>
      <c r="AN92" s="59">
        <f ca="1">AVERAGE(OFFSET($AM$3,0,0,'Données projet'!$E$10+1,1))-AVERAGE(OFFSET($H$3,0,0,'Données projet'!$E$10+1,1))</f>
        <v>234.30804102916278</v>
      </c>
      <c r="AO92" s="59">
        <f t="shared" si="90"/>
        <v>91.137993288782411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11.242307692307691</v>
      </c>
      <c r="BD92" s="12">
        <f>IF('Données projet'!$A$88&gt;35,BD91+BC92-BL91,IF(A92&lt;'Données projet'!$A$88,$BA$205^A92,IF(A92='Données projet'!$A$88,'Données projet'!$B$88,BD91+BC92-BL91)))</f>
        <v>401.66923076923098</v>
      </c>
      <c r="BE92" s="13">
        <f>BD92*VLOOKUP('Données projet'!$B$11,Paramètres!$A$1:$I$89,3,0)*VLOOKUP('Données projet'!$B$11,Paramètres!$A$1:$I$89,5,0)</f>
        <v>187.98120000000011</v>
      </c>
      <c r="BF92" s="13">
        <f t="shared" si="91"/>
        <v>47.093347732155607</v>
      </c>
      <c r="BG92" s="20">
        <f t="shared" si="61"/>
        <v>409.42150396683786</v>
      </c>
      <c r="BH92" s="59">
        <f t="shared" si="62"/>
        <v>702.75483730017118</v>
      </c>
      <c r="BI92" s="59">
        <f ca="1">AVERAGE(OFFSET($BH$3,0,0,'Données projet'!$E$11+1,1))-AVERAGE(OFFSET($H$3,0,0,'Données projet'!$E$11+1,1))</f>
        <v>158.58786357608489</v>
      </c>
      <c r="BJ92" s="59">
        <f t="shared" si="92"/>
        <v>163.20074068819849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8.7211538461538449</v>
      </c>
      <c r="BY92" s="12">
        <f>IF('Données projet'!$A$114&gt;35,BY91+BX92-CG91,IF(A92&lt;'Données projet'!$A$114,$BV$205^A92,IF(A92='Données projet'!$A$114,'Données projet'!$B$114,BY91+BX92-CG91)))</f>
        <v>328.50769230769225</v>
      </c>
      <c r="BZ92" s="13">
        <f>BY92*VLOOKUP('Données projet'!$B$12,Paramètres!$A$1:$I$89,3,0)*VLOOKUP('Données projet'!$B$12,Paramètres!$A$1:$I$89,5,0)</f>
        <v>153.74159999999998</v>
      </c>
      <c r="CA92" s="13">
        <f t="shared" si="93"/>
        <v>39.427654552879645</v>
      </c>
      <c r="CB92" s="20">
        <f t="shared" si="64"/>
        <v>336.43645167959869</v>
      </c>
      <c r="CC92" s="59">
        <f t="shared" si="65"/>
        <v>629.76978501293206</v>
      </c>
      <c r="CD92" s="59">
        <f ca="1">AVERAGE(OFFSET($CC$3,0,0,'Données projet'!$E$12+1,1))-AVERAGE(OFFSET($H$3,0,0,'Données projet'!$E$12+1,1))</f>
        <v>123.2823358462245</v>
      </c>
      <c r="CE92" s="59">
        <f t="shared" si="94"/>
        <v>92.75115399786057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-2.8421709430404007E-13</v>
      </c>
      <c r="CU92" s="17">
        <f>CT92*VLOOKUP('Données projet'!$B$13,Paramètres!$A$1:$I$89,3,0)*VLOOKUP('Données projet'!$B$13,Paramètres!$A$1:$I$89,5,0)</f>
        <v>-1.69961822393816E-13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179.32848817523677</v>
      </c>
      <c r="CZ92" s="59">
        <f t="shared" si="96"/>
        <v>131.3292389103035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2.5673625787696746</v>
      </c>
      <c r="DH92" s="21">
        <f>EXP(-LN(2)/2)*DH91+(1-EXP(-LN(2)/2))/(LN(2)/2)*DB92*DE92*VLOOKUP('Données projet'!$B$13,Paramètres!$A$1:$I$89,3,0)*0.475*44/12</f>
        <v>6.9316674492308373E-9</v>
      </c>
      <c r="DI92" s="22">
        <f t="shared" si="69"/>
        <v>2.5673625857013418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7.8677884615384599</v>
      </c>
      <c r="DO92" s="12">
        <f>IF('Données projet'!$A$166&gt;35,DO91+DN92-DW91,IF(A92&lt;'Données projet'!$A$166,$DL$205^A92,IF(A92='Données projet'!$A$166,'Données projet'!$B$166,DO91+DN92-DW91)))</f>
        <v>317.01682692307685</v>
      </c>
      <c r="DP92" s="17">
        <f>DO92*VLOOKUP('Données projet'!$B$14,Paramètres!$A$1:$I$89,3,0)*VLOOKUP('Données projet'!$B$14,Paramètres!$A$1:$I$89,5,0)</f>
        <v>306.61867499999994</v>
      </c>
      <c r="DQ92" s="13">
        <f t="shared" si="97"/>
        <v>72.562224822183978</v>
      </c>
      <c r="DR92" s="20">
        <f t="shared" si="70"/>
        <v>660.40673385697016</v>
      </c>
      <c r="DS92" s="59">
        <f t="shared" si="71"/>
        <v>953.74006719030353</v>
      </c>
      <c r="DT92" s="59">
        <f ca="1">AVERAGE(OFFSET($DS$3,0,0,'Données projet'!$E$14+1,1))-AVERAGE(OFFSET($H$3,0,0,'Données projet'!$E$14+1,1))</f>
        <v>340.4659523898373</v>
      </c>
      <c r="DU92" s="59">
        <f t="shared" si="98"/>
        <v>170.54530785680572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0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6.2512820512820468</v>
      </c>
      <c r="EJ92" s="12">
        <f>IF('Données projet'!$A$192&gt;35,EJ91+EI92-ER91,IF(A92&lt;'Données projet'!$A$192,$EG$205^A92,IF(A92='Données projet'!$A$192,'Données projet'!$B$192,EJ91+EI92-ER91)))</f>
        <v>234.9871794871795</v>
      </c>
      <c r="EK92" s="17">
        <f>EJ92*VLOOKUP('Données projet'!$B$15,Paramètres!$A$1:$I$89,3,0)*VLOOKUP('Données projet'!$B$15,Paramètres!$A$1:$I$89,5,0)</f>
        <v>227.27960000000002</v>
      </c>
      <c r="EL92" s="13">
        <f t="shared" si="99"/>
        <v>55.694060740195624</v>
      </c>
      <c r="EM92" s="20">
        <f t="shared" si="73"/>
        <v>492.84579245584081</v>
      </c>
      <c r="EN92" s="59">
        <f t="shared" si="74"/>
        <v>786.17912578917412</v>
      </c>
      <c r="EO92" s="59">
        <f ca="1">AVERAGE(OFFSET($EN$3,0,0,'Données projet'!$E$15+1,1))-AVERAGE(OFFSET($H$3,0,0,'Données projet'!$E$15+1,1))</f>
        <v>262.20955982183017</v>
      </c>
      <c r="EP92" s="59">
        <f t="shared" si="100"/>
        <v>101.35842063036193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5.6843418860808015E-14</v>
      </c>
      <c r="FF92" s="17">
        <f>FE92*VLOOKUP('Données projet'!$B$16,Paramètres!$A$1:$I$89,3,0)*VLOOKUP('Données projet'!$B$16,Paramètres!$A$1:$I$89,5,0)</f>
        <v>4.5224624045658861E-14</v>
      </c>
      <c r="FG92" s="13">
        <f t="shared" si="101"/>
        <v>7.4514601661523691E-13</v>
      </c>
      <c r="FH92" s="20">
        <f t="shared" si="76"/>
        <v>1.3765621991510601E-12</v>
      </c>
      <c r="FI92" s="59">
        <f t="shared" si="77"/>
        <v>293.33333333333468</v>
      </c>
      <c r="FJ92" s="59">
        <f ca="1">AVERAGE(OFFSET($FI$3,0,0,'Données projet'!$E$16+1,1))-AVERAGE(OFFSET($H$3,0,0,'Données projet'!$E$16+1,1))</f>
        <v>199.58763537752952</v>
      </c>
      <c r="FK92" s="59">
        <f t="shared" si="102"/>
        <v>242.62852778451929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2.0030327596120183</v>
      </c>
      <c r="FS92" s="21">
        <f>EXP(-LN(2)/2)*FS91+(1-EXP(-LN(2)/2))/(LN(2)/2)*FM92*FP92*VLOOKUP('Données projet'!$B$16,Paramètres!$A$1:$I$89,3,0)*0.475*44/12</f>
        <v>1.4173930354381025E-8</v>
      </c>
      <c r="FT92" s="22">
        <f t="shared" si="78"/>
        <v>2.0030327737859488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5.6843418860808015E-14</v>
      </c>
      <c r="GA92" s="17">
        <f>FZ92*VLOOKUP('Données projet'!$B$17,Paramètres!$A$1:$I$89,3,0)*VLOOKUP('Données projet'!$B$17,Paramètres!$A$1:$I$89,5,0)</f>
        <v>4.1677594708744434E-14</v>
      </c>
      <c r="GB92" s="13">
        <f t="shared" si="103"/>
        <v>6.9326303456159188E-13</v>
      </c>
      <c r="GC92" s="20">
        <f t="shared" si="79"/>
        <v>1.2800215959791691E-12</v>
      </c>
      <c r="GD92" s="59">
        <f t="shared" si="80"/>
        <v>293.33333333333462</v>
      </c>
      <c r="GE92" s="59">
        <f ca="1">AVERAGE(OFFSET($GD$3,0,0,'Données projet'!$E$17+1,1))-AVERAGE(OFFSET($H$3,0,0,'Données projet'!$E$17+1,1))</f>
        <v>178.12968684094687</v>
      </c>
      <c r="GF92" s="59">
        <f t="shared" si="104"/>
        <v>219.36004077210373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1.4976430659178279</v>
      </c>
      <c r="GN92" s="21">
        <f>EXP(-LN(2)/2)*GN91+(1-EXP(-LN(2)/2))/(LN(2)/2)*GH92*GK92*VLOOKUP('Données projet'!$B$17,Paramètres!$A$1:$I$89,3,0)*0.475*44/12</f>
        <v>1.3062249542272698E-8</v>
      </c>
      <c r="GO92" s="21">
        <f t="shared" si="81"/>
        <v>1.4976430789800774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5.6843418860808015E-14</v>
      </c>
      <c r="GV92" s="17">
        <f>GU92*VLOOKUP('Données projet'!$B$18,Paramètres!$A$1:$I$89,3,0)*VLOOKUP('Données projet'!$B$18,Paramètres!$A$1:$I$89,5,0)</f>
        <v>4.5224624045658861E-14</v>
      </c>
      <c r="GW92" s="13">
        <f t="shared" si="105"/>
        <v>7.4514601661523691E-13</v>
      </c>
      <c r="GX92" s="20">
        <f t="shared" si="82"/>
        <v>1.3765621991510601E-12</v>
      </c>
      <c r="GY92" s="59">
        <f t="shared" si="83"/>
        <v>293.33333333333468</v>
      </c>
      <c r="GZ92" s="59">
        <f ca="1">AVERAGE(OFFSET($GY$3,0,0,'Données projet'!$E$18+1,1))-AVERAGE(OFFSET($H$3,0,0,'Données projet'!$E$18+1,1))</f>
        <v>199.58763537752952</v>
      </c>
      <c r="HA92" s="59">
        <f t="shared" si="106"/>
        <v>242.62852778451929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0</v>
      </c>
      <c r="HH92" s="21">
        <f>EXP(-LN(2)/25)*HH91+(1-EXP(-LN(2)/25))/(LN(2)/25)*Calculateur!HC92*Calculateur!HE92*VLOOKUP('Données projet'!$B$18,Paramètres!$A$1:$I$89,3,0)*0.475*44/12</f>
        <v>2.0030327596120183</v>
      </c>
      <c r="HI92" s="21">
        <f>EXP(-LN(2)/2)*HI91+(1-EXP(-LN(2)/2))/(LN(2)/2)*HC92*HF92*VLOOKUP('Données projet'!$B$18,Paramètres!$A$1:$I$89,3,0)*0.475*44/12</f>
        <v>1.4173930354381025E-8</v>
      </c>
      <c r="HJ92" s="22">
        <f t="shared" si="84"/>
        <v>2.0030327737859488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324.88461538461536</v>
      </c>
      <c r="L93" s="12">
        <f>VLOOKUP(A93,'Données projet'!$A$35:$I$55,9,0)</f>
        <v>7.8677884615384599</v>
      </c>
      <c r="M93" s="12">
        <f t="array" ref="M93">INDEX(L:L,MIN(IF(ISNUMBER(L93:L289),ROW(L93:L289),"")))</f>
        <v>7.8677884615384599</v>
      </c>
      <c r="N93" s="13">
        <f>IF('Données projet'!$A$36&gt;35,N92+M93-V92,IF(A93&lt;'Données projet'!$A$36,$K$205^A93,IF(A93='Données projet'!$A$36,'Données projet'!$B$36,N92+M93-V92)))</f>
        <v>324.8846153846153</v>
      </c>
      <c r="O93" s="13">
        <f>N93*VLOOKUP('Données projet'!$B$9,Paramètres!$A$1:$I$89,3,0)*VLOOKUP('Données projet'!$B$9,Paramètres!$A$1:$I$89,5,0)</f>
        <v>293.95559999999995</v>
      </c>
      <c r="P93" s="13">
        <f t="shared" si="87"/>
        <v>69.907827943094574</v>
      </c>
      <c r="Q93" s="20">
        <f t="shared" si="54"/>
        <v>633.72880366755624</v>
      </c>
      <c r="R93" s="59">
        <f t="shared" si="55"/>
        <v>927.06213700088961</v>
      </c>
      <c r="S93" s="59">
        <f ca="1">AVERAGE(OFFSET($R$3,0,0,'Données projet'!$E$9+1,1))-AVERAGE(OFFSET($H$3,0,0,'Données projet'!$E$9+1,1))</f>
        <v>309.07357540707869</v>
      </c>
      <c r="T93" s="59">
        <f t="shared" si="88"/>
        <v>155.9593924683299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47.307692307692307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6.2512820512820468</v>
      </c>
      <c r="AI93" s="13">
        <f>IF('Données projet'!$A$62&gt;35,AI92+AH93-AQ92,IF(A93&lt;'Données projet'!$A$62,$AF$205^A93,IF(A93='Données projet'!$A$62,'Données projet'!$B$62,AI92+AH93-AQ92)))</f>
        <v>241.23846153846154</v>
      </c>
      <c r="AJ93" s="13">
        <f>AI93*VLOOKUP('Données projet'!$B$10,Paramètres!$A$1:$I$89,3,0)*VLOOKUP('Données projet'!$B$10,Paramètres!$A$1:$I$89,5,0)</f>
        <v>218.27256</v>
      </c>
      <c r="AK93" s="13">
        <f t="shared" si="89"/>
        <v>53.739263092310814</v>
      </c>
      <c r="AL93" s="20">
        <f t="shared" si="58"/>
        <v>473.753925219108</v>
      </c>
      <c r="AM93" s="59">
        <f t="shared" si="59"/>
        <v>767.08725855244131</v>
      </c>
      <c r="AN93" s="59">
        <f ca="1">AVERAGE(OFFSET($AM$3,0,0,'Données projet'!$E$10+1,1))-AVERAGE(OFFSET($H$3,0,0,'Données projet'!$E$10+1,1))</f>
        <v>234.30804102916278</v>
      </c>
      <c r="AO93" s="59">
        <f t="shared" si="90"/>
        <v>91.137993288782411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11.242307692307691</v>
      </c>
      <c r="BD93" s="12">
        <f>IF('Données projet'!$A$88&gt;35,BD92+BC93-BL92,IF(A93&lt;'Données projet'!$A$88,$BA$205^A93,IF(A93='Données projet'!$A$88,'Données projet'!$B$88,BD92+BC93-BL92)))</f>
        <v>412.91153846153867</v>
      </c>
      <c r="BE93" s="13">
        <f>BD93*VLOOKUP('Données projet'!$B$11,Paramètres!$A$1:$I$89,3,0)*VLOOKUP('Données projet'!$B$11,Paramètres!$A$1:$I$89,5,0)</f>
        <v>193.2426000000001</v>
      </c>
      <c r="BF93" s="13">
        <f t="shared" si="91"/>
        <v>48.256138093290417</v>
      </c>
      <c r="BG93" s="20">
        <f t="shared" si="61"/>
        <v>420.6103021791476</v>
      </c>
      <c r="BH93" s="59">
        <f t="shared" si="62"/>
        <v>713.94363551248091</v>
      </c>
      <c r="BI93" s="59">
        <f ca="1">AVERAGE(OFFSET($BH$3,0,0,'Données projet'!$E$11+1,1))-AVERAGE(OFFSET($H$3,0,0,'Données projet'!$E$11+1,1))</f>
        <v>158.58786357608489</v>
      </c>
      <c r="BJ93" s="59">
        <f t="shared" si="92"/>
        <v>163.20074068819849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8.7211538461538449</v>
      </c>
      <c r="BY93" s="12">
        <f>IF('Données projet'!$A$114&gt;35,BY92+BX93-CG92,IF(A93&lt;'Données projet'!$A$114,$BV$205^A93,IF(A93='Données projet'!$A$114,'Données projet'!$B$114,BY92+BX93-CG92)))</f>
        <v>337.22884615384612</v>
      </c>
      <c r="BZ93" s="13">
        <f>BY93*VLOOKUP('Données projet'!$B$12,Paramètres!$A$1:$I$89,3,0)*VLOOKUP('Données projet'!$B$12,Paramètres!$A$1:$I$89,5,0)</f>
        <v>157.82309999999998</v>
      </c>
      <c r="CA93" s="13">
        <f t="shared" si="93"/>
        <v>40.351118750694731</v>
      </c>
      <c r="CB93" s="20">
        <f t="shared" si="64"/>
        <v>345.1534309907932</v>
      </c>
      <c r="CC93" s="59">
        <f t="shared" si="65"/>
        <v>638.48676432412651</v>
      </c>
      <c r="CD93" s="59">
        <f ca="1">AVERAGE(OFFSET($CC$3,0,0,'Données projet'!$E$12+1,1))-AVERAGE(OFFSET($H$3,0,0,'Données projet'!$E$12+1,1))</f>
        <v>123.2823358462245</v>
      </c>
      <c r="CE93" s="59">
        <f t="shared" si="94"/>
        <v>92.75115399786057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-2.8421709430404007E-13</v>
      </c>
      <c r="CU93" s="17">
        <f>CT93*VLOOKUP('Données projet'!$B$13,Paramètres!$A$1:$I$89,3,0)*VLOOKUP('Données projet'!$B$13,Paramètres!$A$1:$I$89,5,0)</f>
        <v>-1.69961822393816E-13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179.32848817523677</v>
      </c>
      <c r="CZ93" s="59">
        <f t="shared" si="96"/>
        <v>131.3292389103035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2.4971579140414875</v>
      </c>
      <c r="DH93" s="21">
        <f>EXP(-LN(2)/2)*DH92+(1-EXP(-LN(2)/2))/(LN(2)/2)*DB93*DE93*VLOOKUP('Données projet'!$B$13,Paramètres!$A$1:$I$89,3,0)*0.475*44/12</f>
        <v>4.9014290582811837E-9</v>
      </c>
      <c r="DI93" s="22">
        <f t="shared" si="69"/>
        <v>2.4971579189429165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324.88461538461536</v>
      </c>
      <c r="DM93" s="12">
        <f>VLOOKUP(A93,'Données projet'!$A$165:$I$185,9,0)</f>
        <v>7.8677884615384599</v>
      </c>
      <c r="DN93" s="12">
        <f t="array" ref="DN93">INDEX(DM:DM,MIN(IF(ISNUMBER(DM93:DM289),ROW(DM93:DM289),"")))</f>
        <v>7.8677884615384599</v>
      </c>
      <c r="DO93" s="12">
        <f>IF('Données projet'!$A$166&gt;35,DO92+DN93-DW92,IF(A93&lt;'Données projet'!$A$166,$DL$205^A93,IF(A93='Données projet'!$A$166,'Données projet'!$B$166,DO92+DN93-DW92)))</f>
        <v>324.8846153846153</v>
      </c>
      <c r="DP93" s="17">
        <f>DO93*VLOOKUP('Données projet'!$B$14,Paramètres!$A$1:$I$89,3,0)*VLOOKUP('Données projet'!$B$14,Paramètres!$A$1:$I$89,5,0)</f>
        <v>314.22839999999991</v>
      </c>
      <c r="DQ93" s="13">
        <f t="shared" si="97"/>
        <v>74.151190905550109</v>
      </c>
      <c r="DR93" s="20">
        <f t="shared" si="70"/>
        <v>676.42778749383285</v>
      </c>
      <c r="DS93" s="59">
        <f t="shared" si="71"/>
        <v>969.76112082716622</v>
      </c>
      <c r="DT93" s="59">
        <f ca="1">AVERAGE(OFFSET($DS$3,0,0,'Données projet'!$E$14+1,1))-AVERAGE(OFFSET($H$3,0,0,'Données projet'!$E$14+1,1))</f>
        <v>340.4659523898373</v>
      </c>
      <c r="DU93" s="59">
        <f t="shared" si="98"/>
        <v>170.54530785680572</v>
      </c>
      <c r="DV93" s="15">
        <f>IF(ISNA(VLOOKUP(A93,'Données projet'!$A$165:$I$185,3,0)),0,VLOOKUP(A93,'Données projet'!$A$165:$I$185,3,0))</f>
        <v>8</v>
      </c>
      <c r="DW93" s="15">
        <f>IF(ISNA(VLOOKUP(A93,'Données projet'!$A$165:$I$185,4,0)),0,VLOOKUP(A93,'Données projet'!$A$165:$I$185,4,0))</f>
        <v>47.307692307692307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0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6.2512820512820468</v>
      </c>
      <c r="EJ93" s="12">
        <f>IF('Données projet'!$A$192&gt;35,EJ92+EI93-ER92,IF(A93&lt;'Données projet'!$A$192,$EG$205^A93,IF(A93='Données projet'!$A$192,'Données projet'!$B$192,EJ92+EI93-ER92)))</f>
        <v>241.23846153846154</v>
      </c>
      <c r="EK93" s="17">
        <f>EJ93*VLOOKUP('Données projet'!$B$15,Paramètres!$A$1:$I$89,3,0)*VLOOKUP('Données projet'!$B$15,Paramètres!$A$1:$I$89,5,0)</f>
        <v>233.32584</v>
      </c>
      <c r="EL93" s="13">
        <f t="shared" si="99"/>
        <v>57.001203927050973</v>
      </c>
      <c r="EM93" s="20">
        <f t="shared" si="73"/>
        <v>505.65293483961369</v>
      </c>
      <c r="EN93" s="59">
        <f t="shared" si="74"/>
        <v>798.98626817294701</v>
      </c>
      <c r="EO93" s="59">
        <f ca="1">AVERAGE(OFFSET($EN$3,0,0,'Données projet'!$E$15+1,1))-AVERAGE(OFFSET($H$3,0,0,'Données projet'!$E$15+1,1))</f>
        <v>262.20955982183017</v>
      </c>
      <c r="EP93" s="59">
        <f t="shared" si="100"/>
        <v>101.35842063036193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5.6843418860808015E-14</v>
      </c>
      <c r="FF93" s="17">
        <f>FE93*VLOOKUP('Données projet'!$B$16,Paramètres!$A$1:$I$89,3,0)*VLOOKUP('Données projet'!$B$16,Paramètres!$A$1:$I$89,5,0)</f>
        <v>4.5224624045658861E-14</v>
      </c>
      <c r="FG93" s="13">
        <f t="shared" si="101"/>
        <v>7.4514601661523691E-13</v>
      </c>
      <c r="FH93" s="20">
        <f t="shared" si="76"/>
        <v>1.3765621991510601E-12</v>
      </c>
      <c r="FI93" s="59">
        <f t="shared" si="77"/>
        <v>293.33333333333468</v>
      </c>
      <c r="FJ93" s="59">
        <f ca="1">AVERAGE(OFFSET($FI$3,0,0,'Données projet'!$E$16+1,1))-AVERAGE(OFFSET($H$3,0,0,'Données projet'!$E$16+1,1))</f>
        <v>199.58763537752952</v>
      </c>
      <c r="FK93" s="59">
        <f t="shared" si="102"/>
        <v>242.62852778451929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1.9482597234655128</v>
      </c>
      <c r="FS93" s="21">
        <f>EXP(-LN(2)/2)*FS92+(1-EXP(-LN(2)/2))/(LN(2)/2)*FM93*FP93*VLOOKUP('Données projet'!$B$16,Paramètres!$A$1:$I$89,3,0)*0.475*44/12</f>
        <v>1.0022482269648667E-8</v>
      </c>
      <c r="FT93" s="22">
        <f t="shared" si="78"/>
        <v>1.948259733487995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5.6843418860808015E-14</v>
      </c>
      <c r="GA93" s="17">
        <f>FZ93*VLOOKUP('Données projet'!$B$17,Paramètres!$A$1:$I$89,3,0)*VLOOKUP('Données projet'!$B$17,Paramètres!$A$1:$I$89,5,0)</f>
        <v>4.1677594708744434E-14</v>
      </c>
      <c r="GB93" s="13">
        <f t="shared" si="103"/>
        <v>6.9326303456159188E-13</v>
      </c>
      <c r="GC93" s="20">
        <f t="shared" si="79"/>
        <v>1.2800215959791691E-12</v>
      </c>
      <c r="GD93" s="59">
        <f t="shared" si="80"/>
        <v>293.33333333333462</v>
      </c>
      <c r="GE93" s="59">
        <f ca="1">AVERAGE(OFFSET($GD$3,0,0,'Données projet'!$E$17+1,1))-AVERAGE(OFFSET($H$3,0,0,'Données projet'!$E$17+1,1))</f>
        <v>178.12968684094687</v>
      </c>
      <c r="GF93" s="59">
        <f t="shared" si="104"/>
        <v>219.36004077210373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1.4566899375226789</v>
      </c>
      <c r="GN93" s="21">
        <f>EXP(-LN(2)/2)*GN92+(1-EXP(-LN(2)/2))/(LN(2)/2)*GH93*GK93*VLOOKUP('Données projet'!$B$17,Paramètres!$A$1:$I$89,3,0)*0.475*44/12</f>
        <v>9.236405228891901E-9</v>
      </c>
      <c r="GO93" s="21">
        <f t="shared" si="81"/>
        <v>1.4566899467590841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5.6843418860808015E-14</v>
      </c>
      <c r="GV93" s="17">
        <f>GU93*VLOOKUP('Données projet'!$B$18,Paramètres!$A$1:$I$89,3,0)*VLOOKUP('Données projet'!$B$18,Paramètres!$A$1:$I$89,5,0)</f>
        <v>4.5224624045658861E-14</v>
      </c>
      <c r="GW93" s="13">
        <f t="shared" si="105"/>
        <v>7.4514601661523691E-13</v>
      </c>
      <c r="GX93" s="20">
        <f t="shared" si="82"/>
        <v>1.3765621991510601E-12</v>
      </c>
      <c r="GY93" s="59">
        <f t="shared" si="83"/>
        <v>293.33333333333468</v>
      </c>
      <c r="GZ93" s="59">
        <f ca="1">AVERAGE(OFFSET($GY$3,0,0,'Données projet'!$E$18+1,1))-AVERAGE(OFFSET($H$3,0,0,'Données projet'!$E$18+1,1))</f>
        <v>199.58763537752952</v>
      </c>
      <c r="HA93" s="59">
        <f t="shared" si="106"/>
        <v>242.62852778451929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0</v>
      </c>
      <c r="HH93" s="21">
        <f>EXP(-LN(2)/25)*HH92+(1-EXP(-LN(2)/25))/(LN(2)/25)*Calculateur!HC93*Calculateur!HE93*VLOOKUP('Données projet'!$B$18,Paramètres!$A$1:$I$89,3,0)*0.475*44/12</f>
        <v>1.9482597234655128</v>
      </c>
      <c r="HI93" s="21">
        <f>EXP(-LN(2)/2)*HI92+(1-EXP(-LN(2)/2))/(LN(2)/2)*HC93*HF93*VLOOKUP('Données projet'!$B$18,Paramètres!$A$1:$I$89,3,0)*0.475*44/12</f>
        <v>1.0022482269648667E-8</v>
      </c>
      <c r="HJ93" s="22">
        <f t="shared" si="84"/>
        <v>1.948259733487995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7.5871794871794922</v>
      </c>
      <c r="N94" s="13">
        <f>IF('Données projet'!$A$36&gt;35,N93+M94-V93,IF(A94&lt;'Données projet'!$A$36,$K$205^A94,IF(A94='Données projet'!$A$36,'Données projet'!$B$36,N93+M94-V93)))</f>
        <v>285.16410256410245</v>
      </c>
      <c r="O94" s="13">
        <f>N94*VLOOKUP('Données projet'!$B$9,Paramètres!$A$1:$I$89,3,0)*VLOOKUP('Données projet'!$B$9,Paramètres!$A$1:$I$89,5,0)</f>
        <v>258.01647999999989</v>
      </c>
      <c r="P94" s="13">
        <f t="shared" si="87"/>
        <v>62.299383385500001</v>
      </c>
      <c r="Q94" s="20">
        <f t="shared" si="54"/>
        <v>557.88346206307892</v>
      </c>
      <c r="R94" s="59">
        <f t="shared" si="55"/>
        <v>851.21679539641218</v>
      </c>
      <c r="S94" s="59">
        <f ca="1">AVERAGE(OFFSET($R$3,0,0,'Données projet'!$E$9+1,1))-AVERAGE(OFFSET($H$3,0,0,'Données projet'!$E$9+1,1))</f>
        <v>309.07357540707869</v>
      </c>
      <c r="T94" s="59">
        <f t="shared" si="88"/>
        <v>155.9593924683299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6.2512820512820468</v>
      </c>
      <c r="AI94" s="13">
        <f>IF('Données projet'!$A$62&gt;35,AI93+AH94-AQ93,IF(A94&lt;'Données projet'!$A$62,$AF$205^A94,IF(A94='Données projet'!$A$62,'Données projet'!$B$62,AI93+AH94-AQ93)))</f>
        <v>247.48974358974357</v>
      </c>
      <c r="AJ94" s="13">
        <f>AI94*VLOOKUP('Données projet'!$B$10,Paramètres!$A$1:$I$89,3,0)*VLOOKUP('Données projet'!$B$10,Paramètres!$A$1:$I$89,5,0)</f>
        <v>223.92872</v>
      </c>
      <c r="AK94" s="13">
        <f t="shared" si="89"/>
        <v>54.967891977057093</v>
      </c>
      <c r="AL94" s="20">
        <f t="shared" si="58"/>
        <v>485.74493252670771</v>
      </c>
      <c r="AM94" s="59">
        <f t="shared" si="59"/>
        <v>779.07826586004103</v>
      </c>
      <c r="AN94" s="59">
        <f ca="1">AVERAGE(OFFSET($AM$3,0,0,'Données projet'!$E$10+1,1))-AVERAGE(OFFSET($H$3,0,0,'Données projet'!$E$10+1,1))</f>
        <v>234.30804102916278</v>
      </c>
      <c r="AO94" s="59">
        <f t="shared" si="90"/>
        <v>91.137993288782411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11.242307692307691</v>
      </c>
      <c r="BD94" s="12">
        <f>IF('Données projet'!$A$88&gt;35,BD93+BC94-BL93,IF(A94&lt;'Données projet'!$A$88,$BA$205^A94,IF(A94='Données projet'!$A$88,'Données projet'!$B$88,BD93+BC94-BL93)))</f>
        <v>424.15384615384636</v>
      </c>
      <c r="BE94" s="13">
        <f>BD94*VLOOKUP('Données projet'!$B$11,Paramètres!$A$1:$I$89,3,0)*VLOOKUP('Données projet'!$B$11,Paramètres!$A$1:$I$89,5,0)</f>
        <v>198.5040000000001</v>
      </c>
      <c r="BF94" s="13">
        <f t="shared" si="91"/>
        <v>49.415248676990458</v>
      </c>
      <c r="BG94" s="20">
        <f t="shared" si="61"/>
        <v>431.79269144575846</v>
      </c>
      <c r="BH94" s="59">
        <f t="shared" si="62"/>
        <v>725.12602477909172</v>
      </c>
      <c r="BI94" s="59">
        <f ca="1">AVERAGE(OFFSET($BH$3,0,0,'Données projet'!$E$11+1,1))-AVERAGE(OFFSET($H$3,0,0,'Données projet'!$E$11+1,1))</f>
        <v>158.58786357608489</v>
      </c>
      <c r="BJ94" s="59">
        <f t="shared" si="92"/>
        <v>163.20074068819849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8.7211538461538449</v>
      </c>
      <c r="BY94" s="12">
        <f>IF('Données projet'!$A$114&gt;35,BY93+BX94-CG93,IF(A94&lt;'Données projet'!$A$114,$BV$205^A94,IF(A94='Données projet'!$A$114,'Données projet'!$B$114,BY93+BX94-CG93)))</f>
        <v>345.95</v>
      </c>
      <c r="BZ94" s="13">
        <f>BY94*VLOOKUP('Données projet'!$B$12,Paramètres!$A$1:$I$89,3,0)*VLOOKUP('Données projet'!$B$12,Paramètres!$A$1:$I$89,5,0)</f>
        <v>161.90459999999999</v>
      </c>
      <c r="CA94" s="13">
        <f t="shared" si="93"/>
        <v>41.271806945500579</v>
      </c>
      <c r="CB94" s="20">
        <f t="shared" si="64"/>
        <v>353.86557543008013</v>
      </c>
      <c r="CC94" s="59">
        <f t="shared" si="65"/>
        <v>647.19890876341344</v>
      </c>
      <c r="CD94" s="59">
        <f ca="1">AVERAGE(OFFSET($CC$3,0,0,'Données projet'!$E$12+1,1))-AVERAGE(OFFSET($H$3,0,0,'Données projet'!$E$12+1,1))</f>
        <v>123.2823358462245</v>
      </c>
      <c r="CE94" s="59">
        <f t="shared" si="94"/>
        <v>92.75115399786057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-2.8421709430404007E-13</v>
      </c>
      <c r="CU94" s="17">
        <f>CT94*VLOOKUP('Données projet'!$B$13,Paramètres!$A$1:$I$89,3,0)*VLOOKUP('Données projet'!$B$13,Paramètres!$A$1:$I$89,5,0)</f>
        <v>-1.69961822393816E-13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179.32848817523677</v>
      </c>
      <c r="CZ94" s="59">
        <f t="shared" si="96"/>
        <v>131.3292389103035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2.4288729995621958</v>
      </c>
      <c r="DH94" s="21">
        <f>EXP(-LN(2)/2)*DH93+(1-EXP(-LN(2)/2))/(LN(2)/2)*DB94*DE94*VLOOKUP('Données projet'!$B$13,Paramètres!$A$1:$I$89,3,0)*0.475*44/12</f>
        <v>3.4658337246154187E-9</v>
      </c>
      <c r="DI94" s="22">
        <f t="shared" si="69"/>
        <v>2.4288730030280297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7.5871794871794922</v>
      </c>
      <c r="DO94" s="12">
        <f>IF('Données projet'!$A$166&gt;35,DO93+DN94-DW93,IF(A94&lt;'Données projet'!$A$166,$DL$205^A94,IF(A94='Données projet'!$A$166,'Données projet'!$B$166,DO93+DN94-DW93)))</f>
        <v>285.16410256410245</v>
      </c>
      <c r="DP94" s="17">
        <f>DO94*VLOOKUP('Données projet'!$B$14,Paramètres!$A$1:$I$89,3,0)*VLOOKUP('Données projet'!$B$14,Paramètres!$A$1:$I$89,5,0)</f>
        <v>275.81071999999989</v>
      </c>
      <c r="DQ94" s="13">
        <f t="shared" si="97"/>
        <v>66.080918355475589</v>
      </c>
      <c r="DR94" s="20">
        <f t="shared" si="70"/>
        <v>595.46127013578644</v>
      </c>
      <c r="DS94" s="59">
        <f t="shared" si="71"/>
        <v>888.79460346911969</v>
      </c>
      <c r="DT94" s="59">
        <f ca="1">AVERAGE(OFFSET($DS$3,0,0,'Données projet'!$E$14+1,1))-AVERAGE(OFFSET($H$3,0,0,'Données projet'!$E$14+1,1))</f>
        <v>340.4659523898373</v>
      </c>
      <c r="DU94" s="59">
        <f t="shared" si="98"/>
        <v>170.54530785680572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0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6.2512820512820468</v>
      </c>
      <c r="EJ94" s="12">
        <f>IF('Données projet'!$A$192&gt;35,EJ93+EI94-ER93,IF(A94&lt;'Données projet'!$A$192,$EG$205^A94,IF(A94='Données projet'!$A$192,'Données projet'!$B$192,EJ93+EI94-ER93)))</f>
        <v>247.48974358974357</v>
      </c>
      <c r="EK94" s="17">
        <f>EJ94*VLOOKUP('Données projet'!$B$15,Paramètres!$A$1:$I$89,3,0)*VLOOKUP('Données projet'!$B$15,Paramètres!$A$1:$I$89,5,0)</f>
        <v>239.37207999999995</v>
      </c>
      <c r="EL94" s="13">
        <f t="shared" si="99"/>
        <v>58.304409843547866</v>
      </c>
      <c r="EM94" s="20">
        <f t="shared" si="73"/>
        <v>518.45321981084578</v>
      </c>
      <c r="EN94" s="59">
        <f t="shared" si="74"/>
        <v>811.78655314417915</v>
      </c>
      <c r="EO94" s="59">
        <f ca="1">AVERAGE(OFFSET($EN$3,0,0,'Données projet'!$E$15+1,1))-AVERAGE(OFFSET($H$3,0,0,'Données projet'!$E$15+1,1))</f>
        <v>262.20955982183017</v>
      </c>
      <c r="EP94" s="59">
        <f t="shared" si="100"/>
        <v>101.35842063036193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5.6843418860808015E-14</v>
      </c>
      <c r="FF94" s="17">
        <f>FE94*VLOOKUP('Données projet'!$B$16,Paramètres!$A$1:$I$89,3,0)*VLOOKUP('Données projet'!$B$16,Paramètres!$A$1:$I$89,5,0)</f>
        <v>4.5224624045658861E-14</v>
      </c>
      <c r="FG94" s="13">
        <f t="shared" si="101"/>
        <v>7.4514601661523691E-13</v>
      </c>
      <c r="FH94" s="20">
        <f t="shared" si="76"/>
        <v>1.3765621991510601E-12</v>
      </c>
      <c r="FI94" s="59">
        <f t="shared" si="77"/>
        <v>293.33333333333468</v>
      </c>
      <c r="FJ94" s="59">
        <f ca="1">AVERAGE(OFFSET($FI$3,0,0,'Données projet'!$E$16+1,1))-AVERAGE(OFFSET($H$3,0,0,'Données projet'!$E$16+1,1))</f>
        <v>199.58763537752952</v>
      </c>
      <c r="FK94" s="59">
        <f t="shared" si="102"/>
        <v>242.62852778451929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1.8949844588728224</v>
      </c>
      <c r="FS94" s="21">
        <f>EXP(-LN(2)/2)*FS93+(1-EXP(-LN(2)/2))/(LN(2)/2)*FM94*FP94*VLOOKUP('Données projet'!$B$16,Paramètres!$A$1:$I$89,3,0)*0.475*44/12</f>
        <v>7.0869651771905125E-9</v>
      </c>
      <c r="FT94" s="22">
        <f t="shared" si="78"/>
        <v>1.8949844659597876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5.6843418860808015E-14</v>
      </c>
      <c r="GA94" s="17">
        <f>FZ94*VLOOKUP('Données projet'!$B$17,Paramètres!$A$1:$I$89,3,0)*VLOOKUP('Données projet'!$B$17,Paramètres!$A$1:$I$89,5,0)</f>
        <v>4.1677594708744434E-14</v>
      </c>
      <c r="GB94" s="13">
        <f t="shared" si="103"/>
        <v>6.9326303456159188E-13</v>
      </c>
      <c r="GC94" s="20">
        <f t="shared" si="79"/>
        <v>1.2800215959791691E-12</v>
      </c>
      <c r="GD94" s="59">
        <f t="shared" si="80"/>
        <v>293.33333333333462</v>
      </c>
      <c r="GE94" s="59">
        <f ca="1">AVERAGE(OFFSET($GD$3,0,0,'Données projet'!$E$17+1,1))-AVERAGE(OFFSET($H$3,0,0,'Données projet'!$E$17+1,1))</f>
        <v>178.12968684094687</v>
      </c>
      <c r="GF94" s="59">
        <f t="shared" si="104"/>
        <v>219.36004077210373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1.4168566745771267</v>
      </c>
      <c r="GN94" s="21">
        <f>EXP(-LN(2)/2)*GN93+(1-EXP(-LN(2)/2))/(LN(2)/2)*GH94*GK94*VLOOKUP('Données projet'!$B$17,Paramètres!$A$1:$I$89,3,0)*0.475*44/12</f>
        <v>6.5311247711363489E-9</v>
      </c>
      <c r="GO94" s="21">
        <f t="shared" si="81"/>
        <v>1.4168566811082515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5.6843418860808015E-14</v>
      </c>
      <c r="GV94" s="17">
        <f>GU94*VLOOKUP('Données projet'!$B$18,Paramètres!$A$1:$I$89,3,0)*VLOOKUP('Données projet'!$B$18,Paramètres!$A$1:$I$89,5,0)</f>
        <v>4.5224624045658861E-14</v>
      </c>
      <c r="GW94" s="13">
        <f t="shared" si="105"/>
        <v>7.4514601661523691E-13</v>
      </c>
      <c r="GX94" s="20">
        <f t="shared" si="82"/>
        <v>1.3765621991510601E-12</v>
      </c>
      <c r="GY94" s="59">
        <f t="shared" si="83"/>
        <v>293.33333333333468</v>
      </c>
      <c r="GZ94" s="59">
        <f ca="1">AVERAGE(OFFSET($GY$3,0,0,'Données projet'!$E$18+1,1))-AVERAGE(OFFSET($H$3,0,0,'Données projet'!$E$18+1,1))</f>
        <v>199.58763537752952</v>
      </c>
      <c r="HA94" s="59">
        <f t="shared" si="106"/>
        <v>242.62852778451929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0</v>
      </c>
      <c r="HH94" s="21">
        <f>EXP(-LN(2)/25)*HH93+(1-EXP(-LN(2)/25))/(LN(2)/25)*Calculateur!HC94*Calculateur!HE94*VLOOKUP('Données projet'!$B$18,Paramètres!$A$1:$I$89,3,0)*0.475*44/12</f>
        <v>1.8949844588728224</v>
      </c>
      <c r="HI94" s="21">
        <f>EXP(-LN(2)/2)*HI93+(1-EXP(-LN(2)/2))/(LN(2)/2)*HC94*HF94*VLOOKUP('Données projet'!$B$18,Paramètres!$A$1:$I$89,3,0)*0.475*44/12</f>
        <v>7.0869651771905125E-9</v>
      </c>
      <c r="HJ94" s="22">
        <f t="shared" si="84"/>
        <v>1.8949844659597876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7.5871794871794922</v>
      </c>
      <c r="N95" s="13">
        <f>IF('Données projet'!$A$36&gt;35,N94+M95-V94,IF(A95&lt;'Données projet'!$A$36,$K$205^A95,IF(A95='Données projet'!$A$36,'Données projet'!$B$36,N94+M95-V94)))</f>
        <v>292.75128205128192</v>
      </c>
      <c r="O95" s="13">
        <f>N95*VLOOKUP('Données projet'!$B$9,Paramètres!$A$1:$I$89,3,0)*VLOOKUP('Données projet'!$B$9,Paramètres!$A$1:$I$89,5,0)</f>
        <v>264.88135999999986</v>
      </c>
      <c r="P95" s="13">
        <f t="shared" si="87"/>
        <v>63.761757576825389</v>
      </c>
      <c r="Q95" s="20">
        <f t="shared" si="54"/>
        <v>572.38676311297058</v>
      </c>
      <c r="R95" s="59">
        <f t="shared" si="55"/>
        <v>865.72009644630384</v>
      </c>
      <c r="S95" s="59">
        <f ca="1">AVERAGE(OFFSET($R$3,0,0,'Données projet'!$E$9+1,1))-AVERAGE(OFFSET($H$3,0,0,'Données projet'!$E$9+1,1))</f>
        <v>309.07357540707869</v>
      </c>
      <c r="T95" s="59">
        <f t="shared" si="88"/>
        <v>155.9593924683299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6.2512820512820468</v>
      </c>
      <c r="AI95" s="13">
        <f>IF('Données projet'!$A$62&gt;35,AI94+AH95-AQ94,IF(A95&lt;'Données projet'!$A$62,$AF$205^A95,IF(A95='Données projet'!$A$62,'Données projet'!$B$62,AI94+AH95-AQ94)))</f>
        <v>253.7410256410256</v>
      </c>
      <c r="AJ95" s="13">
        <f>AI95*VLOOKUP('Données projet'!$B$10,Paramètres!$A$1:$I$89,3,0)*VLOOKUP('Données projet'!$B$10,Paramètres!$A$1:$I$89,5,0)</f>
        <v>229.58487999999994</v>
      </c>
      <c r="AK95" s="13">
        <f t="shared" si="89"/>
        <v>56.192913446740498</v>
      </c>
      <c r="AL95" s="20">
        <f t="shared" si="58"/>
        <v>497.72965691973963</v>
      </c>
      <c r="AM95" s="59">
        <f t="shared" si="59"/>
        <v>791.06299025307294</v>
      </c>
      <c r="AN95" s="59">
        <f ca="1">AVERAGE(OFFSET($AM$3,0,0,'Données projet'!$E$10+1,1))-AVERAGE(OFFSET($H$3,0,0,'Données projet'!$E$10+1,1))</f>
        <v>234.30804102916278</v>
      </c>
      <c r="AO95" s="59">
        <f t="shared" si="90"/>
        <v>91.137993288782411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11.242307692307691</v>
      </c>
      <c r="BD95" s="12">
        <f>IF('Données projet'!$A$88&gt;35,BD94+BC95-BL94,IF(A95&lt;'Données projet'!$A$88,$BA$205^A95,IF(A95='Données projet'!$A$88,'Données projet'!$B$88,BD94+BC95-BL94)))</f>
        <v>435.39615384615405</v>
      </c>
      <c r="BE95" s="13">
        <f>BD95*VLOOKUP('Données projet'!$B$11,Paramètres!$A$1:$I$89,3,0)*VLOOKUP('Données projet'!$B$11,Paramètres!$A$1:$I$89,5,0)</f>
        <v>203.76540000000008</v>
      </c>
      <c r="BF95" s="13">
        <f t="shared" si="91"/>
        <v>50.570788227585879</v>
      </c>
      <c r="BG95" s="20">
        <f t="shared" si="61"/>
        <v>442.96886116304557</v>
      </c>
      <c r="BH95" s="59">
        <f t="shared" si="62"/>
        <v>736.30219449637889</v>
      </c>
      <c r="BI95" s="59">
        <f ca="1">AVERAGE(OFFSET($BH$3,0,0,'Données projet'!$E$11+1,1))-AVERAGE(OFFSET($H$3,0,0,'Données projet'!$E$11+1,1))</f>
        <v>158.58786357608489</v>
      </c>
      <c r="BJ95" s="59">
        <f t="shared" si="92"/>
        <v>163.20074068819849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8.7211538461538449</v>
      </c>
      <c r="BY95" s="12">
        <f>IF('Données projet'!$A$114&gt;35,BY94+BX95-CG94,IF(A95&lt;'Données projet'!$A$114,$BV$205^A95,IF(A95='Données projet'!$A$114,'Données projet'!$B$114,BY94+BX95-CG94)))</f>
        <v>354.67115384615386</v>
      </c>
      <c r="BZ95" s="13">
        <f>BY95*VLOOKUP('Données projet'!$B$12,Paramètres!$A$1:$I$89,3,0)*VLOOKUP('Données projet'!$B$12,Paramètres!$A$1:$I$89,5,0)</f>
        <v>165.98609999999999</v>
      </c>
      <c r="CA95" s="13">
        <f t="shared" si="93"/>
        <v>42.18979716636489</v>
      </c>
      <c r="CB95" s="20">
        <f t="shared" si="64"/>
        <v>362.57302089808542</v>
      </c>
      <c r="CC95" s="59">
        <f t="shared" si="65"/>
        <v>655.90635423141873</v>
      </c>
      <c r="CD95" s="59">
        <f ca="1">AVERAGE(OFFSET($CC$3,0,0,'Données projet'!$E$12+1,1))-AVERAGE(OFFSET($H$3,0,0,'Données projet'!$E$12+1,1))</f>
        <v>123.2823358462245</v>
      </c>
      <c r="CE95" s="59">
        <f t="shared" si="94"/>
        <v>92.75115399786057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-2.8421709430404007E-13</v>
      </c>
      <c r="CU95" s="17">
        <f>CT95*VLOOKUP('Données projet'!$B$13,Paramètres!$A$1:$I$89,3,0)*VLOOKUP('Données projet'!$B$13,Paramètres!$A$1:$I$89,5,0)</f>
        <v>-1.69961822393816E-13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179.32848817523677</v>
      </c>
      <c r="CZ95" s="59">
        <f t="shared" si="96"/>
        <v>131.3292389103035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2.3624553396602876</v>
      </c>
      <c r="DH95" s="21">
        <f>EXP(-LN(2)/2)*DH94+(1-EXP(-LN(2)/2))/(LN(2)/2)*DB95*DE95*VLOOKUP('Données projet'!$B$13,Paramètres!$A$1:$I$89,3,0)*0.475*44/12</f>
        <v>2.4507145291405918E-9</v>
      </c>
      <c r="DI95" s="22">
        <f t="shared" si="69"/>
        <v>2.3624553421110024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7.5871794871794922</v>
      </c>
      <c r="DO95" s="12">
        <f>IF('Données projet'!$A$166&gt;35,DO94+DN95-DW94,IF(A95&lt;'Données projet'!$A$166,$DL$205^A95,IF(A95='Données projet'!$A$166,'Données projet'!$B$166,DO94+DN95-DW94)))</f>
        <v>292.75128205128192</v>
      </c>
      <c r="DP95" s="17">
        <f>DO95*VLOOKUP('Données projet'!$B$14,Paramètres!$A$1:$I$89,3,0)*VLOOKUP('Données projet'!$B$14,Paramètres!$A$1:$I$89,5,0)</f>
        <v>283.1490399999999</v>
      </c>
      <c r="DQ95" s="13">
        <f t="shared" si="97"/>
        <v>67.63205777758138</v>
      </c>
      <c r="DR95" s="20">
        <f t="shared" si="70"/>
        <v>610.94374529595405</v>
      </c>
      <c r="DS95" s="59">
        <f t="shared" si="71"/>
        <v>904.27707862928742</v>
      </c>
      <c r="DT95" s="59">
        <f ca="1">AVERAGE(OFFSET($DS$3,0,0,'Données projet'!$E$14+1,1))-AVERAGE(OFFSET($H$3,0,0,'Données projet'!$E$14+1,1))</f>
        <v>340.4659523898373</v>
      </c>
      <c r="DU95" s="59">
        <f t="shared" si="98"/>
        <v>170.54530785680572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0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6.2512820512820468</v>
      </c>
      <c r="EJ95" s="12">
        <f>IF('Données projet'!$A$192&gt;35,EJ94+EI95-ER94,IF(A95&lt;'Données projet'!$A$192,$EG$205^A95,IF(A95='Données projet'!$A$192,'Données projet'!$B$192,EJ94+EI95-ER94)))</f>
        <v>253.7410256410256</v>
      </c>
      <c r="EK95" s="17">
        <f>EJ95*VLOOKUP('Données projet'!$B$15,Paramètres!$A$1:$I$89,3,0)*VLOOKUP('Données projet'!$B$15,Paramètres!$A$1:$I$89,5,0)</f>
        <v>245.41831999999999</v>
      </c>
      <c r="EL95" s="13">
        <f t="shared" si="99"/>
        <v>59.603789377065006</v>
      </c>
      <c r="EM95" s="20">
        <f t="shared" si="73"/>
        <v>531.24684049838822</v>
      </c>
      <c r="EN95" s="59">
        <f t="shared" si="74"/>
        <v>824.58017383172159</v>
      </c>
      <c r="EO95" s="59">
        <f ca="1">AVERAGE(OFFSET($EN$3,0,0,'Données projet'!$E$15+1,1))-AVERAGE(OFFSET($H$3,0,0,'Données projet'!$E$15+1,1))</f>
        <v>262.20955982183017</v>
      </c>
      <c r="EP95" s="59">
        <f t="shared" si="100"/>
        <v>101.35842063036193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5.6843418860808015E-14</v>
      </c>
      <c r="FF95" s="17">
        <f>FE95*VLOOKUP('Données projet'!$B$16,Paramètres!$A$1:$I$89,3,0)*VLOOKUP('Données projet'!$B$16,Paramètres!$A$1:$I$89,5,0)</f>
        <v>4.5224624045658861E-14</v>
      </c>
      <c r="FG95" s="13">
        <f t="shared" si="101"/>
        <v>7.4514601661523691E-13</v>
      </c>
      <c r="FH95" s="20">
        <f t="shared" si="76"/>
        <v>1.3765621991510601E-12</v>
      </c>
      <c r="FI95" s="59">
        <f t="shared" si="77"/>
        <v>293.33333333333468</v>
      </c>
      <c r="FJ95" s="59">
        <f ca="1">AVERAGE(OFFSET($FI$3,0,0,'Données projet'!$E$16+1,1))-AVERAGE(OFFSET($H$3,0,0,'Données projet'!$E$16+1,1))</f>
        <v>199.58763537752952</v>
      </c>
      <c r="FK95" s="59">
        <f t="shared" si="102"/>
        <v>242.62852778451929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1.8431660091920434</v>
      </c>
      <c r="FS95" s="21">
        <f>EXP(-LN(2)/2)*FS94+(1-EXP(-LN(2)/2))/(LN(2)/2)*FM95*FP95*VLOOKUP('Données projet'!$B$16,Paramètres!$A$1:$I$89,3,0)*0.475*44/12</f>
        <v>5.0112411348243337E-9</v>
      </c>
      <c r="FT95" s="22">
        <f t="shared" si="78"/>
        <v>1.8431660142032846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5.6843418860808015E-14</v>
      </c>
      <c r="GA95" s="17">
        <f>FZ95*VLOOKUP('Données projet'!$B$17,Paramètres!$A$1:$I$89,3,0)*VLOOKUP('Données projet'!$B$17,Paramètres!$A$1:$I$89,5,0)</f>
        <v>4.1677594708744434E-14</v>
      </c>
      <c r="GB95" s="13">
        <f t="shared" si="103"/>
        <v>6.9326303456159188E-13</v>
      </c>
      <c r="GC95" s="20">
        <f t="shared" si="79"/>
        <v>1.2800215959791691E-12</v>
      </c>
      <c r="GD95" s="59">
        <f t="shared" si="80"/>
        <v>293.33333333333462</v>
      </c>
      <c r="GE95" s="59">
        <f ca="1">AVERAGE(OFFSET($GD$3,0,0,'Données projet'!$E$17+1,1))-AVERAGE(OFFSET($H$3,0,0,'Données projet'!$E$17+1,1))</f>
        <v>178.12968684094687</v>
      </c>
      <c r="GF95" s="59">
        <f t="shared" si="104"/>
        <v>219.36004077210373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1.3781126543015609</v>
      </c>
      <c r="GN95" s="21">
        <f>EXP(-LN(2)/2)*GN94+(1-EXP(-LN(2)/2))/(LN(2)/2)*GH95*GK95*VLOOKUP('Données projet'!$B$17,Paramètres!$A$1:$I$89,3,0)*0.475*44/12</f>
        <v>4.6182026144459505E-9</v>
      </c>
      <c r="GO95" s="21">
        <f t="shared" si="81"/>
        <v>1.3781126589197636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5.6843418860808015E-14</v>
      </c>
      <c r="GV95" s="17">
        <f>GU95*VLOOKUP('Données projet'!$B$18,Paramètres!$A$1:$I$89,3,0)*VLOOKUP('Données projet'!$B$18,Paramètres!$A$1:$I$89,5,0)</f>
        <v>4.5224624045658861E-14</v>
      </c>
      <c r="GW95" s="13">
        <f t="shared" si="105"/>
        <v>7.4514601661523691E-13</v>
      </c>
      <c r="GX95" s="20">
        <f t="shared" si="82"/>
        <v>1.3765621991510601E-12</v>
      </c>
      <c r="GY95" s="59">
        <f t="shared" si="83"/>
        <v>293.33333333333468</v>
      </c>
      <c r="GZ95" s="59">
        <f ca="1">AVERAGE(OFFSET($GY$3,0,0,'Données projet'!$E$18+1,1))-AVERAGE(OFFSET($H$3,0,0,'Données projet'!$E$18+1,1))</f>
        <v>199.58763537752952</v>
      </c>
      <c r="HA95" s="59">
        <f t="shared" si="106"/>
        <v>242.62852778451929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0</v>
      </c>
      <c r="HH95" s="21">
        <f>EXP(-LN(2)/25)*HH94+(1-EXP(-LN(2)/25))/(LN(2)/25)*Calculateur!HC95*Calculateur!HE95*VLOOKUP('Données projet'!$B$18,Paramètres!$A$1:$I$89,3,0)*0.475*44/12</f>
        <v>1.8431660091920434</v>
      </c>
      <c r="HI95" s="21">
        <f>EXP(-LN(2)/2)*HI94+(1-EXP(-LN(2)/2))/(LN(2)/2)*HC95*HF95*VLOOKUP('Données projet'!$B$18,Paramètres!$A$1:$I$89,3,0)*0.475*44/12</f>
        <v>5.0112411348243337E-9</v>
      </c>
      <c r="HJ95" s="22">
        <f t="shared" si="84"/>
        <v>1.8431660142032846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7.5871794871794922</v>
      </c>
      <c r="N96" s="13">
        <f>IF('Données projet'!$A$36&gt;35,N95+M96-V95,IF(A96&lt;'Données projet'!$A$36,$K$205^A96,IF(A96='Données projet'!$A$36,'Données projet'!$B$36,N95+M96-V95)))</f>
        <v>300.33846153846139</v>
      </c>
      <c r="O96" s="13">
        <f>N96*VLOOKUP('Données projet'!$B$9,Paramètres!$A$1:$I$89,3,0)*VLOOKUP('Données projet'!$B$9,Paramètres!$A$1:$I$89,5,0)</f>
        <v>271.74623999999983</v>
      </c>
      <c r="P96" s="13">
        <f t="shared" si="87"/>
        <v>65.219726325816325</v>
      </c>
      <c r="Q96" s="20">
        <f t="shared" si="54"/>
        <v>586.88239135079641</v>
      </c>
      <c r="R96" s="59">
        <f t="shared" si="55"/>
        <v>880.21572468412978</v>
      </c>
      <c r="S96" s="59">
        <f ca="1">AVERAGE(OFFSET($R$3,0,0,'Données projet'!$E$9+1,1))-AVERAGE(OFFSET($H$3,0,0,'Données projet'!$E$9+1,1))</f>
        <v>309.07357540707869</v>
      </c>
      <c r="T96" s="59">
        <f t="shared" si="88"/>
        <v>155.9593924683299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6.2512820512820468</v>
      </c>
      <c r="AI96" s="13">
        <f>IF('Données projet'!$A$62&gt;35,AI95+AH96-AQ95,IF(A96&lt;'Données projet'!$A$62,$AF$205^A96,IF(A96='Données projet'!$A$62,'Données projet'!$B$62,AI95+AH96-AQ95)))</f>
        <v>259.99230769230763</v>
      </c>
      <c r="AJ96" s="13">
        <f>AI96*VLOOKUP('Données projet'!$B$10,Paramètres!$A$1:$I$89,3,0)*VLOOKUP('Données projet'!$B$10,Paramètres!$A$1:$I$89,5,0)</f>
        <v>235.24103999999994</v>
      </c>
      <c r="AK96" s="13">
        <f t="shared" si="89"/>
        <v>57.414426598394883</v>
      </c>
      <c r="AL96" s="20">
        <f t="shared" si="58"/>
        <v>509.70827099220423</v>
      </c>
      <c r="AM96" s="59">
        <f t="shared" si="59"/>
        <v>803.04160432553749</v>
      </c>
      <c r="AN96" s="59">
        <f ca="1">AVERAGE(OFFSET($AM$3,0,0,'Données projet'!$E$10+1,1))-AVERAGE(OFFSET($H$3,0,0,'Données projet'!$E$10+1,1))</f>
        <v>234.30804102916278</v>
      </c>
      <c r="AO96" s="59">
        <f t="shared" si="90"/>
        <v>91.137993288782411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11.242307692307691</v>
      </c>
      <c r="BD96" s="12">
        <f>IF('Données projet'!$A$88&gt;35,BD95+BC96-BL95,IF(A96&lt;'Données projet'!$A$88,$BA$205^A96,IF(A96='Données projet'!$A$88,'Données projet'!$B$88,BD95+BC96-BL95)))</f>
        <v>446.63846153846174</v>
      </c>
      <c r="BE96" s="13">
        <f>BD96*VLOOKUP('Données projet'!$B$11,Paramètres!$A$1:$I$89,3,0)*VLOOKUP('Données projet'!$B$11,Paramètres!$A$1:$I$89,5,0)</f>
        <v>209.02680000000009</v>
      </c>
      <c r="BF96" s="13">
        <f t="shared" si="91"/>
        <v>51.722859553755349</v>
      </c>
      <c r="BG96" s="20">
        <f t="shared" si="61"/>
        <v>454.13899038945743</v>
      </c>
      <c r="BH96" s="59">
        <f t="shared" si="62"/>
        <v>747.47232372279075</v>
      </c>
      <c r="BI96" s="59">
        <f ca="1">AVERAGE(OFFSET($BH$3,0,0,'Données projet'!$E$11+1,1))-AVERAGE(OFFSET($H$3,0,0,'Données projet'!$E$11+1,1))</f>
        <v>158.58786357608489</v>
      </c>
      <c r="BJ96" s="59">
        <f t="shared" si="92"/>
        <v>163.20074068819849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8.7211538461538449</v>
      </c>
      <c r="BY96" s="12">
        <f>IF('Données projet'!$A$114&gt;35,BY95+BX96-CG95,IF(A96&lt;'Données projet'!$A$114,$BV$205^A96,IF(A96='Données projet'!$A$114,'Données projet'!$B$114,BY95+BX96-CG95)))</f>
        <v>363.39230769230772</v>
      </c>
      <c r="BZ96" s="13">
        <f>BY96*VLOOKUP('Données projet'!$B$12,Paramètres!$A$1:$I$89,3,0)*VLOOKUP('Données projet'!$B$12,Paramètres!$A$1:$I$89,5,0)</f>
        <v>170.0676</v>
      </c>
      <c r="CA96" s="13">
        <f t="shared" si="93"/>
        <v>43.105163386216795</v>
      </c>
      <c r="CB96" s="20">
        <f t="shared" si="64"/>
        <v>371.27589623099425</v>
      </c>
      <c r="CC96" s="59">
        <f t="shared" si="65"/>
        <v>664.60922956432751</v>
      </c>
      <c r="CD96" s="59">
        <f ca="1">AVERAGE(OFFSET($CC$3,0,0,'Données projet'!$E$12+1,1))-AVERAGE(OFFSET($H$3,0,0,'Données projet'!$E$12+1,1))</f>
        <v>123.2823358462245</v>
      </c>
      <c r="CE96" s="59">
        <f t="shared" si="94"/>
        <v>92.75115399786057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-2.8421709430404007E-13</v>
      </c>
      <c r="CU96" s="17">
        <f>CT96*VLOOKUP('Données projet'!$B$13,Paramètres!$A$1:$I$89,3,0)*VLOOKUP('Données projet'!$B$13,Paramètres!$A$1:$I$89,5,0)</f>
        <v>-1.69961822393816E-13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179.32848817523677</v>
      </c>
      <c r="CZ96" s="59">
        <f t="shared" si="96"/>
        <v>131.3292389103035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2.2978538741611501</v>
      </c>
      <c r="DH96" s="21">
        <f>EXP(-LN(2)/2)*DH95+(1-EXP(-LN(2)/2))/(LN(2)/2)*DB96*DE96*VLOOKUP('Données projet'!$B$13,Paramètres!$A$1:$I$89,3,0)*0.475*44/12</f>
        <v>1.7329168623077093E-9</v>
      </c>
      <c r="DI96" s="22">
        <f t="shared" si="69"/>
        <v>2.297853875894067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7.5871794871794922</v>
      </c>
      <c r="DO96" s="12">
        <f>IF('Données projet'!$A$166&gt;35,DO95+DN96-DW95,IF(A96&lt;'Données projet'!$A$166,$DL$205^A96,IF(A96='Données projet'!$A$166,'Données projet'!$B$166,DO95+DN96-DW95)))</f>
        <v>300.33846153846139</v>
      </c>
      <c r="DP96" s="17">
        <f>DO96*VLOOKUP('Données projet'!$B$14,Paramètres!$A$1:$I$89,3,0)*VLOOKUP('Données projet'!$B$14,Paramètres!$A$1:$I$89,5,0)</f>
        <v>290.48735999999985</v>
      </c>
      <c r="DQ96" s="13">
        <f t="shared" si="97"/>
        <v>69.178524349661913</v>
      </c>
      <c r="DR96" s="20">
        <f t="shared" si="70"/>
        <v>626.41808190899428</v>
      </c>
      <c r="DS96" s="59">
        <f t="shared" si="71"/>
        <v>919.75141524232754</v>
      </c>
      <c r="DT96" s="59">
        <f ca="1">AVERAGE(OFFSET($DS$3,0,0,'Données projet'!$E$14+1,1))-AVERAGE(OFFSET($H$3,0,0,'Données projet'!$E$14+1,1))</f>
        <v>340.4659523898373</v>
      </c>
      <c r="DU96" s="59">
        <f t="shared" si="98"/>
        <v>170.54530785680572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0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6.2512820512820468</v>
      </c>
      <c r="EJ96" s="12">
        <f>IF('Données projet'!$A$192&gt;35,EJ95+EI96-ER95,IF(A96&lt;'Données projet'!$A$192,$EG$205^A96,IF(A96='Données projet'!$A$192,'Données projet'!$B$192,EJ95+EI96-ER95)))</f>
        <v>259.99230769230763</v>
      </c>
      <c r="EK96" s="17">
        <f>EJ96*VLOOKUP('Données projet'!$B$15,Paramètres!$A$1:$I$89,3,0)*VLOOKUP('Données projet'!$B$15,Paramètres!$A$1:$I$89,5,0)</f>
        <v>251.46455999999995</v>
      </c>
      <c r="EL96" s="13">
        <f t="shared" si="99"/>
        <v>60.899447639766159</v>
      </c>
      <c r="EM96" s="20">
        <f t="shared" si="73"/>
        <v>544.03397997259253</v>
      </c>
      <c r="EN96" s="59">
        <f t="shared" si="74"/>
        <v>837.36731330592579</v>
      </c>
      <c r="EO96" s="59">
        <f ca="1">AVERAGE(OFFSET($EN$3,0,0,'Données projet'!$E$15+1,1))-AVERAGE(OFFSET($H$3,0,0,'Données projet'!$E$15+1,1))</f>
        <v>262.20955982183017</v>
      </c>
      <c r="EP96" s="59">
        <f t="shared" si="100"/>
        <v>101.35842063036193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5.6843418860808015E-14</v>
      </c>
      <c r="FF96" s="17">
        <f>FE96*VLOOKUP('Données projet'!$B$16,Paramètres!$A$1:$I$89,3,0)*VLOOKUP('Données projet'!$B$16,Paramètres!$A$1:$I$89,5,0)</f>
        <v>4.5224624045658861E-14</v>
      </c>
      <c r="FG96" s="13">
        <f t="shared" si="101"/>
        <v>7.4514601661523691E-13</v>
      </c>
      <c r="FH96" s="20">
        <f t="shared" si="76"/>
        <v>1.3765621991510601E-12</v>
      </c>
      <c r="FI96" s="59">
        <f t="shared" si="77"/>
        <v>293.33333333333468</v>
      </c>
      <c r="FJ96" s="59">
        <f ca="1">AVERAGE(OFFSET($FI$3,0,0,'Données projet'!$E$16+1,1))-AVERAGE(OFFSET($H$3,0,0,'Données projet'!$E$16+1,1))</f>
        <v>199.58763537752952</v>
      </c>
      <c r="FK96" s="59">
        <f t="shared" si="102"/>
        <v>242.62852778451929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1.7927645377427992</v>
      </c>
      <c r="FS96" s="21">
        <f>EXP(-LN(2)/2)*FS95+(1-EXP(-LN(2)/2))/(LN(2)/2)*FM96*FP96*VLOOKUP('Données projet'!$B$16,Paramètres!$A$1:$I$89,3,0)*0.475*44/12</f>
        <v>3.5434825885952562E-9</v>
      </c>
      <c r="FT96" s="22">
        <f t="shared" si="78"/>
        <v>1.7927645412862818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5.6843418860808015E-14</v>
      </c>
      <c r="GA96" s="17">
        <f>FZ96*VLOOKUP('Données projet'!$B$17,Paramètres!$A$1:$I$89,3,0)*VLOOKUP('Données projet'!$B$17,Paramètres!$A$1:$I$89,5,0)</f>
        <v>4.1677594708744434E-14</v>
      </c>
      <c r="GB96" s="13">
        <f t="shared" si="103"/>
        <v>6.9326303456159188E-13</v>
      </c>
      <c r="GC96" s="20">
        <f t="shared" si="79"/>
        <v>1.2800215959791691E-12</v>
      </c>
      <c r="GD96" s="59">
        <f t="shared" si="80"/>
        <v>293.33333333333462</v>
      </c>
      <c r="GE96" s="59">
        <f ca="1">AVERAGE(OFFSET($GD$3,0,0,'Données projet'!$E$17+1,1))-AVERAGE(OFFSET($H$3,0,0,'Données projet'!$E$17+1,1))</f>
        <v>178.12968684094687</v>
      </c>
      <c r="GF96" s="59">
        <f t="shared" si="104"/>
        <v>219.36004077210373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1.3404280912978901</v>
      </c>
      <c r="GN96" s="21">
        <f>EXP(-LN(2)/2)*GN95+(1-EXP(-LN(2)/2))/(LN(2)/2)*GH96*GK96*VLOOKUP('Données projet'!$B$17,Paramètres!$A$1:$I$89,3,0)*0.475*44/12</f>
        <v>3.2655623855681745E-9</v>
      </c>
      <c r="GO96" s="21">
        <f t="shared" si="81"/>
        <v>1.3404280945634526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5.6843418860808015E-14</v>
      </c>
      <c r="GV96" s="17">
        <f>GU96*VLOOKUP('Données projet'!$B$18,Paramètres!$A$1:$I$89,3,0)*VLOOKUP('Données projet'!$B$18,Paramètres!$A$1:$I$89,5,0)</f>
        <v>4.5224624045658861E-14</v>
      </c>
      <c r="GW96" s="13">
        <f t="shared" si="105"/>
        <v>7.4514601661523691E-13</v>
      </c>
      <c r="GX96" s="20">
        <f t="shared" si="82"/>
        <v>1.3765621991510601E-12</v>
      </c>
      <c r="GY96" s="59">
        <f t="shared" si="83"/>
        <v>293.33333333333468</v>
      </c>
      <c r="GZ96" s="59">
        <f ca="1">AVERAGE(OFFSET($GY$3,0,0,'Données projet'!$E$18+1,1))-AVERAGE(OFFSET($H$3,0,0,'Données projet'!$E$18+1,1))</f>
        <v>199.58763537752952</v>
      </c>
      <c r="HA96" s="59">
        <f t="shared" si="106"/>
        <v>242.62852778451929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0</v>
      </c>
      <c r="HH96" s="21">
        <f>EXP(-LN(2)/25)*HH95+(1-EXP(-LN(2)/25))/(LN(2)/25)*Calculateur!HC96*Calculateur!HE96*VLOOKUP('Données projet'!$B$18,Paramètres!$A$1:$I$89,3,0)*0.475*44/12</f>
        <v>1.7927645377427992</v>
      </c>
      <c r="HI96" s="21">
        <f>EXP(-LN(2)/2)*HI95+(1-EXP(-LN(2)/2))/(LN(2)/2)*HC96*HF96*VLOOKUP('Données projet'!$B$18,Paramètres!$A$1:$I$89,3,0)*0.475*44/12</f>
        <v>3.5434825885952562E-9</v>
      </c>
      <c r="HJ96" s="22">
        <f t="shared" si="84"/>
        <v>1.7927645412862818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7.5871794871794922</v>
      </c>
      <c r="N97" s="13">
        <f>IF('Données projet'!$A$36&gt;35,N96+M97-V96,IF(A97&lt;'Données projet'!$A$36,$K$205^A97,IF(A97='Données projet'!$A$36,'Données projet'!$B$36,N96+M97-V96)))</f>
        <v>307.92564102564086</v>
      </c>
      <c r="O97" s="13">
        <f>N97*VLOOKUP('Données projet'!$B$9,Paramètres!$A$1:$I$89,3,0)*VLOOKUP('Données projet'!$B$9,Paramètres!$A$1:$I$89,5,0)</f>
        <v>278.6111199999998</v>
      </c>
      <c r="P97" s="13">
        <f t="shared" si="87"/>
        <v>66.673413721636678</v>
      </c>
      <c r="Q97" s="20">
        <f t="shared" si="54"/>
        <v>601.37056289851682</v>
      </c>
      <c r="R97" s="59">
        <f t="shared" si="55"/>
        <v>894.70389623185019</v>
      </c>
      <c r="S97" s="59">
        <f ca="1">AVERAGE(OFFSET($R$3,0,0,'Données projet'!$E$9+1,1))-AVERAGE(OFFSET($H$3,0,0,'Données projet'!$E$9+1,1))</f>
        <v>309.07357540707869</v>
      </c>
      <c r="T97" s="59">
        <f t="shared" si="88"/>
        <v>155.9593924683299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266.24358974358972</v>
      </c>
      <c r="AG97" s="12">
        <f>VLOOKUP(A97,'Données projet'!$A$61:$I$81,9,0)</f>
        <v>6.2512820512820468</v>
      </c>
      <c r="AH97" s="12">
        <f t="array" ref="AH97">INDEX(AG:AG,MIN(IF(ISNUMBER(AG97:AG293),ROW(AG97:AG293),"")))</f>
        <v>6.2512820512820468</v>
      </c>
      <c r="AI97" s="13">
        <f>IF('Données projet'!$A$62&gt;35,AI96+AH97-AQ96,IF(A97&lt;'Données projet'!$A$62,$AF$205^A97,IF(A97='Données projet'!$A$62,'Données projet'!$B$62,AI96+AH97-AQ96)))</f>
        <v>266.24358974358967</v>
      </c>
      <c r="AJ97" s="13">
        <f>AI97*VLOOKUP('Données projet'!$B$10,Paramètres!$A$1:$I$89,3,0)*VLOOKUP('Données projet'!$B$10,Paramètres!$A$1:$I$89,5,0)</f>
        <v>240.89719999999991</v>
      </c>
      <c r="AK97" s="13">
        <f t="shared" si="89"/>
        <v>58.632525491897368</v>
      </c>
      <c r="AL97" s="20">
        <f t="shared" si="58"/>
        <v>521.68093856505436</v>
      </c>
      <c r="AM97" s="59">
        <f t="shared" si="59"/>
        <v>815.01427189838773</v>
      </c>
      <c r="AN97" s="59">
        <f ca="1">AVERAGE(OFFSET($AM$3,0,0,'Données projet'!$E$10+1,1))-AVERAGE(OFFSET($H$3,0,0,'Données projet'!$E$10+1,1))</f>
        <v>234.30804102916278</v>
      </c>
      <c r="AO97" s="59">
        <f t="shared" si="90"/>
        <v>91.137993288782411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47.243589743589745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11.242307692307691</v>
      </c>
      <c r="BD97" s="12">
        <f>IF('Données projet'!$A$88&gt;35,BD96+BC97-BL96,IF(A97&lt;'Données projet'!$A$88,$BA$205^A97,IF(A97='Données projet'!$A$88,'Données projet'!$B$88,BD96+BC97-BL96)))</f>
        <v>457.88076923076943</v>
      </c>
      <c r="BE97" s="13">
        <f>BD97*VLOOKUP('Données projet'!$B$11,Paramètres!$A$1:$I$89,3,0)*VLOOKUP('Données projet'!$B$11,Paramètres!$A$1:$I$89,5,0)</f>
        <v>214.28820000000007</v>
      </c>
      <c r="BF97" s="13">
        <f t="shared" si="91"/>
        <v>52.871559993650941</v>
      </c>
      <c r="BG97" s="20">
        <f t="shared" si="61"/>
        <v>465.3032486556088</v>
      </c>
      <c r="BH97" s="59">
        <f t="shared" si="62"/>
        <v>758.63658198894211</v>
      </c>
      <c r="BI97" s="59">
        <f ca="1">AVERAGE(OFFSET($BH$3,0,0,'Données projet'!$E$11+1,1))-AVERAGE(OFFSET($H$3,0,0,'Données projet'!$E$11+1,1))</f>
        <v>158.58786357608489</v>
      </c>
      <c r="BJ97" s="59">
        <f t="shared" si="92"/>
        <v>163.20074068819849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8.7211538461538449</v>
      </c>
      <c r="BY97" s="12">
        <f>IF('Données projet'!$A$114&gt;35,BY96+BX97-CG96,IF(A97&lt;'Données projet'!$A$114,$BV$205^A97,IF(A97='Données projet'!$A$114,'Données projet'!$B$114,BY96+BX97-CG96)))</f>
        <v>372.11346153846159</v>
      </c>
      <c r="BZ97" s="13">
        <f>BY97*VLOOKUP('Données projet'!$B$12,Paramètres!$A$1:$I$89,3,0)*VLOOKUP('Données projet'!$B$12,Paramètres!$A$1:$I$89,5,0)</f>
        <v>174.14910000000003</v>
      </c>
      <c r="CA97" s="13">
        <f t="shared" si="93"/>
        <v>44.017975824904816</v>
      </c>
      <c r="CB97" s="20">
        <f t="shared" si="64"/>
        <v>379.97432372837596</v>
      </c>
      <c r="CC97" s="59">
        <f t="shared" si="65"/>
        <v>673.30765706170928</v>
      </c>
      <c r="CD97" s="59">
        <f ca="1">AVERAGE(OFFSET($CC$3,0,0,'Données projet'!$E$12+1,1))-AVERAGE(OFFSET($H$3,0,0,'Données projet'!$E$12+1,1))</f>
        <v>123.2823358462245</v>
      </c>
      <c r="CE97" s="59">
        <f t="shared" si="94"/>
        <v>92.75115399786057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-2.8421709430404007E-13</v>
      </c>
      <c r="CU97" s="17">
        <f>CT97*VLOOKUP('Données projet'!$B$13,Paramètres!$A$1:$I$89,3,0)*VLOOKUP('Données projet'!$B$13,Paramètres!$A$1:$I$89,5,0)</f>
        <v>-1.69961822393816E-13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179.32848817523677</v>
      </c>
      <c r="CZ97" s="59">
        <f t="shared" si="96"/>
        <v>131.3292389103035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2.2350189391333299</v>
      </c>
      <c r="DH97" s="21">
        <f>EXP(-LN(2)/2)*DH96+(1-EXP(-LN(2)/2))/(LN(2)/2)*DB97*DE97*VLOOKUP('Données projet'!$B$13,Paramètres!$A$1:$I$89,3,0)*0.475*44/12</f>
        <v>1.2253572645702959E-9</v>
      </c>
      <c r="DI97" s="22">
        <f t="shared" si="69"/>
        <v>2.2350189403586871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7.5871794871794922</v>
      </c>
      <c r="DO97" s="12">
        <f>IF('Données projet'!$A$166&gt;35,DO96+DN97-DW96,IF(A97&lt;'Données projet'!$A$166,$DL$205^A97,IF(A97='Données projet'!$A$166,'Données projet'!$B$166,DO96+DN97-DW96)))</f>
        <v>307.92564102564086</v>
      </c>
      <c r="DP97" s="17">
        <f>DO97*VLOOKUP('Données projet'!$B$14,Paramètres!$A$1:$I$89,3,0)*VLOOKUP('Données projet'!$B$14,Paramètres!$A$1:$I$89,5,0)</f>
        <v>297.82567999999986</v>
      </c>
      <c r="DQ97" s="13">
        <f t="shared" si="97"/>
        <v>70.720449693018466</v>
      </c>
      <c r="DR97" s="20">
        <f t="shared" si="70"/>
        <v>641.88450921534013</v>
      </c>
      <c r="DS97" s="59">
        <f t="shared" si="71"/>
        <v>935.21784254867339</v>
      </c>
      <c r="DT97" s="59">
        <f ca="1">AVERAGE(OFFSET($DS$3,0,0,'Données projet'!$E$14+1,1))-AVERAGE(OFFSET($H$3,0,0,'Données projet'!$E$14+1,1))</f>
        <v>340.4659523898373</v>
      </c>
      <c r="DU97" s="59">
        <f t="shared" si="98"/>
        <v>170.54530785680572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0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>
        <f>VLOOKUP(A97,'Données projet'!$A$191:$I$211,2,0)</f>
        <v>266.24358974358972</v>
      </c>
      <c r="EH97" s="12">
        <f>VLOOKUP(A97,'Données projet'!$A$191:$I$211,9,0)</f>
        <v>6.2512820512820468</v>
      </c>
      <c r="EI97" s="12">
        <f t="array" ref="EI97">INDEX(EH:EH,MIN(IF(ISNUMBER(EH97:EH293),ROW(EH97:EH293),"")))</f>
        <v>6.2512820512820468</v>
      </c>
      <c r="EJ97" s="12">
        <f>IF('Données projet'!$A$192&gt;35,EJ96+EI97-ER96,IF(A97&lt;'Données projet'!$A$192,$EG$205^A97,IF(A97='Données projet'!$A$192,'Données projet'!$B$192,EJ96+EI97-ER96)))</f>
        <v>266.24358974358967</v>
      </c>
      <c r="EK97" s="17">
        <f>EJ97*VLOOKUP('Données projet'!$B$15,Paramètres!$A$1:$I$89,3,0)*VLOOKUP('Données projet'!$B$15,Paramètres!$A$1:$I$89,5,0)</f>
        <v>257.5107999999999</v>
      </c>
      <c r="EL97" s="13">
        <f t="shared" si="99"/>
        <v>62.191484400906411</v>
      </c>
      <c r="EM97" s="20">
        <f t="shared" si="73"/>
        <v>556.81481199824509</v>
      </c>
      <c r="EN97" s="59">
        <f t="shared" si="74"/>
        <v>850.14814533157846</v>
      </c>
      <c r="EO97" s="59">
        <f ca="1">AVERAGE(OFFSET($EN$3,0,0,'Données projet'!$E$15+1,1))-AVERAGE(OFFSET($H$3,0,0,'Données projet'!$E$15+1,1))</f>
        <v>262.20955982183017</v>
      </c>
      <c r="EP97" s="59">
        <f t="shared" si="100"/>
        <v>101.35842063036193</v>
      </c>
      <c r="EQ97" s="15">
        <f>IF(ISNA(VLOOKUP(A97,'Données projet'!$A$191:$I$211,3,0)),0,VLOOKUP(A97,'Données projet'!$A$191:$I$211,3,0))</f>
        <v>7</v>
      </c>
      <c r="ER97" s="15">
        <f>IF(ISNA(VLOOKUP(A97,'Données projet'!$A$191:$I$211,4,0)),0,VLOOKUP(A97,'Données projet'!$A$191:$I$211,4,0))</f>
        <v>47.243589743589745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5.6843418860808015E-14</v>
      </c>
      <c r="FF97" s="17">
        <f>FE97*VLOOKUP('Données projet'!$B$16,Paramètres!$A$1:$I$89,3,0)*VLOOKUP('Données projet'!$B$16,Paramètres!$A$1:$I$89,5,0)</f>
        <v>4.5224624045658861E-14</v>
      </c>
      <c r="FG97" s="13">
        <f t="shared" si="101"/>
        <v>7.4514601661523691E-13</v>
      </c>
      <c r="FH97" s="20">
        <f t="shared" si="76"/>
        <v>1.3765621991510601E-12</v>
      </c>
      <c r="FI97" s="59">
        <f t="shared" si="77"/>
        <v>293.33333333333468</v>
      </c>
      <c r="FJ97" s="59">
        <f ca="1">AVERAGE(OFFSET($FI$3,0,0,'Données projet'!$E$16+1,1))-AVERAGE(OFFSET($H$3,0,0,'Données projet'!$E$16+1,1))</f>
        <v>199.58763537752952</v>
      </c>
      <c r="FK97" s="59">
        <f t="shared" si="102"/>
        <v>242.62852778451929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1.7437412971808328</v>
      </c>
      <c r="FS97" s="21">
        <f>EXP(-LN(2)/2)*FS96+(1-EXP(-LN(2)/2))/(LN(2)/2)*FM97*FP97*VLOOKUP('Données projet'!$B$16,Paramètres!$A$1:$I$89,3,0)*0.475*44/12</f>
        <v>2.5056205674121668E-9</v>
      </c>
      <c r="FT97" s="22">
        <f t="shared" si="78"/>
        <v>1.7437412996864534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5.6843418860808015E-14</v>
      </c>
      <c r="GA97" s="17">
        <f>FZ97*VLOOKUP('Données projet'!$B$17,Paramètres!$A$1:$I$89,3,0)*VLOOKUP('Données projet'!$B$17,Paramètres!$A$1:$I$89,5,0)</f>
        <v>4.1677594708744434E-14</v>
      </c>
      <c r="GB97" s="13">
        <f t="shared" si="103"/>
        <v>6.9326303456159188E-13</v>
      </c>
      <c r="GC97" s="20">
        <f t="shared" si="79"/>
        <v>1.2800215959791691E-12</v>
      </c>
      <c r="GD97" s="59">
        <f t="shared" si="80"/>
        <v>293.33333333333462</v>
      </c>
      <c r="GE97" s="59">
        <f ca="1">AVERAGE(OFFSET($GD$3,0,0,'Données projet'!$E$17+1,1))-AVERAGE(OFFSET($H$3,0,0,'Données projet'!$E$17+1,1))</f>
        <v>178.12968684094687</v>
      </c>
      <c r="GF97" s="59">
        <f t="shared" si="104"/>
        <v>219.36004077210373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1.3037740146512995</v>
      </c>
      <c r="GN97" s="21">
        <f>EXP(-LN(2)/2)*GN96+(1-EXP(-LN(2)/2))/(LN(2)/2)*GH97*GK97*VLOOKUP('Données projet'!$B$17,Paramètres!$A$1:$I$89,3,0)*0.475*44/12</f>
        <v>2.3091013072229752E-9</v>
      </c>
      <c r="GO97" s="21">
        <f t="shared" si="81"/>
        <v>1.3037740169604008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5.6843418860808015E-14</v>
      </c>
      <c r="GV97" s="17">
        <f>GU97*VLOOKUP('Données projet'!$B$18,Paramètres!$A$1:$I$89,3,0)*VLOOKUP('Données projet'!$B$18,Paramètres!$A$1:$I$89,5,0)</f>
        <v>4.5224624045658861E-14</v>
      </c>
      <c r="GW97" s="13">
        <f t="shared" si="105"/>
        <v>7.4514601661523691E-13</v>
      </c>
      <c r="GX97" s="20">
        <f t="shared" si="82"/>
        <v>1.3765621991510601E-12</v>
      </c>
      <c r="GY97" s="59">
        <f t="shared" si="83"/>
        <v>293.33333333333468</v>
      </c>
      <c r="GZ97" s="59">
        <f ca="1">AVERAGE(OFFSET($GY$3,0,0,'Données projet'!$E$18+1,1))-AVERAGE(OFFSET($H$3,0,0,'Données projet'!$E$18+1,1))</f>
        <v>199.58763537752952</v>
      </c>
      <c r="HA97" s="59">
        <f t="shared" si="106"/>
        <v>242.62852778451929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0</v>
      </c>
      <c r="HH97" s="21">
        <f>EXP(-LN(2)/25)*HH96+(1-EXP(-LN(2)/25))/(LN(2)/25)*Calculateur!HC97*Calculateur!HE97*VLOOKUP('Données projet'!$B$18,Paramètres!$A$1:$I$89,3,0)*0.475*44/12</f>
        <v>1.7437412971808328</v>
      </c>
      <c r="HI97" s="21">
        <f>EXP(-LN(2)/2)*HI96+(1-EXP(-LN(2)/2))/(LN(2)/2)*HC97*HF97*VLOOKUP('Données projet'!$B$18,Paramètres!$A$1:$I$89,3,0)*0.475*44/12</f>
        <v>2.5056205674121668E-9</v>
      </c>
      <c r="HJ97" s="22">
        <f t="shared" si="84"/>
        <v>1.7437412996864534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7.5871794871794922</v>
      </c>
      <c r="N98" s="13">
        <f>IF('Données projet'!$A$36&gt;35,N97+M98-V97,IF(A98&lt;'Données projet'!$A$36,$K$205^A98,IF(A98='Données projet'!$A$36,'Données projet'!$B$36,N97+M98-V97)))</f>
        <v>315.51282051282033</v>
      </c>
      <c r="O98" s="13">
        <f>N98*VLOOKUP('Données projet'!$B$9,Paramètres!$A$1:$I$89,3,0)*VLOOKUP('Données projet'!$B$9,Paramètres!$A$1:$I$89,5,0)</f>
        <v>285.47599999999983</v>
      </c>
      <c r="P98" s="13">
        <f t="shared" si="87"/>
        <v>68.122937389828735</v>
      </c>
      <c r="Q98" s="20">
        <f t="shared" si="54"/>
        <v>615.85148262061796</v>
      </c>
      <c r="R98" s="59">
        <f t="shared" si="55"/>
        <v>909.18481595395133</v>
      </c>
      <c r="S98" s="59">
        <f ca="1">AVERAGE(OFFSET($R$3,0,0,'Données projet'!$E$9+1,1))-AVERAGE(OFFSET($H$3,0,0,'Données projet'!$E$9+1,1))</f>
        <v>309.07357540707869</v>
      </c>
      <c r="T98" s="59">
        <f t="shared" si="88"/>
        <v>155.9593924683299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6.071794871794876</v>
      </c>
      <c r="AI98" s="13">
        <f>IF('Données projet'!$A$62&gt;35,AI97+AH98-AQ97,IF(A98&lt;'Données projet'!$A$62,$AF$205^A98,IF(A98='Données projet'!$A$62,'Données projet'!$B$62,AI97+AH98-AQ97)))</f>
        <v>225.07179487179476</v>
      </c>
      <c r="AJ98" s="13">
        <f>AI98*VLOOKUP('Données projet'!$B$10,Paramètres!$A$1:$I$89,3,0)*VLOOKUP('Données projet'!$B$10,Paramètres!$A$1:$I$89,5,0)</f>
        <v>203.64495999999991</v>
      </c>
      <c r="AK98" s="13">
        <f t="shared" si="89"/>
        <v>50.544375656527102</v>
      </c>
      <c r="AL98" s="20">
        <f t="shared" si="58"/>
        <v>442.71309293511786</v>
      </c>
      <c r="AM98" s="59">
        <f t="shared" si="59"/>
        <v>736.04642626845111</v>
      </c>
      <c r="AN98" s="59">
        <f ca="1">AVERAGE(OFFSET($AM$3,0,0,'Données projet'!$E$10+1,1))-AVERAGE(OFFSET($H$3,0,0,'Données projet'!$E$10+1,1))</f>
        <v>234.30804102916278</v>
      </c>
      <c r="AO98" s="59">
        <f t="shared" si="90"/>
        <v>91.137993288782411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469.12307692307689</v>
      </c>
      <c r="BB98" s="12">
        <f>VLOOKUP(A98,'Données projet'!$A$87:$I$107,9,0)</f>
        <v>11.242307692307691</v>
      </c>
      <c r="BC98" s="12">
        <f t="array" ref="BC98">INDEX(BB:BB,MIN(IF(ISNUMBER(BB98:BB294),ROW(BB98:BB294),"")))</f>
        <v>11.242307692307691</v>
      </c>
      <c r="BD98" s="12">
        <f>IF('Données projet'!$A$88&gt;35,BD97+BC98-BL97,IF(A98&lt;'Données projet'!$A$88,$BA$205^A98,IF(A98='Données projet'!$A$88,'Données projet'!$B$88,BD97+BC98-BL97)))</f>
        <v>469.12307692307712</v>
      </c>
      <c r="BE98" s="13">
        <f>BD98*VLOOKUP('Données projet'!$B$11,Paramètres!$A$1:$I$89,3,0)*VLOOKUP('Données projet'!$B$11,Paramètres!$A$1:$I$89,5,0)</f>
        <v>219.54960000000008</v>
      </c>
      <c r="BF98" s="13">
        <f t="shared" si="91"/>
        <v>54.016981833057052</v>
      </c>
      <c r="BG98" s="20">
        <f t="shared" si="61"/>
        <v>476.46179669257441</v>
      </c>
      <c r="BH98" s="59">
        <f t="shared" si="62"/>
        <v>769.79513002590772</v>
      </c>
      <c r="BI98" s="59">
        <f ca="1">AVERAGE(OFFSET($BH$3,0,0,'Données projet'!$E$11+1,1))-AVERAGE(OFFSET($H$3,0,0,'Données projet'!$E$11+1,1))</f>
        <v>158.58786357608489</v>
      </c>
      <c r="BJ98" s="59">
        <f t="shared" si="92"/>
        <v>163.20074068819849</v>
      </c>
      <c r="BK98" s="15">
        <f>IF(ISNA(VLOOKUP(A98,'Données projet'!$A$87:$I$107,3,0)),0,VLOOKUP(A98,'Données projet'!$A$87:$I$107,3,0))</f>
        <v>8</v>
      </c>
      <c r="BL98" s="15">
        <f>IF(ISNA(VLOOKUP(A98,'Données projet'!$A$87:$I$107,4,0)),0,VLOOKUP(A98,'Données projet'!$A$87:$I$107,4,0))</f>
        <v>234.42307692307691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8.7211538461538449</v>
      </c>
      <c r="BY98" s="12">
        <f>IF('Données projet'!$A$114&gt;35,BY97+BX98-CG97,IF(A98&lt;'Données projet'!$A$114,$BV$205^A98,IF(A98='Données projet'!$A$114,'Données projet'!$B$114,BY97+BX98-CG97)))</f>
        <v>380.83461538461546</v>
      </c>
      <c r="BZ98" s="13">
        <f>BY98*VLOOKUP('Données projet'!$B$12,Paramètres!$A$1:$I$89,3,0)*VLOOKUP('Données projet'!$B$12,Paramètres!$A$1:$I$89,5,0)</f>
        <v>178.23060000000004</v>
      </c>
      <c r="CA98" s="13">
        <f t="shared" si="93"/>
        <v>44.92830122304332</v>
      </c>
      <c r="CB98" s="20">
        <f t="shared" si="64"/>
        <v>388.66841963013377</v>
      </c>
      <c r="CC98" s="59">
        <f t="shared" si="65"/>
        <v>682.00175296346708</v>
      </c>
      <c r="CD98" s="59">
        <f ca="1">AVERAGE(OFFSET($CC$3,0,0,'Données projet'!$E$12+1,1))-AVERAGE(OFFSET($H$3,0,0,'Données projet'!$E$12+1,1))</f>
        <v>123.2823358462245</v>
      </c>
      <c r="CE98" s="59">
        <f t="shared" si="94"/>
        <v>92.75115399786057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-2.8421709430404007E-13</v>
      </c>
      <c r="CU98" s="17">
        <f>CT98*VLOOKUP('Données projet'!$B$13,Paramètres!$A$1:$I$89,3,0)*VLOOKUP('Données projet'!$B$13,Paramètres!$A$1:$I$89,5,0)</f>
        <v>-1.69961822393816E-13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179.32848817523677</v>
      </c>
      <c r="CZ98" s="59">
        <f t="shared" si="96"/>
        <v>131.3292389103035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2.1739022287081911</v>
      </c>
      <c r="DH98" s="21">
        <f>EXP(-LN(2)/2)*DH97+(1-EXP(-LN(2)/2))/(LN(2)/2)*DB98*DE98*VLOOKUP('Données projet'!$B$13,Paramètres!$A$1:$I$89,3,0)*0.475*44/12</f>
        <v>8.6645843115385467E-10</v>
      </c>
      <c r="DI98" s="22">
        <f t="shared" si="69"/>
        <v>2.1739022295746495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7.5871794871794922</v>
      </c>
      <c r="DO98" s="12">
        <f>IF('Données projet'!$A$166&gt;35,DO97+DN98-DW97,IF(A98&lt;'Données projet'!$A$166,$DL$205^A98,IF(A98='Données projet'!$A$166,'Données projet'!$B$166,DO97+DN98-DW97)))</f>
        <v>315.51282051282033</v>
      </c>
      <c r="DP98" s="17">
        <f>DO98*VLOOKUP('Données projet'!$B$14,Paramètres!$A$1:$I$89,3,0)*VLOOKUP('Données projet'!$B$14,Paramètres!$A$1:$I$89,5,0)</f>
        <v>305.16399999999982</v>
      </c>
      <c r="DQ98" s="13">
        <f t="shared" si="97"/>
        <v>72.257958572992621</v>
      </c>
      <c r="DR98" s="20">
        <f t="shared" si="70"/>
        <v>657.3432445146284</v>
      </c>
      <c r="DS98" s="59">
        <f t="shared" si="71"/>
        <v>950.67657784796165</v>
      </c>
      <c r="DT98" s="59">
        <f ca="1">AVERAGE(OFFSET($DS$3,0,0,'Données projet'!$E$14+1,1))-AVERAGE(OFFSET($H$3,0,0,'Données projet'!$E$14+1,1))</f>
        <v>340.4659523898373</v>
      </c>
      <c r="DU98" s="59">
        <f t="shared" si="98"/>
        <v>170.54530785680572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0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6.071794871794876</v>
      </c>
      <c r="EJ98" s="12">
        <f>IF('Données projet'!$A$192&gt;35,EJ97+EI98-ER97,IF(A98&lt;'Données projet'!$A$192,$EG$205^A98,IF(A98='Données projet'!$A$192,'Données projet'!$B$192,EJ97+EI98-ER97)))</f>
        <v>225.07179487179476</v>
      </c>
      <c r="EK98" s="17">
        <f>EJ98*VLOOKUP('Données projet'!$B$15,Paramètres!$A$1:$I$89,3,0)*VLOOKUP('Données projet'!$B$15,Paramètres!$A$1:$I$89,5,0)</f>
        <v>217.68943999999991</v>
      </c>
      <c r="EL98" s="13">
        <f t="shared" si="99"/>
        <v>53.612388752227012</v>
      </c>
      <c r="EM98" s="20">
        <f t="shared" si="73"/>
        <v>472.51735174346186</v>
      </c>
      <c r="EN98" s="59">
        <f t="shared" si="74"/>
        <v>765.85068507679512</v>
      </c>
      <c r="EO98" s="59">
        <f ca="1">AVERAGE(OFFSET($EN$3,0,0,'Données projet'!$E$15+1,1))-AVERAGE(OFFSET($H$3,0,0,'Données projet'!$E$15+1,1))</f>
        <v>262.20955982183017</v>
      </c>
      <c r="EP98" s="59">
        <f t="shared" si="100"/>
        <v>101.35842063036193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5.6843418860808015E-14</v>
      </c>
      <c r="FF98" s="17">
        <f>FE98*VLOOKUP('Données projet'!$B$16,Paramètres!$A$1:$I$89,3,0)*VLOOKUP('Données projet'!$B$16,Paramètres!$A$1:$I$89,5,0)</f>
        <v>4.5224624045658861E-14</v>
      </c>
      <c r="FG98" s="13">
        <f t="shared" si="101"/>
        <v>7.4514601661523691E-13</v>
      </c>
      <c r="FH98" s="20">
        <f t="shared" si="76"/>
        <v>1.3765621991510601E-12</v>
      </c>
      <c r="FI98" s="59">
        <f t="shared" si="77"/>
        <v>293.33333333333468</v>
      </c>
      <c r="FJ98" s="59">
        <f ca="1">AVERAGE(OFFSET($FI$3,0,0,'Données projet'!$E$16+1,1))-AVERAGE(OFFSET($H$3,0,0,'Données projet'!$E$16+1,1))</f>
        <v>199.58763537752952</v>
      </c>
      <c r="FK98" s="59">
        <f t="shared" si="102"/>
        <v>242.62852778451929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1.6960585997100535</v>
      </c>
      <c r="FS98" s="21">
        <f>EXP(-LN(2)/2)*FS97+(1-EXP(-LN(2)/2))/(LN(2)/2)*FM98*FP98*VLOOKUP('Données projet'!$B$16,Paramètres!$A$1:$I$89,3,0)*0.475*44/12</f>
        <v>1.7717412942976281E-9</v>
      </c>
      <c r="FT98" s="22">
        <f t="shared" si="78"/>
        <v>1.6960586014817947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5.6843418860808015E-14</v>
      </c>
      <c r="GA98" s="17">
        <f>FZ98*VLOOKUP('Données projet'!$B$17,Paramètres!$A$1:$I$89,3,0)*VLOOKUP('Données projet'!$B$17,Paramètres!$A$1:$I$89,5,0)</f>
        <v>4.1677594708744434E-14</v>
      </c>
      <c r="GB98" s="13">
        <f t="shared" si="103"/>
        <v>6.9326303456159188E-13</v>
      </c>
      <c r="GC98" s="20">
        <f t="shared" si="79"/>
        <v>1.2800215959791691E-12</v>
      </c>
      <c r="GD98" s="59">
        <f t="shared" si="80"/>
        <v>293.33333333333462</v>
      </c>
      <c r="GE98" s="59">
        <f ca="1">AVERAGE(OFFSET($GD$3,0,0,'Données projet'!$E$17+1,1))-AVERAGE(OFFSET($H$3,0,0,'Données projet'!$E$17+1,1))</f>
        <v>178.12968684094687</v>
      </c>
      <c r="GF98" s="59">
        <f t="shared" si="104"/>
        <v>219.36004077210373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1.268122245658164</v>
      </c>
      <c r="GN98" s="21">
        <f>EXP(-LN(2)/2)*GN97+(1-EXP(-LN(2)/2))/(LN(2)/2)*GH98*GK98*VLOOKUP('Données projet'!$B$17,Paramètres!$A$1:$I$89,3,0)*0.475*44/12</f>
        <v>1.6327811927840872E-9</v>
      </c>
      <c r="GO98" s="21">
        <f t="shared" si="81"/>
        <v>1.2681222472909452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5.6843418860808015E-14</v>
      </c>
      <c r="GV98" s="17">
        <f>GU98*VLOOKUP('Données projet'!$B$18,Paramètres!$A$1:$I$89,3,0)*VLOOKUP('Données projet'!$B$18,Paramètres!$A$1:$I$89,5,0)</f>
        <v>4.5224624045658861E-14</v>
      </c>
      <c r="GW98" s="13">
        <f t="shared" si="105"/>
        <v>7.4514601661523691E-13</v>
      </c>
      <c r="GX98" s="20">
        <f t="shared" si="82"/>
        <v>1.3765621991510601E-12</v>
      </c>
      <c r="GY98" s="59">
        <f t="shared" si="83"/>
        <v>293.33333333333468</v>
      </c>
      <c r="GZ98" s="59">
        <f ca="1">AVERAGE(OFFSET($GY$3,0,0,'Données projet'!$E$18+1,1))-AVERAGE(OFFSET($H$3,0,0,'Données projet'!$E$18+1,1))</f>
        <v>199.58763537752952</v>
      </c>
      <c r="HA98" s="59">
        <f t="shared" si="106"/>
        <v>242.62852778451929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0</v>
      </c>
      <c r="HH98" s="21">
        <f>EXP(-LN(2)/25)*HH97+(1-EXP(-LN(2)/25))/(LN(2)/25)*Calculateur!HC98*Calculateur!HE98*VLOOKUP('Données projet'!$B$18,Paramètres!$A$1:$I$89,3,0)*0.475*44/12</f>
        <v>1.6960585997100535</v>
      </c>
      <c r="HI98" s="21">
        <f>EXP(-LN(2)/2)*HI97+(1-EXP(-LN(2)/2))/(LN(2)/2)*HC98*HF98*VLOOKUP('Données projet'!$B$18,Paramètres!$A$1:$I$89,3,0)*0.475*44/12</f>
        <v>1.7717412942976281E-9</v>
      </c>
      <c r="HJ98" s="22">
        <f t="shared" si="84"/>
        <v>1.6960586014817947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7.5871794871794922</v>
      </c>
      <c r="N99" s="13">
        <f>IF('Données projet'!$A$36&gt;35,N98+M99-V98,IF(A99&lt;'Données projet'!$A$36,$K$205^A99,IF(A99='Données projet'!$A$36,'Données projet'!$B$36,N98+M99-V98)))</f>
        <v>323.0999999999998</v>
      </c>
      <c r="O99" s="13">
        <f>N99*VLOOKUP('Données projet'!$B$9,Paramètres!$A$1:$I$89,3,0)*VLOOKUP('Données projet'!$B$9,Paramètres!$A$1:$I$89,5,0)</f>
        <v>292.3408799999998</v>
      </c>
      <c r="P99" s="13">
        <f t="shared" si="87"/>
        <v>69.568408976210563</v>
      </c>
      <c r="Q99" s="20">
        <f t="shared" ref="Q99:Q130" si="107">(O99+P99)*0.475*44/12</f>
        <v>630.32534496689959</v>
      </c>
      <c r="R99" s="59">
        <f t="shared" si="55"/>
        <v>923.65867830023285</v>
      </c>
      <c r="S99" s="59">
        <f ca="1">AVERAGE(OFFSET($R$3,0,0,'Données projet'!$E$9+1,1))-AVERAGE(OFFSET($H$3,0,0,'Données projet'!$E$9+1,1))</f>
        <v>309.07357540707869</v>
      </c>
      <c r="T99" s="59">
        <f t="shared" si="88"/>
        <v>155.9593924683299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6.071794871794876</v>
      </c>
      <c r="AI99" s="13">
        <f>IF('Données projet'!$A$62&gt;35,AI98+AH99-AQ98,IF(A99&lt;'Données projet'!$A$62,$AF$205^A99,IF(A99='Données projet'!$A$62,'Données projet'!$B$62,AI98+AH99-AQ98)))</f>
        <v>231.14358974358964</v>
      </c>
      <c r="AJ99" s="13">
        <f>AI99*VLOOKUP('Données projet'!$B$10,Paramètres!$A$1:$I$89,3,0)*VLOOKUP('Données projet'!$B$10,Paramètres!$A$1:$I$89,5,0)</f>
        <v>209.13871999999992</v>
      </c>
      <c r="AK99" s="13">
        <f t="shared" si="89"/>
        <v>51.747329354497921</v>
      </c>
      <c r="AL99" s="20">
        <f t="shared" si="58"/>
        <v>454.3765359590837</v>
      </c>
      <c r="AM99" s="59">
        <f t="shared" si="59"/>
        <v>747.70986929241701</v>
      </c>
      <c r="AN99" s="59">
        <f ca="1">AVERAGE(OFFSET($AM$3,0,0,'Données projet'!$E$10+1,1))-AVERAGE(OFFSET($H$3,0,0,'Données projet'!$E$10+1,1))</f>
        <v>234.30804102916278</v>
      </c>
      <c r="AO99" s="59">
        <f t="shared" si="90"/>
        <v>91.137993288782411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7.5015384615384617</v>
      </c>
      <c r="BD99" s="12">
        <f>IF('Données projet'!$A$88&gt;35,BD98+BC99-BL98,IF(A99&lt;'Données projet'!$A$88,$BA$205^A99,IF(A99='Données projet'!$A$88,'Données projet'!$B$88,BD98+BC99-BL98)))</f>
        <v>242.20153846153869</v>
      </c>
      <c r="BE99" s="13">
        <f>BD99*VLOOKUP('Données projet'!$B$11,Paramètres!$A$1:$I$89,3,0)*VLOOKUP('Données projet'!$B$11,Paramètres!$A$1:$I$89,5,0)</f>
        <v>113.35032000000011</v>
      </c>
      <c r="BF99" s="13">
        <f t="shared" si="91"/>
        <v>30.118962463528121</v>
      </c>
      <c r="BG99" s="20">
        <f t="shared" si="61"/>
        <v>249.87566695731167</v>
      </c>
      <c r="BH99" s="59">
        <f t="shared" si="62"/>
        <v>543.20900029064501</v>
      </c>
      <c r="BI99" s="59">
        <f ca="1">AVERAGE(OFFSET($BH$3,0,0,'Données projet'!$E$11+1,1))-AVERAGE(OFFSET($H$3,0,0,'Données projet'!$E$11+1,1))</f>
        <v>158.58786357608489</v>
      </c>
      <c r="BJ99" s="59">
        <f t="shared" si="92"/>
        <v>163.20074068819849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8.7211538461538449</v>
      </c>
      <c r="BY99" s="12">
        <f>IF('Données projet'!$A$114&gt;35,BY98+BX99-CG98,IF(A99&lt;'Données projet'!$A$114,$BV$205^A99,IF(A99='Données projet'!$A$114,'Données projet'!$B$114,BY98+BX99-CG98)))</f>
        <v>389.55576923076933</v>
      </c>
      <c r="BZ99" s="13">
        <f>BY99*VLOOKUP('Données projet'!$B$12,Paramètres!$A$1:$I$89,3,0)*VLOOKUP('Données projet'!$B$12,Paramètres!$A$1:$I$89,5,0)</f>
        <v>182.31210000000004</v>
      </c>
      <c r="CA99" s="13">
        <f t="shared" si="93"/>
        <v>45.836203090068075</v>
      </c>
      <c r="CB99" s="20">
        <f t="shared" si="64"/>
        <v>397.3582945485353</v>
      </c>
      <c r="CC99" s="59">
        <f t="shared" si="65"/>
        <v>690.69162788186861</v>
      </c>
      <c r="CD99" s="59">
        <f ca="1">AVERAGE(OFFSET($CC$3,0,0,'Données projet'!$E$12+1,1))-AVERAGE(OFFSET($H$3,0,0,'Données projet'!$E$12+1,1))</f>
        <v>123.2823358462245</v>
      </c>
      <c r="CE99" s="59">
        <f t="shared" si="94"/>
        <v>92.75115399786057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-2.8421709430404007E-13</v>
      </c>
      <c r="CU99" s="17">
        <f>CT99*VLOOKUP('Données projet'!$B$13,Paramètres!$A$1:$I$89,3,0)*VLOOKUP('Données projet'!$B$13,Paramètres!$A$1:$I$89,5,0)</f>
        <v>-1.69961822393816E-13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179.32848817523677</v>
      </c>
      <c r="CZ99" s="59">
        <f t="shared" si="96"/>
        <v>131.3292389103035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2.114456757943616</v>
      </c>
      <c r="DH99" s="21">
        <f>EXP(-LN(2)/2)*DH98+(1-EXP(-LN(2)/2))/(LN(2)/2)*DB99*DE99*VLOOKUP('Données projet'!$B$13,Paramètres!$A$1:$I$89,3,0)*0.475*44/12</f>
        <v>6.1267863228514796E-10</v>
      </c>
      <c r="DI99" s="22">
        <f t="shared" si="69"/>
        <v>2.1144567585562948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7.5871794871794922</v>
      </c>
      <c r="DO99" s="12">
        <f>IF('Données projet'!$A$166&gt;35,DO98+DN99-DW98,IF(A99&lt;'Données projet'!$A$166,$DL$205^A99,IF(A99='Données projet'!$A$166,'Données projet'!$B$166,DO98+DN99-DW98)))</f>
        <v>323.0999999999998</v>
      </c>
      <c r="DP99" s="17">
        <f>DO99*VLOOKUP('Données projet'!$B$14,Paramètres!$A$1:$I$89,3,0)*VLOOKUP('Données projet'!$B$14,Paramètres!$A$1:$I$89,5,0)</f>
        <v>312.50231999999977</v>
      </c>
      <c r="DQ99" s="13">
        <f t="shared" si="97"/>
        <v>73.791169412236613</v>
      </c>
      <c r="DR99" s="20">
        <f t="shared" si="70"/>
        <v>672.79449405964499</v>
      </c>
      <c r="DS99" s="59">
        <f t="shared" si="71"/>
        <v>966.12782739297836</v>
      </c>
      <c r="DT99" s="59">
        <f ca="1">AVERAGE(OFFSET($DS$3,0,0,'Données projet'!$E$14+1,1))-AVERAGE(OFFSET($H$3,0,0,'Données projet'!$E$14+1,1))</f>
        <v>340.4659523898373</v>
      </c>
      <c r="DU99" s="59">
        <f t="shared" si="98"/>
        <v>170.54530785680572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0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6.071794871794876</v>
      </c>
      <c r="EJ99" s="12">
        <f>IF('Données projet'!$A$192&gt;35,EJ98+EI99-ER98,IF(A99&lt;'Données projet'!$A$192,$EG$205^A99,IF(A99='Données projet'!$A$192,'Données projet'!$B$192,EJ98+EI99-ER98)))</f>
        <v>231.14358974358964</v>
      </c>
      <c r="EK99" s="17">
        <f>EJ99*VLOOKUP('Données projet'!$B$15,Paramètres!$A$1:$I$89,3,0)*VLOOKUP('Données projet'!$B$15,Paramètres!$A$1:$I$89,5,0)</f>
        <v>223.56207999999992</v>
      </c>
      <c r="EL99" s="13">
        <f t="shared" si="99"/>
        <v>54.888361013607728</v>
      </c>
      <c r="EM99" s="20">
        <f t="shared" si="73"/>
        <v>484.96785143203329</v>
      </c>
      <c r="EN99" s="59">
        <f t="shared" si="74"/>
        <v>778.30118476536654</v>
      </c>
      <c r="EO99" s="59">
        <f ca="1">AVERAGE(OFFSET($EN$3,0,0,'Données projet'!$E$15+1,1))-AVERAGE(OFFSET($H$3,0,0,'Données projet'!$E$15+1,1))</f>
        <v>262.20955982183017</v>
      </c>
      <c r="EP99" s="59">
        <f t="shared" si="100"/>
        <v>101.35842063036193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5.6843418860808015E-14</v>
      </c>
      <c r="FF99" s="17">
        <f>FE99*VLOOKUP('Données projet'!$B$16,Paramètres!$A$1:$I$89,3,0)*VLOOKUP('Données projet'!$B$16,Paramètres!$A$1:$I$89,5,0)</f>
        <v>4.5224624045658861E-14</v>
      </c>
      <c r="FG99" s="13">
        <f t="shared" si="101"/>
        <v>7.4514601661523691E-13</v>
      </c>
      <c r="FH99" s="20">
        <f t="shared" si="76"/>
        <v>1.3765621991510601E-12</v>
      </c>
      <c r="FI99" s="59">
        <f t="shared" si="77"/>
        <v>293.33333333333468</v>
      </c>
      <c r="FJ99" s="59">
        <f ca="1">AVERAGE(OFFSET($FI$3,0,0,'Données projet'!$E$16+1,1))-AVERAGE(OFFSET($H$3,0,0,'Données projet'!$E$16+1,1))</f>
        <v>199.58763537752952</v>
      </c>
      <c r="FK99" s="59">
        <f t="shared" si="102"/>
        <v>242.62852778451929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1.6496797881091367</v>
      </c>
      <c r="FS99" s="21">
        <f>EXP(-LN(2)/2)*FS98+(1-EXP(-LN(2)/2))/(LN(2)/2)*FM99*FP99*VLOOKUP('Données projet'!$B$16,Paramètres!$A$1:$I$89,3,0)*0.475*44/12</f>
        <v>1.2528102837060834E-9</v>
      </c>
      <c r="FT99" s="22">
        <f t="shared" si="78"/>
        <v>1.649679789361947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5.6843418860808015E-14</v>
      </c>
      <c r="GA99" s="17">
        <f>FZ99*VLOOKUP('Données projet'!$B$17,Paramètres!$A$1:$I$89,3,0)*VLOOKUP('Données projet'!$B$17,Paramètres!$A$1:$I$89,5,0)</f>
        <v>4.1677594708744434E-14</v>
      </c>
      <c r="GB99" s="13">
        <f t="shared" si="103"/>
        <v>6.9326303456159188E-13</v>
      </c>
      <c r="GC99" s="20">
        <f t="shared" si="79"/>
        <v>1.2800215959791691E-12</v>
      </c>
      <c r="GD99" s="59">
        <f t="shared" si="80"/>
        <v>293.33333333333462</v>
      </c>
      <c r="GE99" s="59">
        <f ca="1">AVERAGE(OFFSET($GD$3,0,0,'Données projet'!$E$17+1,1))-AVERAGE(OFFSET($H$3,0,0,'Données projet'!$E$17+1,1))</f>
        <v>178.12968684094687</v>
      </c>
      <c r="GF99" s="59">
        <f t="shared" si="104"/>
        <v>219.36004077210373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1.2334453761629909</v>
      </c>
      <c r="GN99" s="21">
        <f>EXP(-LN(2)/2)*GN98+(1-EXP(-LN(2)/2))/(LN(2)/2)*GH99*GK99*VLOOKUP('Données projet'!$B$17,Paramètres!$A$1:$I$89,3,0)*0.475*44/12</f>
        <v>1.1545506536114876E-9</v>
      </c>
      <c r="GO99" s="21">
        <f t="shared" si="81"/>
        <v>1.2334453773175416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5.6843418860808015E-14</v>
      </c>
      <c r="GV99" s="17">
        <f>GU99*VLOOKUP('Données projet'!$B$18,Paramètres!$A$1:$I$89,3,0)*VLOOKUP('Données projet'!$B$18,Paramètres!$A$1:$I$89,5,0)</f>
        <v>4.5224624045658861E-14</v>
      </c>
      <c r="GW99" s="13">
        <f t="shared" si="105"/>
        <v>7.4514601661523691E-13</v>
      </c>
      <c r="GX99" s="20">
        <f t="shared" si="82"/>
        <v>1.3765621991510601E-12</v>
      </c>
      <c r="GY99" s="59">
        <f t="shared" si="83"/>
        <v>293.33333333333468</v>
      </c>
      <c r="GZ99" s="59">
        <f ca="1">AVERAGE(OFFSET($GY$3,0,0,'Données projet'!$E$18+1,1))-AVERAGE(OFFSET($H$3,0,0,'Données projet'!$E$18+1,1))</f>
        <v>199.58763537752952</v>
      </c>
      <c r="HA99" s="59">
        <f t="shared" si="106"/>
        <v>242.62852778451929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0</v>
      </c>
      <c r="HH99" s="21">
        <f>EXP(-LN(2)/25)*HH98+(1-EXP(-LN(2)/25))/(LN(2)/25)*Calculateur!HC99*Calculateur!HE99*VLOOKUP('Données projet'!$B$18,Paramètres!$A$1:$I$89,3,0)*0.475*44/12</f>
        <v>1.6496797881091367</v>
      </c>
      <c r="HI99" s="21">
        <f>EXP(-LN(2)/2)*HI98+(1-EXP(-LN(2)/2))/(LN(2)/2)*HC99*HF99*VLOOKUP('Données projet'!$B$18,Paramètres!$A$1:$I$89,3,0)*0.475*44/12</f>
        <v>1.2528102837060834E-9</v>
      </c>
      <c r="HJ99" s="22">
        <f t="shared" si="84"/>
        <v>1.649679789361947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7.5871794871794922</v>
      </c>
      <c r="N100" s="13">
        <f>IF('Données projet'!$A$36&gt;35,N99+M100-V99,IF(A100&lt;'Données projet'!$A$36,$K$205^A100,IF(A100='Données projet'!$A$36,'Données projet'!$B$36,N99+M100-V99)))</f>
        <v>330.68717948717926</v>
      </c>
      <c r="O100" s="13">
        <f>N100*VLOOKUP('Données projet'!$B$9,Paramètres!$A$1:$I$89,3,0)*VLOOKUP('Données projet'!$B$9,Paramètres!$A$1:$I$89,5,0)</f>
        <v>299.20575999999983</v>
      </c>
      <c r="P100" s="13">
        <f t="shared" si="87"/>
        <v>71.009934584041005</v>
      </c>
      <c r="Q100" s="20">
        <f t="shared" si="107"/>
        <v>644.79233473387114</v>
      </c>
      <c r="R100" s="59">
        <f t="shared" si="55"/>
        <v>938.12566806720451</v>
      </c>
      <c r="S100" s="59">
        <f ca="1">AVERAGE(OFFSET($R$3,0,0,'Données projet'!$E$9+1,1))-AVERAGE(OFFSET($H$3,0,0,'Données projet'!$E$9+1,1))</f>
        <v>309.07357540707869</v>
      </c>
      <c r="T100" s="59">
        <f t="shared" si="88"/>
        <v>155.9593924683299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6.071794871794876</v>
      </c>
      <c r="AI100" s="13">
        <f>IF('Données projet'!$A$62&gt;35,AI99+AH100-AQ99,IF(A100&lt;'Données projet'!$A$62,$AF$205^A100,IF(A100='Données projet'!$A$62,'Données projet'!$B$62,AI99+AH100-AQ99)))</f>
        <v>237.21538461538452</v>
      </c>
      <c r="AJ100" s="13">
        <f>AI100*VLOOKUP('Données projet'!$B$10,Paramètres!$A$1:$I$89,3,0)*VLOOKUP('Données projet'!$B$10,Paramètres!$A$1:$I$89,5,0)</f>
        <v>214.63247999999993</v>
      </c>
      <c r="AK100" s="13">
        <f t="shared" si="89"/>
        <v>52.946610008544852</v>
      </c>
      <c r="AL100" s="20">
        <f t="shared" si="58"/>
        <v>466.03358176488206</v>
      </c>
      <c r="AM100" s="59">
        <f t="shared" si="59"/>
        <v>759.36691509821537</v>
      </c>
      <c r="AN100" s="59">
        <f ca="1">AVERAGE(OFFSET($AM$3,0,0,'Données projet'!$E$10+1,1))-AVERAGE(OFFSET($H$3,0,0,'Données projet'!$E$10+1,1))</f>
        <v>234.30804102916278</v>
      </c>
      <c r="AO100" s="59">
        <f t="shared" si="90"/>
        <v>91.137993288782411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7.5015384615384617</v>
      </c>
      <c r="BD100" s="12">
        <f>IF('Données projet'!$A$88&gt;35,BD99+BC100-BL99,IF(A100&lt;'Données projet'!$A$88,$BA$205^A100,IF(A100='Données projet'!$A$88,'Données projet'!$B$88,BD99+BC100-BL99)))</f>
        <v>249.70307692307716</v>
      </c>
      <c r="BE100" s="13">
        <f>BD100*VLOOKUP('Données projet'!$B$11,Paramètres!$A$1:$I$89,3,0)*VLOOKUP('Données projet'!$B$11,Paramètres!$A$1:$I$89,5,0)</f>
        <v>116.86104000000012</v>
      </c>
      <c r="BF100" s="13">
        <f t="shared" si="91"/>
        <v>30.941762857231797</v>
      </c>
      <c r="BG100" s="20">
        <f t="shared" si="61"/>
        <v>257.42321497634555</v>
      </c>
      <c r="BH100" s="59">
        <f t="shared" si="62"/>
        <v>550.75654830967892</v>
      </c>
      <c r="BI100" s="59">
        <f ca="1">AVERAGE(OFFSET($BH$3,0,0,'Données projet'!$E$11+1,1))-AVERAGE(OFFSET($H$3,0,0,'Données projet'!$E$11+1,1))</f>
        <v>158.58786357608489</v>
      </c>
      <c r="BJ100" s="59">
        <f t="shared" si="92"/>
        <v>163.20074068819849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>
        <f>VLOOKUP(A100,'Données projet'!$A$113:$I$133,2,0)</f>
        <v>398.27692307692308</v>
      </c>
      <c r="BW100" s="12">
        <f>VLOOKUP(A100,'Données projet'!$A$113:$I$133,9,0)</f>
        <v>8.7211538461538449</v>
      </c>
      <c r="BX100" s="12">
        <f t="array" ref="BX100">INDEX(BW:BW,MIN(IF(ISNUMBER(BW100:BW296),ROW(BW100:BW296),"")))</f>
        <v>8.7211538461538449</v>
      </c>
      <c r="BY100" s="12">
        <f>IF('Données projet'!$A$114&gt;35,BY99+BX100-CG99,IF(A100&lt;'Données projet'!$A$114,$BV$205^A100,IF(A100='Données projet'!$A$114,'Données projet'!$B$114,BY99+BX100-CG99)))</f>
        <v>398.2769230769232</v>
      </c>
      <c r="BZ100" s="13">
        <f>BY100*VLOOKUP('Données projet'!$B$12,Paramètres!$A$1:$I$89,3,0)*VLOOKUP('Données projet'!$B$12,Paramètres!$A$1:$I$89,5,0)</f>
        <v>186.39360000000008</v>
      </c>
      <c r="CA100" s="13">
        <f t="shared" si="93"/>
        <v>46.741741929451358</v>
      </c>
      <c r="CB100" s="20">
        <f t="shared" si="64"/>
        <v>406.04405386046125</v>
      </c>
      <c r="CC100" s="59">
        <f t="shared" si="65"/>
        <v>699.37738719379456</v>
      </c>
      <c r="CD100" s="59">
        <f ca="1">AVERAGE(OFFSET($CC$3,0,0,'Données projet'!$E$12+1,1))-AVERAGE(OFFSET($H$3,0,0,'Données projet'!$E$12+1,1))</f>
        <v>123.2823358462245</v>
      </c>
      <c r="CE100" s="59">
        <f t="shared" si="94"/>
        <v>92.75115399786057</v>
      </c>
      <c r="CF100" s="15">
        <f>IF(ISNA(VLOOKUP(A100,'Données projet'!$A$113:$I$133,3,0)),0,VLOOKUP(A100,'Données projet'!$A$113:$I$133,3,0))</f>
        <v>5</v>
      </c>
      <c r="CG100" s="15">
        <f>IF(ISNA(VLOOKUP(A100,'Données projet'!$A$113:$I$133,4,0)),0,VLOOKUP(A100,'Données projet'!$A$113:$I$133,4,0))</f>
        <v>79.669230769230765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-2.8421709430404007E-13</v>
      </c>
      <c r="CU100" s="17">
        <f>CT100*VLOOKUP('Données projet'!$B$13,Paramètres!$A$1:$I$89,3,0)*VLOOKUP('Données projet'!$B$13,Paramètres!$A$1:$I$89,5,0)</f>
        <v>-1.69961822393816E-13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179.32848817523677</v>
      </c>
      <c r="CZ100" s="59">
        <f t="shared" si="96"/>
        <v>131.3292389103035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2.0566368267031994</v>
      </c>
      <c r="DH100" s="21">
        <f>EXP(-LN(2)/2)*DH99+(1-EXP(-LN(2)/2))/(LN(2)/2)*DB100*DE100*VLOOKUP('Données projet'!$B$13,Paramètres!$A$1:$I$89,3,0)*0.475*44/12</f>
        <v>4.3322921557692733E-10</v>
      </c>
      <c r="DI100" s="22">
        <f t="shared" si="69"/>
        <v>2.0566368271364284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7.5871794871794922</v>
      </c>
      <c r="DO100" s="12">
        <f>IF('Données projet'!$A$166&gt;35,DO99+DN100-DW99,IF(A100&lt;'Données projet'!$A$166,$DL$205^A100,IF(A100='Données projet'!$A$166,'Données projet'!$B$166,DO99+DN100-DW99)))</f>
        <v>330.68717948717926</v>
      </c>
      <c r="DP100" s="17">
        <f>DO100*VLOOKUP('Données projet'!$B$14,Paramètres!$A$1:$I$89,3,0)*VLOOKUP('Données projet'!$B$14,Paramètres!$A$1:$I$89,5,0)</f>
        <v>319.84063999999984</v>
      </c>
      <c r="DQ100" s="13">
        <f t="shared" si="97"/>
        <v>75.320194754412668</v>
      </c>
      <c r="DR100" s="20">
        <f t="shared" si="70"/>
        <v>688.23845386393521</v>
      </c>
      <c r="DS100" s="59">
        <f t="shared" si="71"/>
        <v>981.57178719726858</v>
      </c>
      <c r="DT100" s="59">
        <f ca="1">AVERAGE(OFFSET($DS$3,0,0,'Données projet'!$E$14+1,1))-AVERAGE(OFFSET($H$3,0,0,'Données projet'!$E$14+1,1))</f>
        <v>340.4659523898373</v>
      </c>
      <c r="DU100" s="59">
        <f t="shared" si="98"/>
        <v>170.54530785680572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0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6.071794871794876</v>
      </c>
      <c r="EJ100" s="12">
        <f>IF('Données projet'!$A$192&gt;35,EJ99+EI100-ER99,IF(A100&lt;'Données projet'!$A$192,$EG$205^A100,IF(A100='Données projet'!$A$192,'Données projet'!$B$192,EJ99+EI100-ER99)))</f>
        <v>237.21538461538452</v>
      </c>
      <c r="EK100" s="17">
        <f>EJ100*VLOOKUP('Données projet'!$B$15,Paramètres!$A$1:$I$89,3,0)*VLOOKUP('Données projet'!$B$15,Paramètres!$A$1:$I$89,5,0)</f>
        <v>229.43471999999988</v>
      </c>
      <c r="EL100" s="13">
        <f t="shared" si="99"/>
        <v>56.160437279515442</v>
      </c>
      <c r="EM100" s="20">
        <f t="shared" si="73"/>
        <v>497.41156559515588</v>
      </c>
      <c r="EN100" s="59">
        <f t="shared" si="74"/>
        <v>790.74489892848919</v>
      </c>
      <c r="EO100" s="59">
        <f ca="1">AVERAGE(OFFSET($EN$3,0,0,'Données projet'!$E$15+1,1))-AVERAGE(OFFSET($H$3,0,0,'Données projet'!$E$15+1,1))</f>
        <v>262.20955982183017</v>
      </c>
      <c r="EP100" s="59">
        <f t="shared" si="100"/>
        <v>101.35842063036193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5.6843418860808015E-14</v>
      </c>
      <c r="FF100" s="17">
        <f>FE100*VLOOKUP('Données projet'!$B$16,Paramètres!$A$1:$I$89,3,0)*VLOOKUP('Données projet'!$B$16,Paramètres!$A$1:$I$89,5,0)</f>
        <v>4.5224624045658861E-14</v>
      </c>
      <c r="FG100" s="13">
        <f t="shared" si="101"/>
        <v>7.4514601661523691E-13</v>
      </c>
      <c r="FH100" s="20">
        <f t="shared" si="76"/>
        <v>1.3765621991510601E-12</v>
      </c>
      <c r="FI100" s="59">
        <f t="shared" si="77"/>
        <v>293.33333333333468</v>
      </c>
      <c r="FJ100" s="59">
        <f ca="1">AVERAGE(OFFSET($FI$3,0,0,'Données projet'!$E$16+1,1))-AVERAGE(OFFSET($H$3,0,0,'Données projet'!$E$16+1,1))</f>
        <v>199.58763537752952</v>
      </c>
      <c r="FK100" s="59">
        <f t="shared" si="102"/>
        <v>242.62852778451929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1.6045692075504028</v>
      </c>
      <c r="FS100" s="21">
        <f>EXP(-LN(2)/2)*FS99+(1-EXP(-LN(2)/2))/(LN(2)/2)*FM100*FP100*VLOOKUP('Données projet'!$B$16,Paramètres!$A$1:$I$89,3,0)*0.475*44/12</f>
        <v>8.8587064714881406E-10</v>
      </c>
      <c r="FT100" s="22">
        <f t="shared" si="78"/>
        <v>1.6045692084362735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5.6843418860808015E-14</v>
      </c>
      <c r="GA100" s="17">
        <f>FZ100*VLOOKUP('Données projet'!$B$17,Paramètres!$A$1:$I$89,3,0)*VLOOKUP('Données projet'!$B$17,Paramètres!$A$1:$I$89,5,0)</f>
        <v>4.1677594708744434E-14</v>
      </c>
      <c r="GB100" s="13">
        <f t="shared" si="103"/>
        <v>6.9326303456159188E-13</v>
      </c>
      <c r="GC100" s="20">
        <f t="shared" si="79"/>
        <v>1.2800215959791691E-12</v>
      </c>
      <c r="GD100" s="59">
        <f t="shared" si="80"/>
        <v>293.33333333333462</v>
      </c>
      <c r="GE100" s="59">
        <f ca="1">AVERAGE(OFFSET($GD$3,0,0,'Données projet'!$E$17+1,1))-AVERAGE(OFFSET($H$3,0,0,'Données projet'!$E$17+1,1))</f>
        <v>178.12968684094687</v>
      </c>
      <c r="GF100" s="59">
        <f t="shared" si="104"/>
        <v>219.36004077210373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1.1997167474877406</v>
      </c>
      <c r="GN100" s="21">
        <f>EXP(-LN(2)/2)*GN99+(1-EXP(-LN(2)/2))/(LN(2)/2)*GH100*GK100*VLOOKUP('Données projet'!$B$17,Paramètres!$A$1:$I$89,3,0)*0.475*44/12</f>
        <v>8.1639059639204361E-10</v>
      </c>
      <c r="GO100" s="21">
        <f t="shared" si="81"/>
        <v>1.1997167483041311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5.6843418860808015E-14</v>
      </c>
      <c r="GV100" s="17">
        <f>GU100*VLOOKUP('Données projet'!$B$18,Paramètres!$A$1:$I$89,3,0)*VLOOKUP('Données projet'!$B$18,Paramètres!$A$1:$I$89,5,0)</f>
        <v>4.5224624045658861E-14</v>
      </c>
      <c r="GW100" s="13">
        <f t="shared" si="105"/>
        <v>7.4514601661523691E-13</v>
      </c>
      <c r="GX100" s="20">
        <f t="shared" si="82"/>
        <v>1.3765621991510601E-12</v>
      </c>
      <c r="GY100" s="59">
        <f t="shared" si="83"/>
        <v>293.33333333333468</v>
      </c>
      <c r="GZ100" s="59">
        <f ca="1">AVERAGE(OFFSET($GY$3,0,0,'Données projet'!$E$18+1,1))-AVERAGE(OFFSET($H$3,0,0,'Données projet'!$E$18+1,1))</f>
        <v>199.58763537752952</v>
      </c>
      <c r="HA100" s="59">
        <f t="shared" si="106"/>
        <v>242.62852778451929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0</v>
      </c>
      <c r="HH100" s="21">
        <f>EXP(-LN(2)/25)*HH99+(1-EXP(-LN(2)/25))/(LN(2)/25)*Calculateur!HC100*Calculateur!HE100*VLOOKUP('Données projet'!$B$18,Paramètres!$A$1:$I$89,3,0)*0.475*44/12</f>
        <v>1.6045692075504028</v>
      </c>
      <c r="HI100" s="21">
        <f>EXP(-LN(2)/2)*HI99+(1-EXP(-LN(2)/2))/(LN(2)/2)*HC100*HF100*VLOOKUP('Données projet'!$B$18,Paramètres!$A$1:$I$89,3,0)*0.475*44/12</f>
        <v>8.8587064714881406E-10</v>
      </c>
      <c r="HJ100" s="22">
        <f t="shared" si="84"/>
        <v>1.6045692084362735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7.5871794871794922</v>
      </c>
      <c r="N101" s="13">
        <f>IF('Données projet'!$A$36&gt;35,N100+M101-V100,IF(A101&lt;'Données projet'!$A$36,$K$205^A101,IF(A101='Données projet'!$A$36,'Données projet'!$B$36,N100+M101-V100)))</f>
        <v>338.27435897435873</v>
      </c>
      <c r="O101" s="13">
        <f>N101*VLOOKUP('Données projet'!$B$9,Paramètres!$A$1:$I$89,3,0)*VLOOKUP('Données projet'!$B$9,Paramètres!$A$1:$I$89,5,0)</f>
        <v>306.0706399999998</v>
      </c>
      <c r="P101" s="13">
        <f t="shared" si="87"/>
        <v>72.44761516993232</v>
      </c>
      <c r="Q101" s="20">
        <f t="shared" si="107"/>
        <v>659.25262775429837</v>
      </c>
      <c r="R101" s="59">
        <f t="shared" si="55"/>
        <v>952.58596108763163</v>
      </c>
      <c r="S101" s="59">
        <f ca="1">AVERAGE(OFFSET($R$3,0,0,'Données projet'!$E$9+1,1))-AVERAGE(OFFSET($H$3,0,0,'Données projet'!$E$9+1,1))</f>
        <v>309.07357540707869</v>
      </c>
      <c r="T101" s="59">
        <f t="shared" si="88"/>
        <v>155.9593924683299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6.071794871794876</v>
      </c>
      <c r="AI101" s="13">
        <f>IF('Données projet'!$A$62&gt;35,AI100+AH101-AQ100,IF(A101&lt;'Données projet'!$A$62,$AF$205^A101,IF(A101='Données projet'!$A$62,'Données projet'!$B$62,AI100+AH101-AQ100)))</f>
        <v>243.2871794871794</v>
      </c>
      <c r="AJ101" s="13">
        <f>AI101*VLOOKUP('Données projet'!$B$10,Paramètres!$A$1:$I$89,3,0)*VLOOKUP('Données projet'!$B$10,Paramètres!$A$1:$I$89,5,0)</f>
        <v>220.12623999999994</v>
      </c>
      <c r="AK101" s="13">
        <f t="shared" si="89"/>
        <v>54.142322444750825</v>
      </c>
      <c r="AL101" s="20">
        <f t="shared" si="58"/>
        <v>477.68441292460761</v>
      </c>
      <c r="AM101" s="59">
        <f t="shared" si="59"/>
        <v>771.01774625794087</v>
      </c>
      <c r="AN101" s="59">
        <f ca="1">AVERAGE(OFFSET($AM$3,0,0,'Données projet'!$E$10+1,1))-AVERAGE(OFFSET($H$3,0,0,'Données projet'!$E$10+1,1))</f>
        <v>234.30804102916278</v>
      </c>
      <c r="AO101" s="59">
        <f t="shared" si="90"/>
        <v>91.137993288782411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7.5015384615384617</v>
      </c>
      <c r="BD101" s="12">
        <f>IF('Données projet'!$A$88&gt;35,BD100+BC101-BL100,IF(A101&lt;'Données projet'!$A$88,$BA$205^A101,IF(A101='Données projet'!$A$88,'Données projet'!$B$88,BD100+BC101-BL100)))</f>
        <v>257.20461538461564</v>
      </c>
      <c r="BE101" s="13">
        <f>BD101*VLOOKUP('Données projet'!$B$11,Paramètres!$A$1:$I$89,3,0)*VLOOKUP('Données projet'!$B$11,Paramètres!$A$1:$I$89,5,0)</f>
        <v>120.37176000000012</v>
      </c>
      <c r="BF101" s="13">
        <f t="shared" si="91"/>
        <v>31.761690593555869</v>
      </c>
      <c r="BG101" s="20">
        <f t="shared" si="61"/>
        <v>264.96575978377672</v>
      </c>
      <c r="BH101" s="59">
        <f t="shared" si="62"/>
        <v>558.29909311711003</v>
      </c>
      <c r="BI101" s="59">
        <f ca="1">AVERAGE(OFFSET($BH$3,0,0,'Données projet'!$E$11+1,1))-AVERAGE(OFFSET($H$3,0,0,'Données projet'!$E$11+1,1))</f>
        <v>158.58786357608489</v>
      </c>
      <c r="BJ101" s="59">
        <f t="shared" si="92"/>
        <v>163.20074068819849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7.882692307692305</v>
      </c>
      <c r="BY101" s="12">
        <f>IF('Données projet'!$A$114&gt;35,BY100+BX101-CG100,IF(A101&lt;'Données projet'!$A$114,$BV$205^A101,IF(A101='Données projet'!$A$114,'Données projet'!$B$114,BY100+BX101-CG100)))</f>
        <v>326.49038461538476</v>
      </c>
      <c r="BZ101" s="13">
        <f>BY101*VLOOKUP('Données projet'!$B$12,Paramètres!$A$1:$I$89,3,0)*VLOOKUP('Données projet'!$B$12,Paramètres!$A$1:$I$89,5,0)</f>
        <v>152.79750000000007</v>
      </c>
      <c r="CA101" s="13">
        <f t="shared" si="93"/>
        <v>39.213642223408904</v>
      </c>
      <c r="CB101" s="20">
        <f t="shared" si="64"/>
        <v>334.41940603910399</v>
      </c>
      <c r="CC101" s="59">
        <f t="shared" si="65"/>
        <v>627.7527393724373</v>
      </c>
      <c r="CD101" s="59">
        <f ca="1">AVERAGE(OFFSET($CC$3,0,0,'Données projet'!$E$12+1,1))-AVERAGE(OFFSET($H$3,0,0,'Données projet'!$E$12+1,1))</f>
        <v>123.2823358462245</v>
      </c>
      <c r="CE101" s="59">
        <f t="shared" si="94"/>
        <v>92.75115399786057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-2.8421709430404007E-13</v>
      </c>
      <c r="CU101" s="17">
        <f>CT101*VLOOKUP('Données projet'!$B$13,Paramètres!$A$1:$I$89,3,0)*VLOOKUP('Données projet'!$B$13,Paramètres!$A$1:$I$89,5,0)</f>
        <v>-1.69961822393816E-13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179.32848817523677</v>
      </c>
      <c r="CZ101" s="59">
        <f t="shared" si="96"/>
        <v>131.3292389103035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2.0003979845231701</v>
      </c>
      <c r="DH101" s="21">
        <f>EXP(-LN(2)/2)*DH100+(1-EXP(-LN(2)/2))/(LN(2)/2)*DB101*DE101*VLOOKUP('Données projet'!$B$13,Paramètres!$A$1:$I$89,3,0)*0.475*44/12</f>
        <v>3.0633931614257398E-10</v>
      </c>
      <c r="DI101" s="22">
        <f t="shared" si="69"/>
        <v>2.0003979848295095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7.5871794871794922</v>
      </c>
      <c r="DO101" s="12">
        <f>IF('Données projet'!$A$166&gt;35,DO100+DN101-DW100,IF(A101&lt;'Données projet'!$A$166,$DL$205^A101,IF(A101='Données projet'!$A$166,'Données projet'!$B$166,DO100+DN101-DW100)))</f>
        <v>338.27435897435873</v>
      </c>
      <c r="DP101" s="17">
        <f>DO101*VLOOKUP('Données projet'!$B$14,Paramètres!$A$1:$I$89,3,0)*VLOOKUP('Données projet'!$B$14,Paramètres!$A$1:$I$89,5,0)</f>
        <v>327.17895999999979</v>
      </c>
      <c r="DQ101" s="13">
        <f t="shared" si="97"/>
        <v>76.845141684138582</v>
      </c>
      <c r="DR101" s="20">
        <f t="shared" si="70"/>
        <v>703.67531043320753</v>
      </c>
      <c r="DS101" s="59">
        <f t="shared" si="71"/>
        <v>997.0086437665409</v>
      </c>
      <c r="DT101" s="59">
        <f ca="1">AVERAGE(OFFSET($DS$3,0,0,'Données projet'!$E$14+1,1))-AVERAGE(OFFSET($H$3,0,0,'Données projet'!$E$14+1,1))</f>
        <v>340.4659523898373</v>
      </c>
      <c r="DU101" s="59">
        <f t="shared" si="98"/>
        <v>170.54530785680572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0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6.071794871794876</v>
      </c>
      <c r="EJ101" s="12">
        <f>IF('Données projet'!$A$192&gt;35,EJ100+EI101-ER100,IF(A101&lt;'Données projet'!$A$192,$EG$205^A101,IF(A101='Données projet'!$A$192,'Données projet'!$B$192,EJ100+EI101-ER100)))</f>
        <v>243.2871794871794</v>
      </c>
      <c r="EK101" s="17">
        <f>EJ101*VLOOKUP('Données projet'!$B$15,Paramètres!$A$1:$I$89,3,0)*VLOOKUP('Données projet'!$B$15,Paramètres!$A$1:$I$89,5,0)</f>
        <v>235.30735999999993</v>
      </c>
      <c r="EL101" s="13">
        <f t="shared" si="99"/>
        <v>57.428728738912895</v>
      </c>
      <c r="EM101" s="20">
        <f t="shared" si="73"/>
        <v>509.84868788693979</v>
      </c>
      <c r="EN101" s="59">
        <f t="shared" si="74"/>
        <v>803.1820212202731</v>
      </c>
      <c r="EO101" s="59">
        <f ca="1">AVERAGE(OFFSET($EN$3,0,0,'Données projet'!$E$15+1,1))-AVERAGE(OFFSET($H$3,0,0,'Données projet'!$E$15+1,1))</f>
        <v>262.20955982183017</v>
      </c>
      <c r="EP101" s="59">
        <f t="shared" si="100"/>
        <v>101.35842063036193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5.6843418860808015E-14</v>
      </c>
      <c r="FF101" s="17">
        <f>FE101*VLOOKUP('Données projet'!$B$16,Paramètres!$A$1:$I$89,3,0)*VLOOKUP('Données projet'!$B$16,Paramètres!$A$1:$I$89,5,0)</f>
        <v>4.5224624045658861E-14</v>
      </c>
      <c r="FG101" s="13">
        <f t="shared" si="101"/>
        <v>7.4514601661523691E-13</v>
      </c>
      <c r="FH101" s="20">
        <f t="shared" si="76"/>
        <v>1.3765621991510601E-12</v>
      </c>
      <c r="FI101" s="59">
        <f t="shared" si="77"/>
        <v>293.33333333333468</v>
      </c>
      <c r="FJ101" s="59">
        <f ca="1">AVERAGE(OFFSET($FI$3,0,0,'Données projet'!$E$16+1,1))-AVERAGE(OFFSET($H$3,0,0,'Données projet'!$E$16+1,1))</f>
        <v>199.58763537752952</v>
      </c>
      <c r="FK101" s="59">
        <f t="shared" si="102"/>
        <v>242.62852778451929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1.5606921781893097</v>
      </c>
      <c r="FS101" s="21">
        <f>EXP(-LN(2)/2)*FS100+(1-EXP(-LN(2)/2))/(LN(2)/2)*FM101*FP101*VLOOKUP('Données projet'!$B$16,Paramètres!$A$1:$I$89,3,0)*0.475*44/12</f>
        <v>6.2640514185304171E-10</v>
      </c>
      <c r="FT101" s="22">
        <f t="shared" si="78"/>
        <v>1.5606921788157149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5.6843418860808015E-14</v>
      </c>
      <c r="GA101" s="17">
        <f>FZ101*VLOOKUP('Données projet'!$B$17,Paramètres!$A$1:$I$89,3,0)*VLOOKUP('Données projet'!$B$17,Paramètres!$A$1:$I$89,5,0)</f>
        <v>4.1677594708744434E-14</v>
      </c>
      <c r="GB101" s="13">
        <f t="shared" si="103"/>
        <v>6.9326303456159188E-13</v>
      </c>
      <c r="GC101" s="20">
        <f t="shared" si="79"/>
        <v>1.2800215959791691E-12</v>
      </c>
      <c r="GD101" s="59">
        <f t="shared" si="80"/>
        <v>293.33333333333462</v>
      </c>
      <c r="GE101" s="59">
        <f ca="1">AVERAGE(OFFSET($GD$3,0,0,'Données projet'!$E$17+1,1))-AVERAGE(OFFSET($H$3,0,0,'Données projet'!$E$17+1,1))</f>
        <v>178.12968684094687</v>
      </c>
      <c r="GF101" s="59">
        <f t="shared" si="104"/>
        <v>219.36004077210373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1.1669104299373265</v>
      </c>
      <c r="GN101" s="21">
        <f>EXP(-LN(2)/2)*GN100+(1-EXP(-LN(2)/2))/(LN(2)/2)*GH101*GK101*VLOOKUP('Données projet'!$B$17,Paramètres!$A$1:$I$89,3,0)*0.475*44/12</f>
        <v>5.7727532680574381E-10</v>
      </c>
      <c r="GO101" s="21">
        <f t="shared" si="81"/>
        <v>1.1669104305146019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5.6843418860808015E-14</v>
      </c>
      <c r="GV101" s="17">
        <f>GU101*VLOOKUP('Données projet'!$B$18,Paramètres!$A$1:$I$89,3,0)*VLOOKUP('Données projet'!$B$18,Paramètres!$A$1:$I$89,5,0)</f>
        <v>4.5224624045658861E-14</v>
      </c>
      <c r="GW101" s="13">
        <f t="shared" si="105"/>
        <v>7.4514601661523691E-13</v>
      </c>
      <c r="GX101" s="20">
        <f t="shared" si="82"/>
        <v>1.3765621991510601E-12</v>
      </c>
      <c r="GY101" s="59">
        <f t="shared" si="83"/>
        <v>293.33333333333468</v>
      </c>
      <c r="GZ101" s="59">
        <f ca="1">AVERAGE(OFFSET($GY$3,0,0,'Données projet'!$E$18+1,1))-AVERAGE(OFFSET($H$3,0,0,'Données projet'!$E$18+1,1))</f>
        <v>199.58763537752952</v>
      </c>
      <c r="HA101" s="59">
        <f t="shared" si="106"/>
        <v>242.62852778451929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0</v>
      </c>
      <c r="HH101" s="21">
        <f>EXP(-LN(2)/25)*HH100+(1-EXP(-LN(2)/25))/(LN(2)/25)*Calculateur!HC101*Calculateur!HE101*VLOOKUP('Données projet'!$B$18,Paramètres!$A$1:$I$89,3,0)*0.475*44/12</f>
        <v>1.5606921781893097</v>
      </c>
      <c r="HI101" s="21">
        <f>EXP(-LN(2)/2)*HI100+(1-EXP(-LN(2)/2))/(LN(2)/2)*HC101*HF101*VLOOKUP('Données projet'!$B$18,Paramètres!$A$1:$I$89,3,0)*0.475*44/12</f>
        <v>6.2640514185304171E-10</v>
      </c>
      <c r="HJ101" s="22">
        <f t="shared" si="84"/>
        <v>1.5606921788157149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7.5871794871794922</v>
      </c>
      <c r="N102" s="13">
        <f>IF('Données projet'!$A$36&gt;35,N101+M102-V101,IF(A102&lt;'Données projet'!$A$36,$K$205^A102,IF(A102='Données projet'!$A$36,'Données projet'!$B$36,N101+M102-V101)))</f>
        <v>345.8615384615382</v>
      </c>
      <c r="O102" s="13">
        <f>N102*VLOOKUP('Données projet'!$B$9,Paramètres!$A$1:$I$89,3,0)*VLOOKUP('Données projet'!$B$9,Paramètres!$A$1:$I$89,5,0)</f>
        <v>312.93551999999977</v>
      </c>
      <c r="P102" s="13">
        <f t="shared" si="87"/>
        <v>73.881546903242409</v>
      </c>
      <c r="Q102" s="20">
        <f t="shared" si="107"/>
        <v>673.70639152314664</v>
      </c>
      <c r="R102" s="59">
        <f t="shared" si="55"/>
        <v>967.03972485648001</v>
      </c>
      <c r="S102" s="59">
        <f ca="1">AVERAGE(OFFSET($R$3,0,0,'Données projet'!$E$9+1,1))-AVERAGE(OFFSET($H$3,0,0,'Données projet'!$E$9+1,1))</f>
        <v>309.07357540707869</v>
      </c>
      <c r="T102" s="59">
        <f t="shared" si="88"/>
        <v>155.9593924683299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6.071794871794876</v>
      </c>
      <c r="AI102" s="13">
        <f>IF('Données projet'!$A$62&gt;35,AI101+AH102-AQ101,IF(A102&lt;'Données projet'!$A$62,$AF$205^A102,IF(A102='Données projet'!$A$62,'Données projet'!$B$62,AI101+AH102-AQ101)))</f>
        <v>249.35897435897428</v>
      </c>
      <c r="AJ102" s="13">
        <f>AI102*VLOOKUP('Données projet'!$B$10,Paramètres!$A$1:$I$89,3,0)*VLOOKUP('Données projet'!$B$10,Paramètres!$A$1:$I$89,5,0)</f>
        <v>225.61999999999995</v>
      </c>
      <c r="AK102" s="13">
        <f t="shared" si="89"/>
        <v>55.334565958624232</v>
      </c>
      <c r="AL102" s="20">
        <f t="shared" si="58"/>
        <v>489.32920237793718</v>
      </c>
      <c r="AM102" s="59">
        <f t="shared" si="59"/>
        <v>782.66253571127049</v>
      </c>
      <c r="AN102" s="59">
        <f ca="1">AVERAGE(OFFSET($AM$3,0,0,'Données projet'!$E$10+1,1))-AVERAGE(OFFSET($H$3,0,0,'Données projet'!$E$10+1,1))</f>
        <v>234.30804102916278</v>
      </c>
      <c r="AO102" s="59">
        <f t="shared" si="90"/>
        <v>91.137993288782411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7.5015384615384617</v>
      </c>
      <c r="BD102" s="12">
        <f>IF('Données projet'!$A$88&gt;35,BD101+BC102-BL101,IF(A102&lt;'Données projet'!$A$88,$BA$205^A102,IF(A102='Données projet'!$A$88,'Données projet'!$B$88,BD101+BC102-BL101)))</f>
        <v>264.70615384615411</v>
      </c>
      <c r="BE102" s="13">
        <f>BD102*VLOOKUP('Données projet'!$B$11,Paramètres!$A$1:$I$89,3,0)*VLOOKUP('Données projet'!$B$11,Paramètres!$A$1:$I$89,5,0)</f>
        <v>123.88248000000011</v>
      </c>
      <c r="BF102" s="13">
        <f t="shared" si="91"/>
        <v>32.578839075986679</v>
      </c>
      <c r="BG102" s="20">
        <f t="shared" si="61"/>
        <v>272.50346405734365</v>
      </c>
      <c r="BH102" s="59">
        <f t="shared" si="62"/>
        <v>565.83679739067702</v>
      </c>
      <c r="BI102" s="59">
        <f ca="1">AVERAGE(OFFSET($BH$3,0,0,'Données projet'!$E$11+1,1))-AVERAGE(OFFSET($H$3,0,0,'Données projet'!$E$11+1,1))</f>
        <v>158.58786357608489</v>
      </c>
      <c r="BJ102" s="59">
        <f t="shared" si="92"/>
        <v>163.20074068819849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7.882692307692305</v>
      </c>
      <c r="BY102" s="12">
        <f>IF('Données projet'!$A$114&gt;35,BY101+BX102-CG101,IF(A102&lt;'Données projet'!$A$114,$BV$205^A102,IF(A102='Données projet'!$A$114,'Données projet'!$B$114,BY101+BX102-CG101)))</f>
        <v>334.37307692307706</v>
      </c>
      <c r="BZ102" s="13">
        <f>BY102*VLOOKUP('Données projet'!$B$12,Paramètres!$A$1:$I$89,3,0)*VLOOKUP('Données projet'!$B$12,Paramètres!$A$1:$I$89,5,0)</f>
        <v>156.48660000000007</v>
      </c>
      <c r="CA102" s="13">
        <f t="shared" si="93"/>
        <v>40.04903709660919</v>
      </c>
      <c r="CB102" s="20">
        <f t="shared" si="64"/>
        <v>342.29956794326108</v>
      </c>
      <c r="CC102" s="59">
        <f t="shared" si="65"/>
        <v>635.63290127659434</v>
      </c>
      <c r="CD102" s="59">
        <f ca="1">AVERAGE(OFFSET($CC$3,0,0,'Données projet'!$E$12+1,1))-AVERAGE(OFFSET($H$3,0,0,'Données projet'!$E$12+1,1))</f>
        <v>123.2823358462245</v>
      </c>
      <c r="CE102" s="59">
        <f t="shared" si="94"/>
        <v>92.75115399786057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-2.8421709430404007E-13</v>
      </c>
      <c r="CU102" s="17">
        <f>CT102*VLOOKUP('Données projet'!$B$13,Paramètres!$A$1:$I$89,3,0)*VLOOKUP('Données projet'!$B$13,Paramètres!$A$1:$I$89,5,0)</f>
        <v>-1.69961822393816E-13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179.32848817523677</v>
      </c>
      <c r="CZ102" s="59">
        <f t="shared" si="96"/>
        <v>131.3292389103035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1.9456969964400259</v>
      </c>
      <c r="DH102" s="21">
        <f>EXP(-LN(2)/2)*DH101+(1-EXP(-LN(2)/2))/(LN(2)/2)*DB102*DE102*VLOOKUP('Données projet'!$B$13,Paramètres!$A$1:$I$89,3,0)*0.475*44/12</f>
        <v>2.1661460778846367E-10</v>
      </c>
      <c r="DI102" s="22">
        <f t="shared" si="69"/>
        <v>1.9456969966566404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7.5871794871794922</v>
      </c>
      <c r="DO102" s="12">
        <f>IF('Données projet'!$A$166&gt;35,DO101+DN102-DW101,IF(A102&lt;'Données projet'!$A$166,$DL$205^A102,IF(A102='Données projet'!$A$166,'Données projet'!$B$166,DO101+DN102-DW101)))</f>
        <v>345.8615384615382</v>
      </c>
      <c r="DP102" s="17">
        <f>DO102*VLOOKUP('Données projet'!$B$14,Paramètres!$A$1:$I$89,3,0)*VLOOKUP('Données projet'!$B$14,Paramètres!$A$1:$I$89,5,0)</f>
        <v>334.51727999999974</v>
      </c>
      <c r="DQ102" s="13">
        <f t="shared" si="97"/>
        <v>78.366112208194252</v>
      </c>
      <c r="DR102" s="20">
        <f t="shared" si="70"/>
        <v>719.10524142927113</v>
      </c>
      <c r="DS102" s="59">
        <f t="shared" si="71"/>
        <v>1012.4385747626045</v>
      </c>
      <c r="DT102" s="59">
        <f ca="1">AVERAGE(OFFSET($DS$3,0,0,'Données projet'!$E$14+1,1))-AVERAGE(OFFSET($H$3,0,0,'Données projet'!$E$14+1,1))</f>
        <v>340.4659523898373</v>
      </c>
      <c r="DU102" s="59">
        <f t="shared" si="98"/>
        <v>170.54530785680572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0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6.071794871794876</v>
      </c>
      <c r="EJ102" s="12">
        <f>IF('Données projet'!$A$192&gt;35,EJ101+EI102-ER101,IF(A102&lt;'Données projet'!$A$192,$EG$205^A102,IF(A102='Données projet'!$A$192,'Données projet'!$B$192,EJ101+EI102-ER101)))</f>
        <v>249.35897435897428</v>
      </c>
      <c r="EK102" s="17">
        <f>EJ102*VLOOKUP('Données projet'!$B$15,Paramètres!$A$1:$I$89,3,0)*VLOOKUP('Données projet'!$B$15,Paramètres!$A$1:$I$89,5,0)</f>
        <v>241.17999999999995</v>
      </c>
      <c r="EL102" s="13">
        <f t="shared" si="99"/>
        <v>58.693340714485792</v>
      </c>
      <c r="EM102" s="20">
        <f t="shared" si="73"/>
        <v>522.27940174439595</v>
      </c>
      <c r="EN102" s="59">
        <f t="shared" si="74"/>
        <v>815.61273507772921</v>
      </c>
      <c r="EO102" s="59">
        <f ca="1">AVERAGE(OFFSET($EN$3,0,0,'Données projet'!$E$15+1,1))-AVERAGE(OFFSET($H$3,0,0,'Données projet'!$E$15+1,1))</f>
        <v>262.20955982183017</v>
      </c>
      <c r="EP102" s="59">
        <f t="shared" si="100"/>
        <v>101.35842063036193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5.6843418860808015E-14</v>
      </c>
      <c r="FF102" s="17">
        <f>FE102*VLOOKUP('Données projet'!$B$16,Paramètres!$A$1:$I$89,3,0)*VLOOKUP('Données projet'!$B$16,Paramètres!$A$1:$I$89,5,0)</f>
        <v>4.5224624045658861E-14</v>
      </c>
      <c r="FG102" s="13">
        <f t="shared" si="101"/>
        <v>7.4514601661523691E-13</v>
      </c>
      <c r="FH102" s="20">
        <f t="shared" si="76"/>
        <v>1.3765621991510601E-12</v>
      </c>
      <c r="FI102" s="59">
        <f t="shared" si="77"/>
        <v>293.33333333333468</v>
      </c>
      <c r="FJ102" s="59">
        <f ca="1">AVERAGE(OFFSET($FI$3,0,0,'Données projet'!$E$16+1,1))-AVERAGE(OFFSET($H$3,0,0,'Données projet'!$E$16+1,1))</f>
        <v>199.58763537752952</v>
      </c>
      <c r="FK102" s="59">
        <f t="shared" si="102"/>
        <v>242.62852778451929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1.5180149685034885</v>
      </c>
      <c r="FS102" s="21">
        <f>EXP(-LN(2)/2)*FS101+(1-EXP(-LN(2)/2))/(LN(2)/2)*FM102*FP102*VLOOKUP('Données projet'!$B$16,Paramètres!$A$1:$I$89,3,0)*0.475*44/12</f>
        <v>4.4293532357440703E-10</v>
      </c>
      <c r="FT102" s="22">
        <f t="shared" si="78"/>
        <v>1.5180149689464237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5.6843418860808015E-14</v>
      </c>
      <c r="GA102" s="17">
        <f>FZ102*VLOOKUP('Données projet'!$B$17,Paramètres!$A$1:$I$89,3,0)*VLOOKUP('Données projet'!$B$17,Paramètres!$A$1:$I$89,5,0)</f>
        <v>4.1677594708744434E-14</v>
      </c>
      <c r="GB102" s="13">
        <f t="shared" si="103"/>
        <v>6.9326303456159188E-13</v>
      </c>
      <c r="GC102" s="20">
        <f t="shared" si="79"/>
        <v>1.2800215959791691E-12</v>
      </c>
      <c r="GD102" s="59">
        <f t="shared" si="80"/>
        <v>293.33333333333462</v>
      </c>
      <c r="GE102" s="59">
        <f ca="1">AVERAGE(OFFSET($GD$3,0,0,'Données projet'!$E$17+1,1))-AVERAGE(OFFSET($H$3,0,0,'Données projet'!$E$17+1,1))</f>
        <v>178.12968684094687</v>
      </c>
      <c r="GF102" s="59">
        <f t="shared" si="104"/>
        <v>219.36004077210373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1.1350012028655379</v>
      </c>
      <c r="GN102" s="21">
        <f>EXP(-LN(2)/2)*GN101+(1-EXP(-LN(2)/2))/(LN(2)/2)*GH102*GK102*VLOOKUP('Données projet'!$B$17,Paramètres!$A$1:$I$89,3,0)*0.475*44/12</f>
        <v>4.0819529819602181E-10</v>
      </c>
      <c r="GO102" s="21">
        <f t="shared" si="81"/>
        <v>1.1350012032737331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5.6843418860808015E-14</v>
      </c>
      <c r="GV102" s="17">
        <f>GU102*VLOOKUP('Données projet'!$B$18,Paramètres!$A$1:$I$89,3,0)*VLOOKUP('Données projet'!$B$18,Paramètres!$A$1:$I$89,5,0)</f>
        <v>4.5224624045658861E-14</v>
      </c>
      <c r="GW102" s="13">
        <f t="shared" si="105"/>
        <v>7.4514601661523691E-13</v>
      </c>
      <c r="GX102" s="20">
        <f t="shared" si="82"/>
        <v>1.3765621991510601E-12</v>
      </c>
      <c r="GY102" s="59">
        <f t="shared" si="83"/>
        <v>293.33333333333468</v>
      </c>
      <c r="GZ102" s="59">
        <f ca="1">AVERAGE(OFFSET($GY$3,0,0,'Données projet'!$E$18+1,1))-AVERAGE(OFFSET($H$3,0,0,'Données projet'!$E$18+1,1))</f>
        <v>199.58763537752952</v>
      </c>
      <c r="HA102" s="59">
        <f t="shared" si="106"/>
        <v>242.62852778451929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0</v>
      </c>
      <c r="HH102" s="21">
        <f>EXP(-LN(2)/25)*HH101+(1-EXP(-LN(2)/25))/(LN(2)/25)*Calculateur!HC102*Calculateur!HE102*VLOOKUP('Données projet'!$B$18,Paramètres!$A$1:$I$89,3,0)*0.475*44/12</f>
        <v>1.5180149685034885</v>
      </c>
      <c r="HI102" s="21">
        <f>EXP(-LN(2)/2)*HI101+(1-EXP(-LN(2)/2))/(LN(2)/2)*HC102*HF102*VLOOKUP('Données projet'!$B$18,Paramètres!$A$1:$I$89,3,0)*0.475*44/12</f>
        <v>4.4293532357440703E-10</v>
      </c>
      <c r="HJ102" s="22">
        <f t="shared" si="84"/>
        <v>1.5180149689464237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353.44871794871796</v>
      </c>
      <c r="L103" s="12">
        <f>VLOOKUP(A103,'Données projet'!$A$35:$I$55,9,0)</f>
        <v>7.5871794871794922</v>
      </c>
      <c r="M103" s="12">
        <f t="array" ref="M103">INDEX(L:L,MIN(IF(ISNUMBER(L103:L299),ROW(L103:L299),"")))</f>
        <v>7.5871794871794922</v>
      </c>
      <c r="N103" s="13">
        <f>IF('Données projet'!$A$36&gt;35,N102+M103-V102,IF(A103&lt;'Données projet'!$A$36,$K$205^A103,IF(A103='Données projet'!$A$36,'Données projet'!$B$36,N102+M103-V102)))</f>
        <v>353.44871794871767</v>
      </c>
      <c r="O103" s="13">
        <f>N103*VLOOKUP('Données projet'!$B$9,Paramètres!$A$1:$I$89,3,0)*VLOOKUP('Données projet'!$B$9,Paramètres!$A$1:$I$89,5,0)</f>
        <v>319.80039999999974</v>
      </c>
      <c r="P103" s="13">
        <f t="shared" si="87"/>
        <v>75.31182149304135</v>
      </c>
      <c r="Q103" s="20">
        <f t="shared" si="107"/>
        <v>688.15378576704654</v>
      </c>
      <c r="R103" s="59">
        <f t="shared" si="55"/>
        <v>981.48711910037991</v>
      </c>
      <c r="S103" s="59">
        <f ca="1">AVERAGE(OFFSET($R$3,0,0,'Données projet'!$E$9+1,1))-AVERAGE(OFFSET($H$3,0,0,'Données projet'!$E$9+1,1))</f>
        <v>309.07357540707869</v>
      </c>
      <c r="T103" s="59">
        <f t="shared" si="88"/>
        <v>155.9593924683299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63.801282051282051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6.071794871794876</v>
      </c>
      <c r="AI103" s="13">
        <f>IF('Données projet'!$A$62&gt;35,AI102+AH103-AQ102,IF(A103&lt;'Données projet'!$A$62,$AF$205^A103,IF(A103='Données projet'!$A$62,'Données projet'!$B$62,AI102+AH103-AQ102)))</f>
        <v>255.43076923076916</v>
      </c>
      <c r="AJ103" s="13">
        <f>AI103*VLOOKUP('Données projet'!$B$10,Paramètres!$A$1:$I$89,3,0)*VLOOKUP('Données projet'!$B$10,Paramètres!$A$1:$I$89,5,0)</f>
        <v>231.11375999999996</v>
      </c>
      <c r="AK103" s="13">
        <f t="shared" si="89"/>
        <v>56.523434734348982</v>
      </c>
      <c r="AL103" s="20">
        <f t="shared" si="58"/>
        <v>500.96811416232441</v>
      </c>
      <c r="AM103" s="59">
        <f t="shared" si="59"/>
        <v>794.30144749565773</v>
      </c>
      <c r="AN103" s="59">
        <f ca="1">AVERAGE(OFFSET($AM$3,0,0,'Données projet'!$E$10+1,1))-AVERAGE(OFFSET($H$3,0,0,'Données projet'!$E$10+1,1))</f>
        <v>234.30804102916278</v>
      </c>
      <c r="AO103" s="59">
        <f t="shared" si="90"/>
        <v>91.137993288782411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7.5015384615384617</v>
      </c>
      <c r="BD103" s="12">
        <f>IF('Données projet'!$A$88&gt;35,BD102+BC103-BL102,IF(A103&lt;'Données projet'!$A$88,$BA$205^A103,IF(A103='Données projet'!$A$88,'Données projet'!$B$88,BD102+BC103-BL102)))</f>
        <v>272.20769230769258</v>
      </c>
      <c r="BE103" s="13">
        <f>BD103*VLOOKUP('Données projet'!$B$11,Paramètres!$A$1:$I$89,3,0)*VLOOKUP('Données projet'!$B$11,Paramètres!$A$1:$I$89,5,0)</f>
        <v>127.39320000000012</v>
      </c>
      <c r="BF103" s="13">
        <f t="shared" si="91"/>
        <v>33.393296112922592</v>
      </c>
      <c r="BG103" s="20">
        <f t="shared" si="61"/>
        <v>280.03648073000704</v>
      </c>
      <c r="BH103" s="59">
        <f t="shared" si="62"/>
        <v>573.3698140633403</v>
      </c>
      <c r="BI103" s="59">
        <f ca="1">AVERAGE(OFFSET($BH$3,0,0,'Données projet'!$E$11+1,1))-AVERAGE(OFFSET($H$3,0,0,'Données projet'!$E$11+1,1))</f>
        <v>158.58786357608489</v>
      </c>
      <c r="BJ103" s="59">
        <f t="shared" si="92"/>
        <v>163.20074068819849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7.882692307692305</v>
      </c>
      <c r="BY103" s="12">
        <f>IF('Données projet'!$A$114&gt;35,BY102+BX103-CG102,IF(A103&lt;'Données projet'!$A$114,$BV$205^A103,IF(A103='Données projet'!$A$114,'Données projet'!$B$114,BY102+BX103-CG102)))</f>
        <v>342.25576923076937</v>
      </c>
      <c r="BZ103" s="13">
        <f>BY103*VLOOKUP('Données projet'!$B$12,Paramètres!$A$1:$I$89,3,0)*VLOOKUP('Données projet'!$B$12,Paramètres!$A$1:$I$89,5,0)</f>
        <v>160.17570000000006</v>
      </c>
      <c r="CA103" s="13">
        <f t="shared" si="93"/>
        <v>40.882142500403504</v>
      </c>
      <c r="CB103" s="20">
        <f t="shared" si="64"/>
        <v>350.17574235486956</v>
      </c>
      <c r="CC103" s="59">
        <f t="shared" si="65"/>
        <v>643.50907568820287</v>
      </c>
      <c r="CD103" s="59">
        <f ca="1">AVERAGE(OFFSET($CC$3,0,0,'Données projet'!$E$12+1,1))-AVERAGE(OFFSET($H$3,0,0,'Données projet'!$E$12+1,1))</f>
        <v>123.2823358462245</v>
      </c>
      <c r="CE103" s="59">
        <f t="shared" si="94"/>
        <v>92.75115399786057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-2.8421709430404007E-13</v>
      </c>
      <c r="CU103" s="17">
        <f>CT103*VLOOKUP('Données projet'!$B$13,Paramètres!$A$1:$I$89,3,0)*VLOOKUP('Données projet'!$B$13,Paramètres!$A$1:$I$89,5,0)</f>
        <v>-1.69961822393816E-13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179.32848817523677</v>
      </c>
      <c r="CZ103" s="59">
        <f t="shared" si="96"/>
        <v>131.3292389103035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1.8924918097526153</v>
      </c>
      <c r="DH103" s="21">
        <f>EXP(-LN(2)/2)*DH102+(1-EXP(-LN(2)/2))/(LN(2)/2)*DB103*DE103*VLOOKUP('Données projet'!$B$13,Paramètres!$A$1:$I$89,3,0)*0.475*44/12</f>
        <v>1.5316965807128699E-10</v>
      </c>
      <c r="DI103" s="22">
        <f t="shared" si="69"/>
        <v>1.892491809905785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353.44871794871796</v>
      </c>
      <c r="DM103" s="12">
        <f>VLOOKUP(A103,'Données projet'!$A$165:$I$185,9,0)</f>
        <v>7.5871794871794922</v>
      </c>
      <c r="DN103" s="12">
        <f t="array" ref="DN103">INDEX(DM:DM,MIN(IF(ISNUMBER(DM103:DM299),ROW(DM103:DM299),"")))</f>
        <v>7.5871794871794922</v>
      </c>
      <c r="DO103" s="12">
        <f>IF('Données projet'!$A$166&gt;35,DO102+DN103-DW102,IF(A103&lt;'Données projet'!$A$166,$DL$205^A103,IF(A103='Données projet'!$A$166,'Données projet'!$B$166,DO102+DN103-DW102)))</f>
        <v>353.44871794871767</v>
      </c>
      <c r="DP103" s="17">
        <f>DO103*VLOOKUP('Données projet'!$B$14,Paramètres!$A$1:$I$89,3,0)*VLOOKUP('Données projet'!$B$14,Paramètres!$A$1:$I$89,5,0)</f>
        <v>341.85559999999975</v>
      </c>
      <c r="DQ103" s="13">
        <f t="shared" si="97"/>
        <v>79.883203602334916</v>
      </c>
      <c r="DR103" s="20">
        <f t="shared" si="70"/>
        <v>734.52841627406622</v>
      </c>
      <c r="DS103" s="59">
        <f t="shared" si="71"/>
        <v>1027.8617496073996</v>
      </c>
      <c r="DT103" s="59">
        <f ca="1">AVERAGE(OFFSET($DS$3,0,0,'Données projet'!$E$14+1,1))-AVERAGE(OFFSET($H$3,0,0,'Données projet'!$E$14+1,1))</f>
        <v>340.4659523898373</v>
      </c>
      <c r="DU103" s="59">
        <f t="shared" si="98"/>
        <v>170.54530785680572</v>
      </c>
      <c r="DV103" s="15">
        <f>IF(ISNA(VLOOKUP(A103,'Données projet'!$A$165:$I$185,3,0)),0,VLOOKUP(A103,'Données projet'!$A$165:$I$185,3,0))</f>
        <v>9</v>
      </c>
      <c r="DW103" s="15">
        <f>IF(ISNA(VLOOKUP(A103,'Données projet'!$A$165:$I$185,4,0)),0,VLOOKUP(A103,'Données projet'!$A$165:$I$185,4,0))</f>
        <v>63.801282051282051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0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6.071794871794876</v>
      </c>
      <c r="EJ103" s="12">
        <f>IF('Données projet'!$A$192&gt;35,EJ102+EI103-ER102,IF(A103&lt;'Données projet'!$A$192,$EG$205^A103,IF(A103='Données projet'!$A$192,'Données projet'!$B$192,EJ102+EI103-ER102)))</f>
        <v>255.43076923076916</v>
      </c>
      <c r="EK103" s="17">
        <f>EJ103*VLOOKUP('Données projet'!$B$15,Paramètres!$A$1:$I$89,3,0)*VLOOKUP('Données projet'!$B$15,Paramètres!$A$1:$I$89,5,0)</f>
        <v>247.05263999999991</v>
      </c>
      <c r="EL103" s="13">
        <f t="shared" si="99"/>
        <v>59.954373107341269</v>
      </c>
      <c r="EM103" s="20">
        <f t="shared" si="73"/>
        <v>534.70388116195261</v>
      </c>
      <c r="EN103" s="59">
        <f t="shared" si="74"/>
        <v>828.03721449528598</v>
      </c>
      <c r="EO103" s="59">
        <f ca="1">AVERAGE(OFFSET($EN$3,0,0,'Données projet'!$E$15+1,1))-AVERAGE(OFFSET($H$3,0,0,'Données projet'!$E$15+1,1))</f>
        <v>262.20955982183017</v>
      </c>
      <c r="EP103" s="59">
        <f t="shared" si="100"/>
        <v>101.35842063036193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5.6843418860808015E-14</v>
      </c>
      <c r="FF103" s="17">
        <f>FE103*VLOOKUP('Données projet'!$B$16,Paramètres!$A$1:$I$89,3,0)*VLOOKUP('Données projet'!$B$16,Paramètres!$A$1:$I$89,5,0)</f>
        <v>4.5224624045658861E-14</v>
      </c>
      <c r="FG103" s="13">
        <f t="shared" si="101"/>
        <v>7.4514601661523691E-13</v>
      </c>
      <c r="FH103" s="20">
        <f t="shared" si="76"/>
        <v>1.3765621991510601E-12</v>
      </c>
      <c r="FI103" s="59">
        <f t="shared" si="77"/>
        <v>293.33333333333468</v>
      </c>
      <c r="FJ103" s="59">
        <f ca="1">AVERAGE(OFFSET($FI$3,0,0,'Données projet'!$E$16+1,1))-AVERAGE(OFFSET($H$3,0,0,'Données projet'!$E$16+1,1))</f>
        <v>199.58763537752952</v>
      </c>
      <c r="FK103" s="59">
        <f t="shared" si="102"/>
        <v>242.62852778451929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1.4765047693608229</v>
      </c>
      <c r="FS103" s="21">
        <f>EXP(-LN(2)/2)*FS102+(1-EXP(-LN(2)/2))/(LN(2)/2)*FM103*FP103*VLOOKUP('Données projet'!$B$16,Paramètres!$A$1:$I$89,3,0)*0.475*44/12</f>
        <v>3.1320257092652085E-10</v>
      </c>
      <c r="FT103" s="22">
        <f t="shared" si="78"/>
        <v>1.4765047696740254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5.6843418860808015E-14</v>
      </c>
      <c r="GA103" s="17">
        <f>FZ103*VLOOKUP('Données projet'!$B$17,Paramètres!$A$1:$I$89,3,0)*VLOOKUP('Données projet'!$B$17,Paramètres!$A$1:$I$89,5,0)</f>
        <v>4.1677594708744434E-14</v>
      </c>
      <c r="GB103" s="13">
        <f t="shared" si="103"/>
        <v>6.9326303456159188E-13</v>
      </c>
      <c r="GC103" s="20">
        <f t="shared" si="79"/>
        <v>1.2800215959791691E-12</v>
      </c>
      <c r="GD103" s="59">
        <f t="shared" si="80"/>
        <v>293.33333333333462</v>
      </c>
      <c r="GE103" s="59">
        <f ca="1">AVERAGE(OFFSET($GD$3,0,0,'Données projet'!$E$17+1,1))-AVERAGE(OFFSET($H$3,0,0,'Données projet'!$E$17+1,1))</f>
        <v>178.12968684094687</v>
      </c>
      <c r="GF103" s="59">
        <f t="shared" si="104"/>
        <v>219.36004077210373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1.1039645352860605</v>
      </c>
      <c r="GN103" s="21">
        <f>EXP(-LN(2)/2)*GN102+(1-EXP(-LN(2)/2))/(LN(2)/2)*GH103*GK103*VLOOKUP('Données projet'!$B$17,Paramètres!$A$1:$I$89,3,0)*0.475*44/12</f>
        <v>2.8863766340287191E-10</v>
      </c>
      <c r="GO103" s="21">
        <f t="shared" si="81"/>
        <v>1.1039645355746981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5.6843418860808015E-14</v>
      </c>
      <c r="GV103" s="17">
        <f>GU103*VLOOKUP('Données projet'!$B$18,Paramètres!$A$1:$I$89,3,0)*VLOOKUP('Données projet'!$B$18,Paramètres!$A$1:$I$89,5,0)</f>
        <v>4.5224624045658861E-14</v>
      </c>
      <c r="GW103" s="13">
        <f t="shared" si="105"/>
        <v>7.4514601661523691E-13</v>
      </c>
      <c r="GX103" s="20">
        <f t="shared" si="82"/>
        <v>1.3765621991510601E-12</v>
      </c>
      <c r="GY103" s="59">
        <f t="shared" si="83"/>
        <v>293.33333333333468</v>
      </c>
      <c r="GZ103" s="59">
        <f ca="1">AVERAGE(OFFSET($GY$3,0,0,'Données projet'!$E$18+1,1))-AVERAGE(OFFSET($H$3,0,0,'Données projet'!$E$18+1,1))</f>
        <v>199.58763537752952</v>
      </c>
      <c r="HA103" s="59">
        <f t="shared" si="106"/>
        <v>242.62852778451929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0</v>
      </c>
      <c r="HH103" s="21">
        <f>EXP(-LN(2)/25)*HH102+(1-EXP(-LN(2)/25))/(LN(2)/25)*Calculateur!HC103*Calculateur!HE103*VLOOKUP('Données projet'!$B$18,Paramètres!$A$1:$I$89,3,0)*0.475*44/12</f>
        <v>1.4765047693608229</v>
      </c>
      <c r="HI103" s="21">
        <f>EXP(-LN(2)/2)*HI102+(1-EXP(-LN(2)/2))/(LN(2)/2)*HC103*HF103*VLOOKUP('Données projet'!$B$18,Paramètres!$A$1:$I$89,3,0)*0.475*44/12</f>
        <v>3.1320257092652085E-10</v>
      </c>
      <c r="HJ103" s="22">
        <f t="shared" si="84"/>
        <v>1.4765047696740254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7.2711538461538394</v>
      </c>
      <c r="N104" s="13">
        <f>IF('Données projet'!$A$36&gt;35,N103+M104-V103,IF(A104&lt;'Données projet'!$A$36,$K$205^A104,IF(A104='Données projet'!$A$36,'Données projet'!$B$36,N103+M104-V103)))</f>
        <v>296.91858974358945</v>
      </c>
      <c r="O104" s="13">
        <f>N104*VLOOKUP('Données projet'!$B$9,Paramètres!$A$1:$I$89,3,0)*VLOOKUP('Données projet'!$B$9,Paramètres!$A$1:$I$89,5,0)</f>
        <v>268.65193999999974</v>
      </c>
      <c r="P104" s="13">
        <f t="shared" si="87"/>
        <v>64.563093644979261</v>
      </c>
      <c r="Q104" s="20">
        <f t="shared" si="107"/>
        <v>580.3495169316717</v>
      </c>
      <c r="R104" s="59">
        <f t="shared" si="55"/>
        <v>873.68285026500507</v>
      </c>
      <c r="S104" s="59">
        <f ca="1">AVERAGE(OFFSET($R$3,0,0,'Données projet'!$E$9+1,1))-AVERAGE(OFFSET($H$3,0,0,'Données projet'!$E$9+1,1))</f>
        <v>309.07357540707869</v>
      </c>
      <c r="T104" s="59">
        <f t="shared" si="88"/>
        <v>155.9593924683299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6.071794871794876</v>
      </c>
      <c r="AI104" s="13">
        <f>IF('Données projet'!$A$62&gt;35,AI103+AH104-AQ103,IF(A104&lt;'Données projet'!$A$62,$AF$205^A104,IF(A104='Données projet'!$A$62,'Données projet'!$B$62,AI103+AH104-AQ103)))</f>
        <v>261.50256410256401</v>
      </c>
      <c r="AJ104" s="13">
        <f>AI104*VLOOKUP('Données projet'!$B$10,Paramètres!$A$1:$I$89,3,0)*VLOOKUP('Données projet'!$B$10,Paramètres!$A$1:$I$89,5,0)</f>
        <v>236.60751999999991</v>
      </c>
      <c r="AK104" s="13">
        <f t="shared" si="89"/>
        <v>57.709018223048254</v>
      </c>
      <c r="AL104" s="20">
        <f t="shared" si="58"/>
        <v>512.60130407180884</v>
      </c>
      <c r="AM104" s="59">
        <f t="shared" si="59"/>
        <v>805.93463740514221</v>
      </c>
      <c r="AN104" s="59">
        <f ca="1">AVERAGE(OFFSET($AM$3,0,0,'Données projet'!$E$10+1,1))-AVERAGE(OFFSET($H$3,0,0,'Données projet'!$E$10+1,1))</f>
        <v>234.30804102916278</v>
      </c>
      <c r="AO104" s="59">
        <f t="shared" si="90"/>
        <v>91.137993288782411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7.5015384615384617</v>
      </c>
      <c r="BD104" s="12">
        <f>IF('Données projet'!$A$88&gt;35,BD103+BC104-BL103,IF(A104&lt;'Données projet'!$A$88,$BA$205^A104,IF(A104='Données projet'!$A$88,'Données projet'!$B$88,BD103+BC104-BL103)))</f>
        <v>279.70923076923106</v>
      </c>
      <c r="BE104" s="13">
        <f>BD104*VLOOKUP('Données projet'!$B$11,Paramètres!$A$1:$I$89,3,0)*VLOOKUP('Données projet'!$B$11,Paramètres!$A$1:$I$89,5,0)</f>
        <v>130.90392000000014</v>
      </c>
      <c r="BF104" s="13">
        <f t="shared" si="91"/>
        <v>34.205144397668505</v>
      </c>
      <c r="BG104" s="20">
        <f t="shared" si="61"/>
        <v>287.56495382593954</v>
      </c>
      <c r="BH104" s="59">
        <f t="shared" si="62"/>
        <v>580.89828715927285</v>
      </c>
      <c r="BI104" s="59">
        <f ca="1">AVERAGE(OFFSET($BH$3,0,0,'Données projet'!$E$11+1,1))-AVERAGE(OFFSET($H$3,0,0,'Données projet'!$E$11+1,1))</f>
        <v>158.58786357608489</v>
      </c>
      <c r="BJ104" s="59">
        <f t="shared" si="92"/>
        <v>163.20074068819849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7.882692307692305</v>
      </c>
      <c r="BY104" s="12">
        <f>IF('Données projet'!$A$114&gt;35,BY103+BX104-CG103,IF(A104&lt;'Données projet'!$A$114,$BV$205^A104,IF(A104='Données projet'!$A$114,'Données projet'!$B$114,BY103+BX104-CG103)))</f>
        <v>350.13846153846168</v>
      </c>
      <c r="BZ104" s="13">
        <f>BY104*VLOOKUP('Données projet'!$B$12,Paramètres!$A$1:$I$89,3,0)*VLOOKUP('Données projet'!$B$12,Paramètres!$A$1:$I$89,5,0)</f>
        <v>163.86480000000006</v>
      </c>
      <c r="CA104" s="13">
        <f t="shared" si="93"/>
        <v>41.713017234350168</v>
      </c>
      <c r="CB104" s="20">
        <f t="shared" si="64"/>
        <v>358.04803168315993</v>
      </c>
      <c r="CC104" s="59">
        <f t="shared" si="65"/>
        <v>651.38136501649319</v>
      </c>
      <c r="CD104" s="59">
        <f ca="1">AVERAGE(OFFSET($CC$3,0,0,'Données projet'!$E$12+1,1))-AVERAGE(OFFSET($H$3,0,0,'Données projet'!$E$12+1,1))</f>
        <v>123.2823358462245</v>
      </c>
      <c r="CE104" s="59">
        <f t="shared" si="94"/>
        <v>92.75115399786057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-2.8421709430404007E-13</v>
      </c>
      <c r="CU104" s="17">
        <f>CT104*VLOOKUP('Données projet'!$B$13,Paramètres!$A$1:$I$89,3,0)*VLOOKUP('Données projet'!$B$13,Paramètres!$A$1:$I$89,5,0)</f>
        <v>-1.69961822393816E-13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179.32848817523677</v>
      </c>
      <c r="CZ104" s="59">
        <f t="shared" si="96"/>
        <v>131.3292389103035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1.8407415216931111</v>
      </c>
      <c r="DH104" s="21">
        <f>EXP(-LN(2)/2)*DH103+(1-EXP(-LN(2)/2))/(LN(2)/2)*DB104*DE104*VLOOKUP('Données projet'!$B$13,Paramètres!$A$1:$I$89,3,0)*0.475*44/12</f>
        <v>1.0830730389423183E-10</v>
      </c>
      <c r="DI104" s="22">
        <f t="shared" si="69"/>
        <v>1.8407415218014185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7.2711538461538394</v>
      </c>
      <c r="DO104" s="12">
        <f>IF('Données projet'!$A$166&gt;35,DO103+DN104-DW103,IF(A104&lt;'Données projet'!$A$166,$DL$205^A104,IF(A104='Données projet'!$A$166,'Données projet'!$B$166,DO103+DN104-DW103)))</f>
        <v>296.91858974358945</v>
      </c>
      <c r="DP104" s="17">
        <f>DO104*VLOOKUP('Données projet'!$B$14,Paramètres!$A$1:$I$89,3,0)*VLOOKUP('Données projet'!$B$14,Paramètres!$A$1:$I$89,5,0)</f>
        <v>287.17965999999973</v>
      </c>
      <c r="DQ104" s="13">
        <f t="shared" si="97"/>
        <v>68.48203446141639</v>
      </c>
      <c r="DR104" s="20">
        <f t="shared" si="70"/>
        <v>619.44411785363297</v>
      </c>
      <c r="DS104" s="59">
        <f t="shared" si="71"/>
        <v>912.77745118696635</v>
      </c>
      <c r="DT104" s="59">
        <f ca="1">AVERAGE(OFFSET($DS$3,0,0,'Données projet'!$E$14+1,1))-AVERAGE(OFFSET($H$3,0,0,'Données projet'!$E$14+1,1))</f>
        <v>340.4659523898373</v>
      </c>
      <c r="DU104" s="59">
        <f t="shared" si="98"/>
        <v>170.54530785680572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0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6.071794871794876</v>
      </c>
      <c r="EJ104" s="12">
        <f>IF('Données projet'!$A$192&gt;35,EJ103+EI104-ER103,IF(A104&lt;'Données projet'!$A$192,$EG$205^A104,IF(A104='Données projet'!$A$192,'Données projet'!$B$192,EJ103+EI104-ER103)))</f>
        <v>261.50256410256401</v>
      </c>
      <c r="EK104" s="17">
        <f>EJ104*VLOOKUP('Données projet'!$B$15,Paramètres!$A$1:$I$89,3,0)*VLOOKUP('Données projet'!$B$15,Paramètres!$A$1:$I$89,5,0)</f>
        <v>252.9252799999999</v>
      </c>
      <c r="EL104" s="13">
        <f t="shared" si="99"/>
        <v>61.211920798231858</v>
      </c>
      <c r="EM104" s="20">
        <f t="shared" si="73"/>
        <v>547.12229139025374</v>
      </c>
      <c r="EN104" s="59">
        <f t="shared" si="74"/>
        <v>840.45562472358711</v>
      </c>
      <c r="EO104" s="59">
        <f ca="1">AVERAGE(OFFSET($EN$3,0,0,'Données projet'!$E$15+1,1))-AVERAGE(OFFSET($H$3,0,0,'Données projet'!$E$15+1,1))</f>
        <v>262.20955982183017</v>
      </c>
      <c r="EP104" s="59">
        <f t="shared" si="100"/>
        <v>101.35842063036193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5.6843418860808015E-14</v>
      </c>
      <c r="FF104" s="17">
        <f>FE104*VLOOKUP('Données projet'!$B$16,Paramètres!$A$1:$I$89,3,0)*VLOOKUP('Données projet'!$B$16,Paramètres!$A$1:$I$89,5,0)</f>
        <v>4.5224624045658861E-14</v>
      </c>
      <c r="FG104" s="13">
        <f t="shared" si="101"/>
        <v>7.4514601661523691E-13</v>
      </c>
      <c r="FH104" s="20">
        <f t="shared" si="76"/>
        <v>1.3765621991510601E-12</v>
      </c>
      <c r="FI104" s="59">
        <f t="shared" si="77"/>
        <v>293.33333333333468</v>
      </c>
      <c r="FJ104" s="59">
        <f ca="1">AVERAGE(OFFSET($FI$3,0,0,'Données projet'!$E$16+1,1))-AVERAGE(OFFSET($H$3,0,0,'Données projet'!$E$16+1,1))</f>
        <v>199.58763537752952</v>
      </c>
      <c r="FK104" s="59">
        <f t="shared" si="102"/>
        <v>242.62852778451929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1.4361296687966398</v>
      </c>
      <c r="FS104" s="21">
        <f>EXP(-LN(2)/2)*FS103+(1-EXP(-LN(2)/2))/(LN(2)/2)*FM104*FP104*VLOOKUP('Données projet'!$B$16,Paramètres!$A$1:$I$89,3,0)*0.475*44/12</f>
        <v>2.2146766178720352E-10</v>
      </c>
      <c r="FT104" s="22">
        <f t="shared" si="78"/>
        <v>1.4361296690181076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5.6843418860808015E-14</v>
      </c>
      <c r="GA104" s="17">
        <f>FZ104*VLOOKUP('Données projet'!$B$17,Paramètres!$A$1:$I$89,3,0)*VLOOKUP('Données projet'!$B$17,Paramètres!$A$1:$I$89,5,0)</f>
        <v>4.1677594708744434E-14</v>
      </c>
      <c r="GB104" s="13">
        <f t="shared" si="103"/>
        <v>6.9326303456159188E-13</v>
      </c>
      <c r="GC104" s="20">
        <f t="shared" si="79"/>
        <v>1.2800215959791691E-12</v>
      </c>
      <c r="GD104" s="59">
        <f t="shared" si="80"/>
        <v>293.33333333333462</v>
      </c>
      <c r="GE104" s="59">
        <f ca="1">AVERAGE(OFFSET($GD$3,0,0,'Données projet'!$E$17+1,1))-AVERAGE(OFFSET($H$3,0,0,'Données projet'!$E$17+1,1))</f>
        <v>178.12968684094687</v>
      </c>
      <c r="GF104" s="59">
        <f t="shared" si="104"/>
        <v>219.36004077210373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1.0737765670136914</v>
      </c>
      <c r="GN104" s="21">
        <f>EXP(-LN(2)/2)*GN103+(1-EXP(-LN(2)/2))/(LN(2)/2)*GH104*GK104*VLOOKUP('Données projet'!$B$17,Paramètres!$A$1:$I$89,3,0)*0.475*44/12</f>
        <v>2.040976490980109E-10</v>
      </c>
      <c r="GO104" s="21">
        <f t="shared" si="81"/>
        <v>1.073776567217789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5.6843418860808015E-14</v>
      </c>
      <c r="GV104" s="17">
        <f>GU104*VLOOKUP('Données projet'!$B$18,Paramètres!$A$1:$I$89,3,0)*VLOOKUP('Données projet'!$B$18,Paramètres!$A$1:$I$89,5,0)</f>
        <v>4.5224624045658861E-14</v>
      </c>
      <c r="GW104" s="13">
        <f t="shared" si="105"/>
        <v>7.4514601661523691E-13</v>
      </c>
      <c r="GX104" s="20">
        <f t="shared" si="82"/>
        <v>1.3765621991510601E-12</v>
      </c>
      <c r="GY104" s="59">
        <f t="shared" si="83"/>
        <v>293.33333333333468</v>
      </c>
      <c r="GZ104" s="59">
        <f ca="1">AVERAGE(OFFSET($GY$3,0,0,'Données projet'!$E$18+1,1))-AVERAGE(OFFSET($H$3,0,0,'Données projet'!$E$18+1,1))</f>
        <v>199.58763537752952</v>
      </c>
      <c r="HA104" s="59">
        <f t="shared" si="106"/>
        <v>242.62852778451929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0</v>
      </c>
      <c r="HH104" s="21">
        <f>EXP(-LN(2)/25)*HH103+(1-EXP(-LN(2)/25))/(LN(2)/25)*Calculateur!HC104*Calculateur!HE104*VLOOKUP('Données projet'!$B$18,Paramètres!$A$1:$I$89,3,0)*0.475*44/12</f>
        <v>1.4361296687966398</v>
      </c>
      <c r="HI104" s="21">
        <f>EXP(-LN(2)/2)*HI103+(1-EXP(-LN(2)/2))/(LN(2)/2)*HC104*HF104*VLOOKUP('Données projet'!$B$18,Paramètres!$A$1:$I$89,3,0)*0.475*44/12</f>
        <v>2.2146766178720352E-10</v>
      </c>
      <c r="HJ104" s="22">
        <f t="shared" si="84"/>
        <v>1.4361296690181076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7.2711538461538394</v>
      </c>
      <c r="N105" s="13">
        <f>IF('Données projet'!$A$36&gt;35,N104+M105-V104,IF(A105&lt;'Données projet'!$A$36,$K$205^A105,IF(A105='Données projet'!$A$36,'Données projet'!$B$36,N104+M105-V104)))</f>
        <v>304.18974358974327</v>
      </c>
      <c r="O105" s="13">
        <f>N105*VLOOKUP('Données projet'!$B$9,Paramètres!$A$1:$I$89,3,0)*VLOOKUP('Données projet'!$B$9,Paramètres!$A$1:$I$89,5,0)</f>
        <v>275.23087999999973</v>
      </c>
      <c r="P105" s="13">
        <f t="shared" si="87"/>
        <v>65.958151259438324</v>
      </c>
      <c r="Q105" s="20">
        <f t="shared" si="107"/>
        <v>594.23756277685459</v>
      </c>
      <c r="R105" s="59">
        <f t="shared" si="55"/>
        <v>887.57089611018796</v>
      </c>
      <c r="S105" s="59">
        <f ca="1">AVERAGE(OFFSET($R$3,0,0,'Données projet'!$E$9+1,1))-AVERAGE(OFFSET($H$3,0,0,'Données projet'!$E$9+1,1))</f>
        <v>309.07357540707869</v>
      </c>
      <c r="T105" s="59">
        <f t="shared" si="88"/>
        <v>155.9593924683299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6.071794871794876</v>
      </c>
      <c r="AI105" s="13">
        <f>IF('Données projet'!$A$62&gt;35,AI104+AH105-AQ104,IF(A105&lt;'Données projet'!$A$62,$AF$205^A105,IF(A105='Données projet'!$A$62,'Données projet'!$B$62,AI104+AH105-AQ104)))</f>
        <v>267.57435897435886</v>
      </c>
      <c r="AJ105" s="13">
        <f>AI105*VLOOKUP('Données projet'!$B$10,Paramètres!$A$1:$I$89,3,0)*VLOOKUP('Données projet'!$B$10,Paramètres!$A$1:$I$89,5,0)</f>
        <v>242.10127999999986</v>
      </c>
      <c r="AK105" s="13">
        <f t="shared" si="89"/>
        <v>58.891401484926718</v>
      </c>
      <c r="AL105" s="20">
        <f t="shared" si="58"/>
        <v>524.22892025291378</v>
      </c>
      <c r="AM105" s="59">
        <f t="shared" si="59"/>
        <v>817.56225358624715</v>
      </c>
      <c r="AN105" s="59">
        <f ca="1">AVERAGE(OFFSET($AM$3,0,0,'Données projet'!$E$10+1,1))-AVERAGE(OFFSET($H$3,0,0,'Données projet'!$E$10+1,1))</f>
        <v>234.30804102916278</v>
      </c>
      <c r="AO105" s="59">
        <f t="shared" si="90"/>
        <v>91.137993288782411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7.5015384615384617</v>
      </c>
      <c r="BD105" s="12">
        <f>IF('Données projet'!$A$88&gt;35,BD104+BC105-BL104,IF(A105&lt;'Données projet'!$A$88,$BA$205^A105,IF(A105='Données projet'!$A$88,'Données projet'!$B$88,BD104+BC105-BL104)))</f>
        <v>287.21076923076953</v>
      </c>
      <c r="BE105" s="13">
        <f>BD105*VLOOKUP('Données projet'!$B$11,Paramètres!$A$1:$I$89,3,0)*VLOOKUP('Données projet'!$B$11,Paramètres!$A$1:$I$89,5,0)</f>
        <v>134.41464000000013</v>
      </c>
      <c r="BF105" s="13">
        <f t="shared" si="91"/>
        <v>35.014461935490388</v>
      </c>
      <c r="BG105" s="20">
        <f t="shared" si="61"/>
        <v>295.08901920431265</v>
      </c>
      <c r="BH105" s="59">
        <f t="shared" si="62"/>
        <v>588.42235253764602</v>
      </c>
      <c r="BI105" s="59">
        <f ca="1">AVERAGE(OFFSET($BH$3,0,0,'Données projet'!$E$11+1,1))-AVERAGE(OFFSET($H$3,0,0,'Données projet'!$E$11+1,1))</f>
        <v>158.58786357608489</v>
      </c>
      <c r="BJ105" s="59">
        <f t="shared" si="92"/>
        <v>163.20074068819849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7.882692307692305</v>
      </c>
      <c r="BY105" s="12">
        <f>IF('Données projet'!$A$114&gt;35,BY104+BX105-CG104,IF(A105&lt;'Données projet'!$A$114,$BV$205^A105,IF(A105='Données projet'!$A$114,'Données projet'!$B$114,BY104+BX105-CG104)))</f>
        <v>358.02115384615399</v>
      </c>
      <c r="BZ105" s="13">
        <f>BY105*VLOOKUP('Données projet'!$B$12,Paramètres!$A$1:$I$89,3,0)*VLOOKUP('Données projet'!$B$12,Paramètres!$A$1:$I$89,5,0)</f>
        <v>167.55390000000006</v>
      </c>
      <c r="CA105" s="13">
        <f t="shared" si="93"/>
        <v>42.541717299361267</v>
      </c>
      <c r="CB105" s="20">
        <f t="shared" si="64"/>
        <v>365.91653346305429</v>
      </c>
      <c r="CC105" s="59">
        <f t="shared" si="65"/>
        <v>659.24986679638755</v>
      </c>
      <c r="CD105" s="59">
        <f ca="1">AVERAGE(OFFSET($CC$3,0,0,'Données projet'!$E$12+1,1))-AVERAGE(OFFSET($H$3,0,0,'Données projet'!$E$12+1,1))</f>
        <v>123.2823358462245</v>
      </c>
      <c r="CE105" s="59">
        <f t="shared" si="94"/>
        <v>92.75115399786057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-2.8421709430404007E-13</v>
      </c>
      <c r="CU105" s="17">
        <f>CT105*VLOOKUP('Données projet'!$B$13,Paramètres!$A$1:$I$89,3,0)*VLOOKUP('Données projet'!$B$13,Paramètres!$A$1:$I$89,5,0)</f>
        <v>-1.69961822393816E-13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179.32848817523677</v>
      </c>
      <c r="CZ105" s="59">
        <f t="shared" si="96"/>
        <v>131.3292389103035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1.7904063479820234</v>
      </c>
      <c r="DH105" s="21">
        <f>EXP(-LN(2)/2)*DH104+(1-EXP(-LN(2)/2))/(LN(2)/2)*DB105*DE105*VLOOKUP('Données projet'!$B$13,Paramètres!$A$1:$I$89,3,0)*0.475*44/12</f>
        <v>7.6584829035643495E-11</v>
      </c>
      <c r="DI105" s="22">
        <f t="shared" si="69"/>
        <v>1.7904063480586081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7.2711538461538394</v>
      </c>
      <c r="DO105" s="12">
        <f>IF('Données projet'!$A$166&gt;35,DO104+DN105-DW104,IF(A105&lt;'Données projet'!$A$166,$DL$205^A105,IF(A105='Données projet'!$A$166,'Données projet'!$B$166,DO104+DN105-DW104)))</f>
        <v>304.18974358974327</v>
      </c>
      <c r="DP105" s="17">
        <f>DO105*VLOOKUP('Données projet'!$B$14,Paramètres!$A$1:$I$89,3,0)*VLOOKUP('Données projet'!$B$14,Paramètres!$A$1:$I$89,5,0)</f>
        <v>294.21231999999969</v>
      </c>
      <c r="DQ105" s="13">
        <f t="shared" si="97"/>
        <v>69.961771231069733</v>
      </c>
      <c r="DR105" s="20">
        <f t="shared" si="70"/>
        <v>634.26987556077927</v>
      </c>
      <c r="DS105" s="59">
        <f t="shared" si="71"/>
        <v>927.60320889411264</v>
      </c>
      <c r="DT105" s="59">
        <f ca="1">AVERAGE(OFFSET($DS$3,0,0,'Données projet'!$E$14+1,1))-AVERAGE(OFFSET($H$3,0,0,'Données projet'!$E$14+1,1))</f>
        <v>340.4659523898373</v>
      </c>
      <c r="DU105" s="59">
        <f t="shared" si="98"/>
        <v>170.54530785680572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0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6.071794871794876</v>
      </c>
      <c r="EJ105" s="12">
        <f>IF('Données projet'!$A$192&gt;35,EJ104+EI105-ER104,IF(A105&lt;'Données projet'!$A$192,$EG$205^A105,IF(A105='Données projet'!$A$192,'Données projet'!$B$192,EJ104+EI105-ER104)))</f>
        <v>267.57435897435886</v>
      </c>
      <c r="EK105" s="17">
        <f>EJ105*VLOOKUP('Données projet'!$B$15,Paramètres!$A$1:$I$89,3,0)*VLOOKUP('Données projet'!$B$15,Paramètres!$A$1:$I$89,5,0)</f>
        <v>258.79791999999986</v>
      </c>
      <c r="EL105" s="13">
        <f t="shared" si="99"/>
        <v>62.46607401046505</v>
      </c>
      <c r="EM105" s="20">
        <f t="shared" si="73"/>
        <v>559.5347895682263</v>
      </c>
      <c r="EN105" s="59">
        <f t="shared" si="74"/>
        <v>852.86812290155967</v>
      </c>
      <c r="EO105" s="59">
        <f ca="1">AVERAGE(OFFSET($EN$3,0,0,'Données projet'!$E$15+1,1))-AVERAGE(OFFSET($H$3,0,0,'Données projet'!$E$15+1,1))</f>
        <v>262.20955982183017</v>
      </c>
      <c r="EP105" s="59">
        <f t="shared" si="100"/>
        <v>101.35842063036193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5.6843418860808015E-14</v>
      </c>
      <c r="FF105" s="17">
        <f>FE105*VLOOKUP('Données projet'!$B$16,Paramètres!$A$1:$I$89,3,0)*VLOOKUP('Données projet'!$B$16,Paramètres!$A$1:$I$89,5,0)</f>
        <v>4.5224624045658861E-14</v>
      </c>
      <c r="FG105" s="13">
        <f t="shared" si="101"/>
        <v>7.4514601661523691E-13</v>
      </c>
      <c r="FH105" s="20">
        <f t="shared" si="76"/>
        <v>1.3765621991510601E-12</v>
      </c>
      <c r="FI105" s="59">
        <f t="shared" si="77"/>
        <v>293.33333333333468</v>
      </c>
      <c r="FJ105" s="59">
        <f ca="1">AVERAGE(OFFSET($FI$3,0,0,'Données projet'!$E$16+1,1))-AVERAGE(OFFSET($H$3,0,0,'Données projet'!$E$16+1,1))</f>
        <v>199.58763537752952</v>
      </c>
      <c r="FK105" s="59">
        <f t="shared" si="102"/>
        <v>242.62852778451929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1.3968586274806187</v>
      </c>
      <c r="FS105" s="21">
        <f>EXP(-LN(2)/2)*FS104+(1-EXP(-LN(2)/2))/(LN(2)/2)*FM105*FP105*VLOOKUP('Données projet'!$B$16,Paramètres!$A$1:$I$89,3,0)*0.475*44/12</f>
        <v>1.5660128546326043E-10</v>
      </c>
      <c r="FT105" s="22">
        <f t="shared" si="78"/>
        <v>1.3968586276372199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5.6843418860808015E-14</v>
      </c>
      <c r="GA105" s="17">
        <f>FZ105*VLOOKUP('Données projet'!$B$17,Paramètres!$A$1:$I$89,3,0)*VLOOKUP('Données projet'!$B$17,Paramètres!$A$1:$I$89,5,0)</f>
        <v>4.1677594708744434E-14</v>
      </c>
      <c r="GB105" s="13">
        <f t="shared" si="103"/>
        <v>6.9326303456159188E-13</v>
      </c>
      <c r="GC105" s="20">
        <f t="shared" si="79"/>
        <v>1.2800215959791691E-12</v>
      </c>
      <c r="GD105" s="59">
        <f t="shared" si="80"/>
        <v>293.33333333333462</v>
      </c>
      <c r="GE105" s="59">
        <f ca="1">AVERAGE(OFFSET($GD$3,0,0,'Données projet'!$E$17+1,1))-AVERAGE(OFFSET($H$3,0,0,'Données projet'!$E$17+1,1))</f>
        <v>178.12968684094687</v>
      </c>
      <c r="GF105" s="59">
        <f t="shared" si="104"/>
        <v>219.36004077210373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1.0444140903212464</v>
      </c>
      <c r="GN105" s="21">
        <f>EXP(-LN(2)/2)*GN104+(1-EXP(-LN(2)/2))/(LN(2)/2)*GH105*GK105*VLOOKUP('Données projet'!$B$17,Paramètres!$A$1:$I$89,3,0)*0.475*44/12</f>
        <v>1.4431883170143595E-10</v>
      </c>
      <c r="GO105" s="21">
        <f t="shared" si="81"/>
        <v>1.0444140904655652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5.6843418860808015E-14</v>
      </c>
      <c r="GV105" s="17">
        <f>GU105*VLOOKUP('Données projet'!$B$18,Paramètres!$A$1:$I$89,3,0)*VLOOKUP('Données projet'!$B$18,Paramètres!$A$1:$I$89,5,0)</f>
        <v>4.5224624045658861E-14</v>
      </c>
      <c r="GW105" s="13">
        <f t="shared" si="105"/>
        <v>7.4514601661523691E-13</v>
      </c>
      <c r="GX105" s="20">
        <f t="shared" si="82"/>
        <v>1.3765621991510601E-12</v>
      </c>
      <c r="GY105" s="59">
        <f t="shared" si="83"/>
        <v>293.33333333333468</v>
      </c>
      <c r="GZ105" s="59">
        <f ca="1">AVERAGE(OFFSET($GY$3,0,0,'Données projet'!$E$18+1,1))-AVERAGE(OFFSET($H$3,0,0,'Données projet'!$E$18+1,1))</f>
        <v>199.58763537752952</v>
      </c>
      <c r="HA105" s="59">
        <f t="shared" si="106"/>
        <v>242.62852778451929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0</v>
      </c>
      <c r="HH105" s="21">
        <f>EXP(-LN(2)/25)*HH104+(1-EXP(-LN(2)/25))/(LN(2)/25)*Calculateur!HC105*Calculateur!HE105*VLOOKUP('Données projet'!$B$18,Paramètres!$A$1:$I$89,3,0)*0.475*44/12</f>
        <v>1.3968586274806187</v>
      </c>
      <c r="HI105" s="21">
        <f>EXP(-LN(2)/2)*HI104+(1-EXP(-LN(2)/2))/(LN(2)/2)*HC105*HF105*VLOOKUP('Données projet'!$B$18,Paramètres!$A$1:$I$89,3,0)*0.475*44/12</f>
        <v>1.5660128546326043E-10</v>
      </c>
      <c r="HJ105" s="22">
        <f t="shared" si="84"/>
        <v>1.3968586276372199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7.2711538461538394</v>
      </c>
      <c r="N106" s="13">
        <f>IF('Données projet'!$A$36&gt;35,N105+M106-V105,IF(A106&lt;'Données projet'!$A$36,$K$205^A106,IF(A106='Données projet'!$A$36,'Données projet'!$B$36,N105+M106-V105)))</f>
        <v>311.4608974358971</v>
      </c>
      <c r="O106" s="13">
        <f>N106*VLOOKUP('Données projet'!$B$9,Paramètres!$A$1:$I$89,3,0)*VLOOKUP('Données projet'!$B$9,Paramètres!$A$1:$I$89,5,0)</f>
        <v>281.80981999999966</v>
      </c>
      <c r="P106" s="13">
        <f t="shared" si="87"/>
        <v>67.349332340203063</v>
      </c>
      <c r="Q106" s="20">
        <f t="shared" si="107"/>
        <v>608.11885699251968</v>
      </c>
      <c r="R106" s="59">
        <f t="shared" si="55"/>
        <v>901.45219032585305</v>
      </c>
      <c r="S106" s="59">
        <f ca="1">AVERAGE(OFFSET($R$3,0,0,'Données projet'!$E$9+1,1))-AVERAGE(OFFSET($H$3,0,0,'Données projet'!$E$9+1,1))</f>
        <v>309.07357540707869</v>
      </c>
      <c r="T106" s="59">
        <f t="shared" si="88"/>
        <v>155.9593924683299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6.071794871794876</v>
      </c>
      <c r="AI106" s="13">
        <f>IF('Données projet'!$A$62&gt;35,AI105+AH106-AQ105,IF(A106&lt;'Données projet'!$A$62,$AF$205^A106,IF(A106='Données projet'!$A$62,'Données projet'!$B$62,AI105+AH106-AQ105)))</f>
        <v>273.64615384615371</v>
      </c>
      <c r="AJ106" s="13">
        <f>AI106*VLOOKUP('Données projet'!$B$10,Paramètres!$A$1:$I$89,3,0)*VLOOKUP('Données projet'!$B$10,Paramètres!$A$1:$I$89,5,0)</f>
        <v>247.59503999999987</v>
      </c>
      <c r="AK106" s="13">
        <f t="shared" si="89"/>
        <v>60.070665499481535</v>
      </c>
      <c r="AL106" s="20">
        <f t="shared" si="58"/>
        <v>535.85110374493013</v>
      </c>
      <c r="AM106" s="59">
        <f t="shared" si="59"/>
        <v>829.1844370782635</v>
      </c>
      <c r="AN106" s="59">
        <f ca="1">AVERAGE(OFFSET($AM$3,0,0,'Données projet'!$E$10+1,1))-AVERAGE(OFFSET($H$3,0,0,'Données projet'!$E$10+1,1))</f>
        <v>234.30804102916278</v>
      </c>
      <c r="AO106" s="59">
        <f t="shared" si="90"/>
        <v>91.137993288782411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7.5015384615384617</v>
      </c>
      <c r="BD106" s="12">
        <f>IF('Données projet'!$A$88&gt;35,BD105+BC106-BL105,IF(A106&lt;'Données projet'!$A$88,$BA$205^A106,IF(A106='Données projet'!$A$88,'Données projet'!$B$88,BD105+BC106-BL105)))</f>
        <v>294.712307692308</v>
      </c>
      <c r="BE106" s="13">
        <f>BD106*VLOOKUP('Données projet'!$B$11,Paramètres!$A$1:$I$89,3,0)*VLOOKUP('Données projet'!$B$11,Paramètres!$A$1:$I$89,5,0)</f>
        <v>137.92536000000015</v>
      </c>
      <c r="BF106" s="13">
        <f t="shared" si="91"/>
        <v>35.82132242479814</v>
      </c>
      <c r="BG106" s="20">
        <f t="shared" si="61"/>
        <v>302.6088052231903</v>
      </c>
      <c r="BH106" s="59">
        <f t="shared" si="62"/>
        <v>595.94213855652356</v>
      </c>
      <c r="BI106" s="59">
        <f ca="1">AVERAGE(OFFSET($BH$3,0,0,'Données projet'!$E$11+1,1))-AVERAGE(OFFSET($H$3,0,0,'Données projet'!$E$11+1,1))</f>
        <v>158.58786357608489</v>
      </c>
      <c r="BJ106" s="59">
        <f t="shared" si="92"/>
        <v>163.20074068819849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7.882692307692305</v>
      </c>
      <c r="BY106" s="12">
        <f>IF('Données projet'!$A$114&gt;35,BY105+BX106-CG105,IF(A106&lt;'Données projet'!$A$114,$BV$205^A106,IF(A106='Données projet'!$A$114,'Données projet'!$B$114,BY105+BX106-CG105)))</f>
        <v>365.9038461538463</v>
      </c>
      <c r="BZ106" s="13">
        <f>BY106*VLOOKUP('Données projet'!$B$12,Paramètres!$A$1:$I$89,3,0)*VLOOKUP('Données projet'!$B$12,Paramètres!$A$1:$I$89,5,0)</f>
        <v>171.24300000000005</v>
      </c>
      <c r="CA106" s="13">
        <f t="shared" si="93"/>
        <v>43.36829608954848</v>
      </c>
      <c r="CB106" s="20">
        <f t="shared" si="64"/>
        <v>373.781340689297</v>
      </c>
      <c r="CC106" s="59">
        <f t="shared" si="65"/>
        <v>667.11467402263031</v>
      </c>
      <c r="CD106" s="59">
        <f ca="1">AVERAGE(OFFSET($CC$3,0,0,'Données projet'!$E$12+1,1))-AVERAGE(OFFSET($H$3,0,0,'Données projet'!$E$12+1,1))</f>
        <v>123.2823358462245</v>
      </c>
      <c r="CE106" s="59">
        <f t="shared" si="94"/>
        <v>92.75115399786057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-2.8421709430404007E-13</v>
      </c>
      <c r="CU106" s="17">
        <f>CT106*VLOOKUP('Données projet'!$B$13,Paramètres!$A$1:$I$89,3,0)*VLOOKUP('Données projet'!$B$13,Paramètres!$A$1:$I$89,5,0)</f>
        <v>-1.69961822393816E-13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179.32848817523677</v>
      </c>
      <c r="CZ106" s="59">
        <f t="shared" si="96"/>
        <v>131.3292389103035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1.7414475922430772</v>
      </c>
      <c r="DH106" s="21">
        <f>EXP(-LN(2)/2)*DH105+(1-EXP(-LN(2)/2))/(LN(2)/2)*DB106*DE106*VLOOKUP('Données projet'!$B$13,Paramètres!$A$1:$I$89,3,0)*0.475*44/12</f>
        <v>5.4153651947115917E-11</v>
      </c>
      <c r="DI106" s="22">
        <f t="shared" si="69"/>
        <v>1.7414475922972308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7.2711538461538394</v>
      </c>
      <c r="DO106" s="12">
        <f>IF('Données projet'!$A$166&gt;35,DO105+DN106-DW105,IF(A106&lt;'Données projet'!$A$166,$DL$205^A106,IF(A106='Données projet'!$A$166,'Données projet'!$B$166,DO105+DN106-DW105)))</f>
        <v>311.4608974358971</v>
      </c>
      <c r="DP106" s="17">
        <f>DO106*VLOOKUP('Données projet'!$B$14,Paramètres!$A$1:$I$89,3,0)*VLOOKUP('Données projet'!$B$14,Paramètres!$A$1:$I$89,5,0)</f>
        <v>301.24497999999966</v>
      </c>
      <c r="DQ106" s="13">
        <f t="shared" si="97"/>
        <v>71.437396163773144</v>
      </c>
      <c r="DR106" s="20">
        <f t="shared" si="70"/>
        <v>649.08847181857095</v>
      </c>
      <c r="DS106" s="59">
        <f t="shared" si="71"/>
        <v>942.42180515190421</v>
      </c>
      <c r="DT106" s="59">
        <f ca="1">AVERAGE(OFFSET($DS$3,0,0,'Données projet'!$E$14+1,1))-AVERAGE(OFFSET($H$3,0,0,'Données projet'!$E$14+1,1))</f>
        <v>340.4659523898373</v>
      </c>
      <c r="DU106" s="59">
        <f t="shared" si="98"/>
        <v>170.54530785680572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0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6.071794871794876</v>
      </c>
      <c r="EJ106" s="12">
        <f>IF('Données projet'!$A$192&gt;35,EJ105+EI106-ER105,IF(A106&lt;'Données projet'!$A$192,$EG$205^A106,IF(A106='Données projet'!$A$192,'Données projet'!$B$192,EJ105+EI106-ER105)))</f>
        <v>273.64615384615371</v>
      </c>
      <c r="EK106" s="17">
        <f>EJ106*VLOOKUP('Données projet'!$B$15,Paramètres!$A$1:$I$89,3,0)*VLOOKUP('Données projet'!$B$15,Paramètres!$A$1:$I$89,5,0)</f>
        <v>264.67055999999991</v>
      </c>
      <c r="EL106" s="13">
        <f t="shared" si="99"/>
        <v>63.716918638944655</v>
      </c>
      <c r="EM106" s="20">
        <f t="shared" si="73"/>
        <v>571.94152529616179</v>
      </c>
      <c r="EN106" s="59">
        <f t="shared" si="74"/>
        <v>865.27485862949516</v>
      </c>
      <c r="EO106" s="59">
        <f ca="1">AVERAGE(OFFSET($EN$3,0,0,'Données projet'!$E$15+1,1))-AVERAGE(OFFSET($H$3,0,0,'Données projet'!$E$15+1,1))</f>
        <v>262.20955982183017</v>
      </c>
      <c r="EP106" s="59">
        <f t="shared" si="100"/>
        <v>101.35842063036193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5.6843418860808015E-14</v>
      </c>
      <c r="FF106" s="17">
        <f>FE106*VLOOKUP('Données projet'!$B$16,Paramètres!$A$1:$I$89,3,0)*VLOOKUP('Données projet'!$B$16,Paramètres!$A$1:$I$89,5,0)</f>
        <v>4.5224624045658861E-14</v>
      </c>
      <c r="FG106" s="13">
        <f t="shared" si="101"/>
        <v>7.4514601661523691E-13</v>
      </c>
      <c r="FH106" s="20">
        <f t="shared" si="76"/>
        <v>1.3765621991510601E-12</v>
      </c>
      <c r="FI106" s="59">
        <f t="shared" si="77"/>
        <v>293.33333333333468</v>
      </c>
      <c r="FJ106" s="59">
        <f ca="1">AVERAGE(OFFSET($FI$3,0,0,'Données projet'!$E$16+1,1))-AVERAGE(OFFSET($H$3,0,0,'Données projet'!$E$16+1,1))</f>
        <v>199.58763537752952</v>
      </c>
      <c r="FK106" s="59">
        <f t="shared" si="102"/>
        <v>242.62852778451929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1.3586614548545586</v>
      </c>
      <c r="FS106" s="21">
        <f>EXP(-LN(2)/2)*FS105+(1-EXP(-LN(2)/2))/(LN(2)/2)*FM106*FP106*VLOOKUP('Données projet'!$B$16,Paramètres!$A$1:$I$89,3,0)*0.475*44/12</f>
        <v>1.1073383089360176E-10</v>
      </c>
      <c r="FT106" s="22">
        <f t="shared" si="78"/>
        <v>1.3586614549652924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5.6843418860808015E-14</v>
      </c>
      <c r="GA106" s="17">
        <f>FZ106*VLOOKUP('Données projet'!$B$17,Paramètres!$A$1:$I$89,3,0)*VLOOKUP('Données projet'!$B$17,Paramètres!$A$1:$I$89,5,0)</f>
        <v>4.1677594708744434E-14</v>
      </c>
      <c r="GB106" s="13">
        <f t="shared" si="103"/>
        <v>6.9326303456159188E-13</v>
      </c>
      <c r="GC106" s="20">
        <f t="shared" si="79"/>
        <v>1.2800215959791691E-12</v>
      </c>
      <c r="GD106" s="59">
        <f t="shared" si="80"/>
        <v>293.33333333333462</v>
      </c>
      <c r="GE106" s="59">
        <f ca="1">AVERAGE(OFFSET($GD$3,0,0,'Données projet'!$E$17+1,1))-AVERAGE(OFFSET($H$3,0,0,'Données projet'!$E$17+1,1))</f>
        <v>178.12968684094687</v>
      </c>
      <c r="GF106" s="59">
        <f t="shared" si="104"/>
        <v>219.36004077210373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1.0158545320980621</v>
      </c>
      <c r="GN106" s="21">
        <f>EXP(-LN(2)/2)*GN105+(1-EXP(-LN(2)/2))/(LN(2)/2)*GH106*GK106*VLOOKUP('Données projet'!$B$17,Paramètres!$A$1:$I$89,3,0)*0.475*44/12</f>
        <v>1.0204882454900545E-10</v>
      </c>
      <c r="GO106" s="21">
        <f t="shared" si="81"/>
        <v>1.0158545322001109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5.6843418860808015E-14</v>
      </c>
      <c r="GV106" s="17">
        <f>GU106*VLOOKUP('Données projet'!$B$18,Paramètres!$A$1:$I$89,3,0)*VLOOKUP('Données projet'!$B$18,Paramètres!$A$1:$I$89,5,0)</f>
        <v>4.5224624045658861E-14</v>
      </c>
      <c r="GW106" s="13">
        <f t="shared" si="105"/>
        <v>7.4514601661523691E-13</v>
      </c>
      <c r="GX106" s="20">
        <f t="shared" si="82"/>
        <v>1.3765621991510601E-12</v>
      </c>
      <c r="GY106" s="59">
        <f t="shared" si="83"/>
        <v>293.33333333333468</v>
      </c>
      <c r="GZ106" s="59">
        <f ca="1">AVERAGE(OFFSET($GY$3,0,0,'Données projet'!$E$18+1,1))-AVERAGE(OFFSET($H$3,0,0,'Données projet'!$E$18+1,1))</f>
        <v>199.58763537752952</v>
      </c>
      <c r="HA106" s="59">
        <f t="shared" si="106"/>
        <v>242.62852778451929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0</v>
      </c>
      <c r="HH106" s="21">
        <f>EXP(-LN(2)/25)*HH105+(1-EXP(-LN(2)/25))/(LN(2)/25)*Calculateur!HC106*Calculateur!HE106*VLOOKUP('Données projet'!$B$18,Paramètres!$A$1:$I$89,3,0)*0.475*44/12</f>
        <v>1.3586614548545586</v>
      </c>
      <c r="HI106" s="21">
        <f>EXP(-LN(2)/2)*HI105+(1-EXP(-LN(2)/2))/(LN(2)/2)*HC106*HF106*VLOOKUP('Données projet'!$B$18,Paramètres!$A$1:$I$89,3,0)*0.475*44/12</f>
        <v>1.1073383089360176E-10</v>
      </c>
      <c r="HJ106" s="22">
        <f t="shared" si="84"/>
        <v>1.3586614549652924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7.2711538461538394</v>
      </c>
      <c r="N107" s="13">
        <f>IF('Données projet'!$A$36&gt;35,N106+M107-V106,IF(A107&lt;'Données projet'!$A$36,$K$205^A107,IF(A107='Données projet'!$A$36,'Données projet'!$B$36,N106+M107-V106)))</f>
        <v>318.73205128205092</v>
      </c>
      <c r="O107" s="13">
        <f>N107*VLOOKUP('Données projet'!$B$9,Paramètres!$A$1:$I$89,3,0)*VLOOKUP('Données projet'!$B$9,Paramètres!$A$1:$I$89,5,0)</f>
        <v>288.38875999999971</v>
      </c>
      <c r="P107" s="13">
        <f t="shared" si="87"/>
        <v>68.736737801641027</v>
      </c>
      <c r="Q107" s="20">
        <f t="shared" si="107"/>
        <v>621.99357533785758</v>
      </c>
      <c r="R107" s="59">
        <f t="shared" si="55"/>
        <v>915.32690867119095</v>
      </c>
      <c r="S107" s="59">
        <f ca="1">AVERAGE(OFFSET($R$3,0,0,'Données projet'!$E$9+1,1))-AVERAGE(OFFSET($H$3,0,0,'Données projet'!$E$9+1,1))</f>
        <v>309.07357540707869</v>
      </c>
      <c r="T107" s="59">
        <f t="shared" si="88"/>
        <v>155.9593924683299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279.71794871794873</v>
      </c>
      <c r="AG107" s="12">
        <f>VLOOKUP(A107,'Données projet'!$A$61:$I$81,9,0)</f>
        <v>6.071794871794876</v>
      </c>
      <c r="AH107" s="12">
        <f t="array" ref="AH107">INDEX(AG:AG,MIN(IF(ISNUMBER(AG107:AG303),ROW(AG107:AG303),"")))</f>
        <v>6.071794871794876</v>
      </c>
      <c r="AI107" s="13">
        <f>IF('Données projet'!$A$62&gt;35,AI106+AH107-AQ106,IF(A107&lt;'Données projet'!$A$62,$AF$205^A107,IF(A107='Données projet'!$A$62,'Données projet'!$B$62,AI106+AH107-AQ106)))</f>
        <v>279.71794871794856</v>
      </c>
      <c r="AJ107" s="13">
        <f>AI107*VLOOKUP('Données projet'!$B$10,Paramètres!$A$1:$I$89,3,0)*VLOOKUP('Données projet'!$B$10,Paramètres!$A$1:$I$89,5,0)</f>
        <v>253.08879999999985</v>
      </c>
      <c r="AK107" s="13">
        <f t="shared" si="89"/>
        <v>61.246887447404895</v>
      </c>
      <c r="AL107" s="20">
        <f t="shared" si="58"/>
        <v>547.4679889708965</v>
      </c>
      <c r="AM107" s="59">
        <f t="shared" si="59"/>
        <v>840.80132230422987</v>
      </c>
      <c r="AN107" s="59">
        <f ca="1">AVERAGE(OFFSET($AM$3,0,0,'Données projet'!$E$10+1,1))-AVERAGE(OFFSET($H$3,0,0,'Données projet'!$E$10+1,1))</f>
        <v>234.30804102916278</v>
      </c>
      <c r="AO107" s="59">
        <f t="shared" si="90"/>
        <v>91.137993288782411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45.987179487179482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7.5015384615384617</v>
      </c>
      <c r="BD107" s="12">
        <f>IF('Données projet'!$A$88&gt;35,BD106+BC107-BL106,IF(A107&lt;'Données projet'!$A$88,$BA$205^A107,IF(A107='Données projet'!$A$88,'Données projet'!$B$88,BD106+BC107-BL106)))</f>
        <v>302.21384615384648</v>
      </c>
      <c r="BE107" s="13">
        <f>BD107*VLOOKUP('Données projet'!$B$11,Paramètres!$A$1:$I$89,3,0)*VLOOKUP('Données projet'!$B$11,Paramètres!$A$1:$I$89,5,0)</f>
        <v>141.43608000000015</v>
      </c>
      <c r="BF107" s="13">
        <f t="shared" si="91"/>
        <v>36.625795598426585</v>
      </c>
      <c r="BG107" s="20">
        <f t="shared" si="61"/>
        <v>310.12443333392656</v>
      </c>
      <c r="BH107" s="59">
        <f t="shared" si="62"/>
        <v>603.45776666725988</v>
      </c>
      <c r="BI107" s="59">
        <f ca="1">AVERAGE(OFFSET($BH$3,0,0,'Données projet'!$E$11+1,1))-AVERAGE(OFFSET($H$3,0,0,'Données projet'!$E$11+1,1))</f>
        <v>158.58786357608489</v>
      </c>
      <c r="BJ107" s="59">
        <f t="shared" si="92"/>
        <v>163.20074068819849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7.882692307692305</v>
      </c>
      <c r="BY107" s="12">
        <f>IF('Données projet'!$A$114&gt;35,BY106+BX107-CG106,IF(A107&lt;'Données projet'!$A$114,$BV$205^A107,IF(A107='Données projet'!$A$114,'Données projet'!$B$114,BY106+BX107-CG106)))</f>
        <v>373.78653846153861</v>
      </c>
      <c r="BZ107" s="13">
        <f>BY107*VLOOKUP('Données projet'!$B$12,Paramètres!$A$1:$I$89,3,0)*VLOOKUP('Données projet'!$B$12,Paramètres!$A$1:$I$89,5,0)</f>
        <v>174.93210000000008</v>
      </c>
      <c r="CA107" s="13">
        <f t="shared" si="93"/>
        <v>44.192804567069857</v>
      </c>
      <c r="CB107" s="20">
        <f t="shared" si="64"/>
        <v>381.64254212098012</v>
      </c>
      <c r="CC107" s="59">
        <f t="shared" si="65"/>
        <v>674.97587545431338</v>
      </c>
      <c r="CD107" s="59">
        <f ca="1">AVERAGE(OFFSET($CC$3,0,0,'Données projet'!$E$12+1,1))-AVERAGE(OFFSET($H$3,0,0,'Données projet'!$E$12+1,1))</f>
        <v>123.2823358462245</v>
      </c>
      <c r="CE107" s="59">
        <f t="shared" si="94"/>
        <v>92.75115399786057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-2.8421709430404007E-13</v>
      </c>
      <c r="CU107" s="17">
        <f>CT107*VLOOKUP('Données projet'!$B$13,Paramètres!$A$1:$I$89,3,0)*VLOOKUP('Données projet'!$B$13,Paramètres!$A$1:$I$89,5,0)</f>
        <v>-1.69961822393816E-13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179.32848817523677</v>
      </c>
      <c r="CZ107" s="59">
        <f t="shared" si="96"/>
        <v>131.3292389103035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1.6938276162544414</v>
      </c>
      <c r="DH107" s="21">
        <f>EXP(-LN(2)/2)*DH106+(1-EXP(-LN(2)/2))/(LN(2)/2)*DB107*DE107*VLOOKUP('Données projet'!$B$13,Paramètres!$A$1:$I$89,3,0)*0.475*44/12</f>
        <v>3.8292414517821747E-11</v>
      </c>
      <c r="DI107" s="22">
        <f t="shared" si="69"/>
        <v>1.6938276162927339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7.2711538461538394</v>
      </c>
      <c r="DO107" s="12">
        <f>IF('Données projet'!$A$166&gt;35,DO106+DN107-DW106,IF(A107&lt;'Données projet'!$A$166,$DL$205^A107,IF(A107='Données projet'!$A$166,'Données projet'!$B$166,DO106+DN107-DW106)))</f>
        <v>318.73205128205092</v>
      </c>
      <c r="DP107" s="17">
        <f>DO107*VLOOKUP('Données projet'!$B$14,Paramètres!$A$1:$I$89,3,0)*VLOOKUP('Données projet'!$B$14,Paramètres!$A$1:$I$89,5,0)</f>
        <v>308.27763999999962</v>
      </c>
      <c r="DQ107" s="13">
        <f t="shared" si="97"/>
        <v>72.909016299335477</v>
      </c>
      <c r="DR107" s="20">
        <f t="shared" si="70"/>
        <v>663.90009305467527</v>
      </c>
      <c r="DS107" s="59">
        <f t="shared" si="71"/>
        <v>957.23342638800864</v>
      </c>
      <c r="DT107" s="59">
        <f ca="1">AVERAGE(OFFSET($DS$3,0,0,'Données projet'!$E$14+1,1))-AVERAGE(OFFSET($H$3,0,0,'Données projet'!$E$14+1,1))</f>
        <v>340.4659523898373</v>
      </c>
      <c r="DU107" s="59">
        <f t="shared" si="98"/>
        <v>170.54530785680572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0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>
        <f>VLOOKUP(A107,'Données projet'!$A$191:$I$211,2,0)</f>
        <v>279.71794871794873</v>
      </c>
      <c r="EH107" s="12">
        <f>VLOOKUP(A107,'Données projet'!$A$191:$I$211,9,0)</f>
        <v>6.071794871794876</v>
      </c>
      <c r="EI107" s="12">
        <f t="array" ref="EI107">INDEX(EH:EH,MIN(IF(ISNUMBER(EH107:EH303),ROW(EH107:EH303),"")))</f>
        <v>6.071794871794876</v>
      </c>
      <c r="EJ107" s="12">
        <f>IF('Données projet'!$A$192&gt;35,EJ106+EI107-ER106,IF(A107&lt;'Données projet'!$A$192,$EG$205^A107,IF(A107='Données projet'!$A$192,'Données projet'!$B$192,EJ106+EI107-ER106)))</f>
        <v>279.71794871794856</v>
      </c>
      <c r="EK107" s="17">
        <f>EJ107*VLOOKUP('Données projet'!$B$15,Paramètres!$A$1:$I$89,3,0)*VLOOKUP('Données projet'!$B$15,Paramètres!$A$1:$I$89,5,0)</f>
        <v>270.5431999999999</v>
      </c>
      <c r="EL107" s="13">
        <f t="shared" si="99"/>
        <v>64.964536549184444</v>
      </c>
      <c r="EM107" s="20">
        <f t="shared" si="73"/>
        <v>584.34264115649614</v>
      </c>
      <c r="EN107" s="59">
        <f t="shared" si="74"/>
        <v>877.67597448982951</v>
      </c>
      <c r="EO107" s="59">
        <f ca="1">AVERAGE(OFFSET($EN$3,0,0,'Données projet'!$E$15+1,1))-AVERAGE(OFFSET($H$3,0,0,'Données projet'!$E$15+1,1))</f>
        <v>262.20955982183017</v>
      </c>
      <c r="EP107" s="59">
        <f t="shared" si="100"/>
        <v>101.35842063036193</v>
      </c>
      <c r="EQ107" s="15">
        <f>IF(ISNA(VLOOKUP(A107,'Données projet'!$A$191:$I$211,3,0)),0,VLOOKUP(A107,'Données projet'!$A$191:$I$211,3,0))</f>
        <v>8</v>
      </c>
      <c r="ER107" s="15">
        <f>IF(ISNA(VLOOKUP(A107,'Données projet'!$A$191:$I$211,4,0)),0,VLOOKUP(A107,'Données projet'!$A$191:$I$211,4,0))</f>
        <v>45.987179487179482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5.6843418860808015E-14</v>
      </c>
      <c r="FF107" s="17">
        <f>FE107*VLOOKUP('Données projet'!$B$16,Paramètres!$A$1:$I$89,3,0)*VLOOKUP('Données projet'!$B$16,Paramètres!$A$1:$I$89,5,0)</f>
        <v>4.5224624045658861E-14</v>
      </c>
      <c r="FG107" s="13">
        <f t="shared" si="101"/>
        <v>7.4514601661523691E-13</v>
      </c>
      <c r="FH107" s="20">
        <f t="shared" si="76"/>
        <v>1.3765621991510601E-12</v>
      </c>
      <c r="FI107" s="59">
        <f t="shared" si="77"/>
        <v>293.33333333333468</v>
      </c>
      <c r="FJ107" s="59">
        <f ca="1">AVERAGE(OFFSET($FI$3,0,0,'Données projet'!$E$16+1,1))-AVERAGE(OFFSET($H$3,0,0,'Données projet'!$E$16+1,1))</f>
        <v>199.58763537752952</v>
      </c>
      <c r="FK107" s="59">
        <f t="shared" si="102"/>
        <v>242.62852778451929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1.32150878592266</v>
      </c>
      <c r="FS107" s="21">
        <f>EXP(-LN(2)/2)*FS106+(1-EXP(-LN(2)/2))/(LN(2)/2)*FM107*FP107*VLOOKUP('Données projet'!$B$16,Paramètres!$A$1:$I$89,3,0)*0.475*44/12</f>
        <v>7.8300642731630214E-11</v>
      </c>
      <c r="FT107" s="22">
        <f t="shared" si="78"/>
        <v>1.3215087860009607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5.6843418860808015E-14</v>
      </c>
      <c r="GA107" s="17">
        <f>FZ107*VLOOKUP('Données projet'!$B$17,Paramètres!$A$1:$I$89,3,0)*VLOOKUP('Données projet'!$B$17,Paramètres!$A$1:$I$89,5,0)</f>
        <v>4.1677594708744434E-14</v>
      </c>
      <c r="GB107" s="13">
        <f t="shared" si="103"/>
        <v>6.9326303456159188E-13</v>
      </c>
      <c r="GC107" s="20">
        <f t="shared" si="79"/>
        <v>1.2800215959791691E-12</v>
      </c>
      <c r="GD107" s="59">
        <f t="shared" si="80"/>
        <v>293.33333333333462</v>
      </c>
      <c r="GE107" s="59">
        <f ca="1">AVERAGE(OFFSET($GD$3,0,0,'Données projet'!$E$17+1,1))-AVERAGE(OFFSET($H$3,0,0,'Données projet'!$E$17+1,1))</f>
        <v>178.12968684094687</v>
      </c>
      <c r="GF107" s="59">
        <f t="shared" si="104"/>
        <v>219.36004077210373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0.98807593649637249</v>
      </c>
      <c r="GN107" s="21">
        <f>EXP(-LN(2)/2)*GN106+(1-EXP(-LN(2)/2))/(LN(2)/2)*GH107*GK107*VLOOKUP('Données projet'!$B$17,Paramètres!$A$1:$I$89,3,0)*0.475*44/12</f>
        <v>7.2159415850717977E-11</v>
      </c>
      <c r="GO107" s="21">
        <f t="shared" si="81"/>
        <v>0.98807593656853188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5.6843418860808015E-14</v>
      </c>
      <c r="GV107" s="17">
        <f>GU107*VLOOKUP('Données projet'!$B$18,Paramètres!$A$1:$I$89,3,0)*VLOOKUP('Données projet'!$B$18,Paramètres!$A$1:$I$89,5,0)</f>
        <v>4.5224624045658861E-14</v>
      </c>
      <c r="GW107" s="13">
        <f t="shared" si="105"/>
        <v>7.4514601661523691E-13</v>
      </c>
      <c r="GX107" s="20">
        <f t="shared" si="82"/>
        <v>1.3765621991510601E-12</v>
      </c>
      <c r="GY107" s="59">
        <f t="shared" si="83"/>
        <v>293.33333333333468</v>
      </c>
      <c r="GZ107" s="59">
        <f ca="1">AVERAGE(OFFSET($GY$3,0,0,'Données projet'!$E$18+1,1))-AVERAGE(OFFSET($H$3,0,0,'Données projet'!$E$18+1,1))</f>
        <v>199.58763537752952</v>
      </c>
      <c r="HA107" s="59">
        <f t="shared" si="106"/>
        <v>242.62852778451929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0</v>
      </c>
      <c r="HH107" s="21">
        <f>EXP(-LN(2)/25)*HH106+(1-EXP(-LN(2)/25))/(LN(2)/25)*Calculateur!HC107*Calculateur!HE107*VLOOKUP('Données projet'!$B$18,Paramètres!$A$1:$I$89,3,0)*0.475*44/12</f>
        <v>1.32150878592266</v>
      </c>
      <c r="HI107" s="21">
        <f>EXP(-LN(2)/2)*HI106+(1-EXP(-LN(2)/2))/(LN(2)/2)*HC107*HF107*VLOOKUP('Données projet'!$B$18,Paramètres!$A$1:$I$89,3,0)*0.475*44/12</f>
        <v>7.8300642731630214E-11</v>
      </c>
      <c r="HJ107" s="22">
        <f t="shared" si="84"/>
        <v>1.3215087860009607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7.2711538461538394</v>
      </c>
      <c r="N108" s="13">
        <f>IF('Données projet'!$A$36&gt;35,N107+M108-V107,IF(A108&lt;'Données projet'!$A$36,$K$205^A108,IF(A108='Données projet'!$A$36,'Données projet'!$B$36,N107+M108-V107)))</f>
        <v>326.00320512820474</v>
      </c>
      <c r="O108" s="13">
        <f>N108*VLOOKUP('Données projet'!$B$9,Paramètres!$A$1:$I$89,3,0)*VLOOKUP('Données projet'!$B$9,Paramètres!$A$1:$I$89,5,0)</f>
        <v>294.96769999999964</v>
      </c>
      <c r="P108" s="13">
        <f t="shared" si="87"/>
        <v>70.120463691076594</v>
      </c>
      <c r="Q108" s="20">
        <f t="shared" si="107"/>
        <v>635.86188509529109</v>
      </c>
      <c r="R108" s="59">
        <f t="shared" si="55"/>
        <v>929.19521842862446</v>
      </c>
      <c r="S108" s="59">
        <f ca="1">AVERAGE(OFFSET($R$3,0,0,'Données projet'!$E$9+1,1))-AVERAGE(OFFSET($H$3,0,0,'Données projet'!$E$9+1,1))</f>
        <v>309.07357540707869</v>
      </c>
      <c r="T108" s="59">
        <f t="shared" si="88"/>
        <v>155.9593924683299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5.9865384615384558</v>
      </c>
      <c r="AI108" s="13">
        <f>IF('Données projet'!$A$62&gt;35,AI107+AH108-AQ107,IF(A108&lt;'Données projet'!$A$62,$AF$205^A108,IF(A108='Données projet'!$A$62,'Données projet'!$B$62,AI107+AH108-AQ107)))</f>
        <v>239.71730769230751</v>
      </c>
      <c r="AJ108" s="13">
        <f>AI108*VLOOKUP('Données projet'!$B$10,Paramètres!$A$1:$I$89,3,0)*VLOOKUP('Données projet'!$B$10,Paramètres!$A$1:$I$89,5,0)</f>
        <v>216.89621999999983</v>
      </c>
      <c r="AK108" s="13">
        <f t="shared" si="89"/>
        <v>53.439737642112412</v>
      </c>
      <c r="AL108" s="20">
        <f t="shared" si="58"/>
        <v>470.83512622667882</v>
      </c>
      <c r="AM108" s="59">
        <f t="shared" si="59"/>
        <v>764.16845956001214</v>
      </c>
      <c r="AN108" s="59">
        <f ca="1">AVERAGE(OFFSET($AM$3,0,0,'Données projet'!$E$10+1,1))-AVERAGE(OFFSET($H$3,0,0,'Données projet'!$E$10+1,1))</f>
        <v>234.30804102916278</v>
      </c>
      <c r="AO108" s="59">
        <f t="shared" si="90"/>
        <v>91.137993288782411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309.71538461538461</v>
      </c>
      <c r="BB108" s="12">
        <f>VLOOKUP(A108,'Données projet'!$A$87:$I$107,9,0)</f>
        <v>7.5015384615384617</v>
      </c>
      <c r="BC108" s="12">
        <f t="array" ref="BC108">INDEX(BB:BB,MIN(IF(ISNUMBER(BB108:BB304),ROW(BB108:BB304),"")))</f>
        <v>7.5015384615384617</v>
      </c>
      <c r="BD108" s="12">
        <f>IF('Données projet'!$A$88&gt;35,BD107+BC108-BL107,IF(A108&lt;'Données projet'!$A$88,$BA$205^A108,IF(A108='Données projet'!$A$88,'Données projet'!$B$88,BD107+BC108-BL107)))</f>
        <v>309.71538461538495</v>
      </c>
      <c r="BE108" s="13">
        <f>BD108*VLOOKUP('Données projet'!$B$11,Paramètres!$A$1:$I$89,3,0)*VLOOKUP('Données projet'!$B$11,Paramètres!$A$1:$I$89,5,0)</f>
        <v>144.94680000000017</v>
      </c>
      <c r="BF108" s="13">
        <f t="shared" si="91"/>
        <v>37.427947530076956</v>
      </c>
      <c r="BG108" s="20">
        <f t="shared" si="61"/>
        <v>317.63601861488428</v>
      </c>
      <c r="BH108" s="59">
        <f t="shared" si="62"/>
        <v>610.96935194821754</v>
      </c>
      <c r="BI108" s="59">
        <f ca="1">AVERAGE(OFFSET($BH$3,0,0,'Données projet'!$E$11+1,1))-AVERAGE(OFFSET($H$3,0,0,'Données projet'!$E$11+1,1))</f>
        <v>158.58786357608489</v>
      </c>
      <c r="BJ108" s="59">
        <f t="shared" si="92"/>
        <v>163.20074068819849</v>
      </c>
      <c r="BK108" s="15">
        <f>IF(ISNA(VLOOKUP(A108,'Données projet'!$A$87:$I$107,3,0)),0,VLOOKUP(A108,'Données projet'!$A$87:$I$107,3,0))</f>
        <v>9</v>
      </c>
      <c r="BL108" s="15">
        <f>IF(ISNA(VLOOKUP(A108,'Données projet'!$A$87:$I$107,4,0)),0,VLOOKUP(A108,'Données projet'!$A$87:$I$107,4,0))</f>
        <v>309.71538461538461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7.882692307692305</v>
      </c>
      <c r="BY108" s="12">
        <f>IF('Données projet'!$A$114&gt;35,BY107+BX108-CG107,IF(A108&lt;'Données projet'!$A$114,$BV$205^A108,IF(A108='Données projet'!$A$114,'Données projet'!$B$114,BY107+BX108-CG107)))</f>
        <v>381.66923076923092</v>
      </c>
      <c r="BZ108" s="13">
        <f>BY108*VLOOKUP('Données projet'!$B$12,Paramètres!$A$1:$I$89,3,0)*VLOOKUP('Données projet'!$B$12,Paramètres!$A$1:$I$89,5,0)</f>
        <v>178.62120000000007</v>
      </c>
      <c r="CA108" s="13">
        <f t="shared" si="93"/>
        <v>45.015291421812051</v>
      </c>
      <c r="CB108" s="20">
        <f t="shared" si="64"/>
        <v>389.50022255965609</v>
      </c>
      <c r="CC108" s="59">
        <f t="shared" si="65"/>
        <v>682.83355589298935</v>
      </c>
      <c r="CD108" s="59">
        <f ca="1">AVERAGE(OFFSET($CC$3,0,0,'Données projet'!$E$12+1,1))-AVERAGE(OFFSET($H$3,0,0,'Données projet'!$E$12+1,1))</f>
        <v>123.2823358462245</v>
      </c>
      <c r="CE108" s="59">
        <f t="shared" si="94"/>
        <v>92.75115399786057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-2.8421709430404007E-13</v>
      </c>
      <c r="CU108" s="17">
        <f>CT108*VLOOKUP('Données projet'!$B$13,Paramètres!$A$1:$I$89,3,0)*VLOOKUP('Données projet'!$B$13,Paramètres!$A$1:$I$89,5,0)</f>
        <v>-1.69961822393816E-13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179.32848817523677</v>
      </c>
      <c r="CZ108" s="59">
        <f t="shared" si="96"/>
        <v>131.3292389103035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1.6475098110134407</v>
      </c>
      <c r="DH108" s="21">
        <f>EXP(-LN(2)/2)*DH107+(1-EXP(-LN(2)/2))/(LN(2)/2)*DB108*DE108*VLOOKUP('Données projet'!$B$13,Paramètres!$A$1:$I$89,3,0)*0.475*44/12</f>
        <v>2.7076825973557958E-11</v>
      </c>
      <c r="DI108" s="22">
        <f t="shared" si="69"/>
        <v>1.6475098110405175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7.2711538461538394</v>
      </c>
      <c r="DO108" s="12">
        <f>IF('Données projet'!$A$166&gt;35,DO107+DN108-DW107,IF(A108&lt;'Données projet'!$A$166,$DL$205^A108,IF(A108='Données projet'!$A$166,'Données projet'!$B$166,DO107+DN108-DW107)))</f>
        <v>326.00320512820474</v>
      </c>
      <c r="DP108" s="17">
        <f>DO108*VLOOKUP('Données projet'!$B$14,Paramètres!$A$1:$I$89,3,0)*VLOOKUP('Données projet'!$B$14,Paramètres!$A$1:$I$89,5,0)</f>
        <v>315.31029999999964</v>
      </c>
      <c r="DQ108" s="13">
        <f t="shared" si="97"/>
        <v>74.376733515095907</v>
      </c>
      <c r="DR108" s="20">
        <f t="shared" si="70"/>
        <v>678.704916705458</v>
      </c>
      <c r="DS108" s="59">
        <f t="shared" si="71"/>
        <v>972.03825003879138</v>
      </c>
      <c r="DT108" s="59">
        <f ca="1">AVERAGE(OFFSET($DS$3,0,0,'Données projet'!$E$14+1,1))-AVERAGE(OFFSET($H$3,0,0,'Données projet'!$E$14+1,1))</f>
        <v>340.4659523898373</v>
      </c>
      <c r="DU108" s="59">
        <f t="shared" si="98"/>
        <v>170.54530785680572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0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5.9865384615384558</v>
      </c>
      <c r="EJ108" s="12">
        <f>IF('Données projet'!$A$192&gt;35,EJ107+EI108-ER107,IF(A108&lt;'Données projet'!$A$192,$EG$205^A108,IF(A108='Données projet'!$A$192,'Données projet'!$B$192,EJ107+EI108-ER107)))</f>
        <v>239.71730769230751</v>
      </c>
      <c r="EK108" s="17">
        <f>EJ108*VLOOKUP('Données projet'!$B$15,Paramètres!$A$1:$I$89,3,0)*VLOOKUP('Données projet'!$B$15,Paramètres!$A$1:$I$89,5,0)</f>
        <v>231.85457999999986</v>
      </c>
      <c r="EL108" s="13">
        <f t="shared" si="99"/>
        <v>56.68349746280763</v>
      </c>
      <c r="EM108" s="20">
        <f t="shared" si="73"/>
        <v>502.53715158105643</v>
      </c>
      <c r="EN108" s="59">
        <f t="shared" si="74"/>
        <v>795.87048491438975</v>
      </c>
      <c r="EO108" s="59">
        <f ca="1">AVERAGE(OFFSET($EN$3,0,0,'Données projet'!$E$15+1,1))-AVERAGE(OFFSET($H$3,0,0,'Données projet'!$E$15+1,1))</f>
        <v>262.20955982183017</v>
      </c>
      <c r="EP108" s="59">
        <f t="shared" si="100"/>
        <v>101.35842063036193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5.6843418860808015E-14</v>
      </c>
      <c r="FF108" s="17">
        <f>FE108*VLOOKUP('Données projet'!$B$16,Paramètres!$A$1:$I$89,3,0)*VLOOKUP('Données projet'!$B$16,Paramètres!$A$1:$I$89,5,0)</f>
        <v>4.5224624045658861E-14</v>
      </c>
      <c r="FG108" s="13">
        <f t="shared" si="101"/>
        <v>7.4514601661523691E-13</v>
      </c>
      <c r="FH108" s="20">
        <f t="shared" si="76"/>
        <v>1.3765621991510601E-12</v>
      </c>
      <c r="FI108" s="59">
        <f t="shared" si="77"/>
        <v>293.33333333333468</v>
      </c>
      <c r="FJ108" s="59">
        <f ca="1">AVERAGE(OFFSET($FI$3,0,0,'Données projet'!$E$16+1,1))-AVERAGE(OFFSET($H$3,0,0,'Données projet'!$E$16+1,1))</f>
        <v>199.58763537752952</v>
      </c>
      <c r="FK108" s="59">
        <f t="shared" si="102"/>
        <v>242.62852778451929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1.2853720586764781</v>
      </c>
      <c r="FS108" s="21">
        <f>EXP(-LN(2)/2)*FS107+(1-EXP(-LN(2)/2))/(LN(2)/2)*FM108*FP108*VLOOKUP('Données projet'!$B$16,Paramètres!$A$1:$I$89,3,0)*0.475*44/12</f>
        <v>5.5366915446800879E-11</v>
      </c>
      <c r="FT108" s="22">
        <f t="shared" si="78"/>
        <v>1.2853720587318449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5.6843418860808015E-14</v>
      </c>
      <c r="GA108" s="17">
        <f>FZ108*VLOOKUP('Données projet'!$B$17,Paramètres!$A$1:$I$89,3,0)*VLOOKUP('Données projet'!$B$17,Paramètres!$A$1:$I$89,5,0)</f>
        <v>4.1677594708744434E-14</v>
      </c>
      <c r="GB108" s="13">
        <f t="shared" si="103"/>
        <v>6.9326303456159188E-13</v>
      </c>
      <c r="GC108" s="20">
        <f t="shared" si="79"/>
        <v>1.2800215959791691E-12</v>
      </c>
      <c r="GD108" s="59">
        <f t="shared" si="80"/>
        <v>293.33333333333462</v>
      </c>
      <c r="GE108" s="59">
        <f ca="1">AVERAGE(OFFSET($GD$3,0,0,'Données projet'!$E$17+1,1))-AVERAGE(OFFSET($H$3,0,0,'Données projet'!$E$17+1,1))</f>
        <v>178.12968684094687</v>
      </c>
      <c r="GF108" s="59">
        <f t="shared" si="104"/>
        <v>219.36004077210373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0.96105694805222397</v>
      </c>
      <c r="GN108" s="21">
        <f>EXP(-LN(2)/2)*GN107+(1-EXP(-LN(2)/2))/(LN(2)/2)*GH108*GK108*VLOOKUP('Données projet'!$B$17,Paramètres!$A$1:$I$89,3,0)*0.475*44/12</f>
        <v>5.1024412274502726E-11</v>
      </c>
      <c r="GO108" s="21">
        <f t="shared" si="81"/>
        <v>0.96105694810324838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5.6843418860808015E-14</v>
      </c>
      <c r="GV108" s="17">
        <f>GU108*VLOOKUP('Données projet'!$B$18,Paramètres!$A$1:$I$89,3,0)*VLOOKUP('Données projet'!$B$18,Paramètres!$A$1:$I$89,5,0)</f>
        <v>4.5224624045658861E-14</v>
      </c>
      <c r="GW108" s="13">
        <f t="shared" si="105"/>
        <v>7.4514601661523691E-13</v>
      </c>
      <c r="GX108" s="20">
        <f t="shared" si="82"/>
        <v>1.3765621991510601E-12</v>
      </c>
      <c r="GY108" s="59">
        <f t="shared" si="83"/>
        <v>293.33333333333468</v>
      </c>
      <c r="GZ108" s="59">
        <f ca="1">AVERAGE(OFFSET($GY$3,0,0,'Données projet'!$E$18+1,1))-AVERAGE(OFFSET($H$3,0,0,'Données projet'!$E$18+1,1))</f>
        <v>199.58763537752952</v>
      </c>
      <c r="HA108" s="59">
        <f t="shared" si="106"/>
        <v>242.62852778451929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0</v>
      </c>
      <c r="HH108" s="21">
        <f>EXP(-LN(2)/25)*HH107+(1-EXP(-LN(2)/25))/(LN(2)/25)*Calculateur!HC108*Calculateur!HE108*VLOOKUP('Données projet'!$B$18,Paramètres!$A$1:$I$89,3,0)*0.475*44/12</f>
        <v>1.2853720586764781</v>
      </c>
      <c r="HI108" s="21">
        <f>EXP(-LN(2)/2)*HI107+(1-EXP(-LN(2)/2))/(LN(2)/2)*HC108*HF108*VLOOKUP('Données projet'!$B$18,Paramètres!$A$1:$I$89,3,0)*0.475*44/12</f>
        <v>5.5366915446800879E-11</v>
      </c>
      <c r="HJ108" s="22">
        <f t="shared" si="84"/>
        <v>1.2853720587318449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7.2711538461538394</v>
      </c>
      <c r="N109" s="13">
        <f>IF('Données projet'!$A$36&gt;35,N108+M109-V108,IF(A109&lt;'Données projet'!$A$36,$K$205^A109,IF(A109='Données projet'!$A$36,'Données projet'!$B$36,N108+M109-V108)))</f>
        <v>333.27435897435856</v>
      </c>
      <c r="O109" s="13">
        <f>N109*VLOOKUP('Données projet'!$B$9,Paramètres!$A$1:$I$89,3,0)*VLOOKUP('Données projet'!$B$9,Paramètres!$A$1:$I$89,5,0)</f>
        <v>301.54663999999963</v>
      </c>
      <c r="P109" s="13">
        <f t="shared" si="87"/>
        <v>71.500601526763546</v>
      </c>
      <c r="Q109" s="20">
        <f t="shared" si="107"/>
        <v>649.72394565911247</v>
      </c>
      <c r="R109" s="59">
        <f t="shared" si="55"/>
        <v>943.05727899244584</v>
      </c>
      <c r="S109" s="59">
        <f ca="1">AVERAGE(OFFSET($R$3,0,0,'Données projet'!$E$9+1,1))-AVERAGE(OFFSET($H$3,0,0,'Données projet'!$E$9+1,1))</f>
        <v>309.07357540707869</v>
      </c>
      <c r="T109" s="59">
        <f t="shared" si="88"/>
        <v>155.9593924683299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5.9865384615384558</v>
      </c>
      <c r="AI109" s="13">
        <f>IF('Données projet'!$A$62&gt;35,AI108+AH109-AQ108,IF(A109&lt;'Données projet'!$A$62,$AF$205^A109,IF(A109='Données projet'!$A$62,'Données projet'!$B$62,AI108+AH109-AQ108)))</f>
        <v>245.70384615384597</v>
      </c>
      <c r="AJ109" s="13">
        <f>AI109*VLOOKUP('Données projet'!$B$10,Paramètres!$A$1:$I$89,3,0)*VLOOKUP('Données projet'!$B$10,Paramètres!$A$1:$I$89,5,0)</f>
        <v>222.31283999999985</v>
      </c>
      <c r="AK109" s="13">
        <f t="shared" si="89"/>
        <v>54.617263695846574</v>
      </c>
      <c r="AL109" s="20">
        <f t="shared" si="58"/>
        <v>482.31993060359918</v>
      </c>
      <c r="AM109" s="59">
        <f t="shared" si="59"/>
        <v>775.65326393693249</v>
      </c>
      <c r="AN109" s="59">
        <f ca="1">AVERAGE(OFFSET($AM$3,0,0,'Données projet'!$E$10+1,1))-AVERAGE(OFFSET($H$3,0,0,'Données projet'!$E$10+1,1))</f>
        <v>234.30804102916278</v>
      </c>
      <c r="AO109" s="59">
        <f t="shared" si="90"/>
        <v>91.137993288782411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3.4106051316484809E-13</v>
      </c>
      <c r="BE109" s="13">
        <f>BD109*VLOOKUP('Données projet'!$B$11,Paramètres!$A$1:$I$89,3,0)*VLOOKUP('Données projet'!$B$11,Paramètres!$A$1:$I$89,5,0)</f>
        <v>1.5961632016114892E-13</v>
      </c>
      <c r="BF109" s="13">
        <f t="shared" si="91"/>
        <v>2.2708641912150958E-12</v>
      </c>
      <c r="BG109" s="20">
        <f t="shared" si="61"/>
        <v>4.2330868906469593E-12</v>
      </c>
      <c r="BH109" s="59">
        <f t="shared" si="62"/>
        <v>293.33333333333752</v>
      </c>
      <c r="BI109" s="59">
        <f ca="1">AVERAGE(OFFSET($BH$3,0,0,'Données projet'!$E$11+1,1))-AVERAGE(OFFSET($H$3,0,0,'Données projet'!$E$11+1,1))</f>
        <v>158.58786357608489</v>
      </c>
      <c r="BJ109" s="59">
        <f t="shared" si="92"/>
        <v>163.20074068819849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7.882692307692305</v>
      </c>
      <c r="BY109" s="12">
        <f>IF('Données projet'!$A$114&gt;35,BY108+BX109-CG108,IF(A109&lt;'Données projet'!$A$114,$BV$205^A109,IF(A109='Données projet'!$A$114,'Données projet'!$B$114,BY108+BX109-CG108)))</f>
        <v>389.55192307692323</v>
      </c>
      <c r="BZ109" s="13">
        <f>BY109*VLOOKUP('Données projet'!$B$12,Paramètres!$A$1:$I$89,3,0)*VLOOKUP('Données projet'!$B$12,Paramètres!$A$1:$I$89,5,0)</f>
        <v>182.31030000000007</v>
      </c>
      <c r="CA109" s="13">
        <f t="shared" si="93"/>
        <v>45.835803217507859</v>
      </c>
      <c r="CB109" s="20">
        <f t="shared" si="64"/>
        <v>397.35446310382622</v>
      </c>
      <c r="CC109" s="59">
        <f t="shared" si="65"/>
        <v>690.68779643715948</v>
      </c>
      <c r="CD109" s="59">
        <f ca="1">AVERAGE(OFFSET($CC$3,0,0,'Données projet'!$E$12+1,1))-AVERAGE(OFFSET($H$3,0,0,'Données projet'!$E$12+1,1))</f>
        <v>123.2823358462245</v>
      </c>
      <c r="CE109" s="59">
        <f t="shared" si="94"/>
        <v>92.75115399786057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-2.8421709430404007E-13</v>
      </c>
      <c r="CU109" s="17">
        <f>CT109*VLOOKUP('Données projet'!$B$13,Paramètres!$A$1:$I$89,3,0)*VLOOKUP('Données projet'!$B$13,Paramètres!$A$1:$I$89,5,0)</f>
        <v>-1.69961822393816E-13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179.32848817523677</v>
      </c>
      <c r="CZ109" s="59">
        <f t="shared" si="96"/>
        <v>131.3292389103035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1.6024585685925026</v>
      </c>
      <c r="DH109" s="21">
        <f>EXP(-LN(2)/2)*DH108+(1-EXP(-LN(2)/2))/(LN(2)/2)*DB109*DE109*VLOOKUP('Données projet'!$B$13,Paramètres!$A$1:$I$89,3,0)*0.475*44/12</f>
        <v>1.9146207258910874E-11</v>
      </c>
      <c r="DI109" s="22">
        <f t="shared" si="69"/>
        <v>1.6024585686116488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7.2711538461538394</v>
      </c>
      <c r="DO109" s="12">
        <f>IF('Données projet'!$A$166&gt;35,DO108+DN109-DW108,IF(A109&lt;'Données projet'!$A$166,$DL$205^A109,IF(A109='Données projet'!$A$166,'Données projet'!$B$166,DO108+DN109-DW108)))</f>
        <v>333.27435897435856</v>
      </c>
      <c r="DP109" s="17">
        <f>DO109*VLOOKUP('Données projet'!$B$14,Paramètres!$A$1:$I$89,3,0)*VLOOKUP('Données projet'!$B$14,Paramètres!$A$1:$I$89,5,0)</f>
        <v>322.34295999999961</v>
      </c>
      <c r="DQ109" s="13">
        <f t="shared" si="97"/>
        <v>75.840644884410537</v>
      </c>
      <c r="DR109" s="20">
        <f t="shared" si="70"/>
        <v>693.50311184034763</v>
      </c>
      <c r="DS109" s="59">
        <f t="shared" si="71"/>
        <v>986.83644517368089</v>
      </c>
      <c r="DT109" s="59">
        <f ca="1">AVERAGE(OFFSET($DS$3,0,0,'Données projet'!$E$14+1,1))-AVERAGE(OFFSET($H$3,0,0,'Données projet'!$E$14+1,1))</f>
        <v>340.4659523898373</v>
      </c>
      <c r="DU109" s="59">
        <f t="shared" si="98"/>
        <v>170.54530785680572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0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5.9865384615384558</v>
      </c>
      <c r="EJ109" s="12">
        <f>IF('Données projet'!$A$192&gt;35,EJ108+EI109-ER108,IF(A109&lt;'Données projet'!$A$192,$EG$205^A109,IF(A109='Données projet'!$A$192,'Données projet'!$B$192,EJ108+EI109-ER108)))</f>
        <v>245.70384615384597</v>
      </c>
      <c r="EK109" s="17">
        <f>EJ109*VLOOKUP('Données projet'!$B$15,Paramètres!$A$1:$I$89,3,0)*VLOOKUP('Données projet'!$B$15,Paramètres!$A$1:$I$89,5,0)</f>
        <v>237.64475999999982</v>
      </c>
      <c r="EL109" s="13">
        <f t="shared" si="99"/>
        <v>57.932498637293726</v>
      </c>
      <c r="EM109" s="20">
        <f t="shared" si="73"/>
        <v>514.79705879328628</v>
      </c>
      <c r="EN109" s="59">
        <f t="shared" si="74"/>
        <v>808.13039212661965</v>
      </c>
      <c r="EO109" s="59">
        <f ca="1">AVERAGE(OFFSET($EN$3,0,0,'Données projet'!$E$15+1,1))-AVERAGE(OFFSET($H$3,0,0,'Données projet'!$E$15+1,1))</f>
        <v>262.20955982183017</v>
      </c>
      <c r="EP109" s="59">
        <f t="shared" si="100"/>
        <v>101.35842063036193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5.6843418860808015E-14</v>
      </c>
      <c r="FF109" s="17">
        <f>FE109*VLOOKUP('Données projet'!$B$16,Paramètres!$A$1:$I$89,3,0)*VLOOKUP('Données projet'!$B$16,Paramètres!$A$1:$I$89,5,0)</f>
        <v>4.5224624045658861E-14</v>
      </c>
      <c r="FG109" s="13">
        <f t="shared" si="101"/>
        <v>7.4514601661523691E-13</v>
      </c>
      <c r="FH109" s="20">
        <f t="shared" si="76"/>
        <v>1.3765621991510601E-12</v>
      </c>
      <c r="FI109" s="59">
        <f t="shared" si="77"/>
        <v>293.33333333333468</v>
      </c>
      <c r="FJ109" s="59">
        <f ca="1">AVERAGE(OFFSET($FI$3,0,0,'Données projet'!$E$16+1,1))-AVERAGE(OFFSET($H$3,0,0,'Données projet'!$E$16+1,1))</f>
        <v>199.58763537752952</v>
      </c>
      <c r="FK109" s="59">
        <f t="shared" si="102"/>
        <v>242.62852778451929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1.2502234921371911</v>
      </c>
      <c r="FS109" s="21">
        <f>EXP(-LN(2)/2)*FS108+(1-EXP(-LN(2)/2))/(LN(2)/2)*FM109*FP109*VLOOKUP('Données projet'!$B$16,Paramètres!$A$1:$I$89,3,0)*0.475*44/12</f>
        <v>3.9150321365815107E-11</v>
      </c>
      <c r="FT109" s="22">
        <f t="shared" si="78"/>
        <v>1.2502234921763413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5.6843418860808015E-14</v>
      </c>
      <c r="GA109" s="17">
        <f>FZ109*VLOOKUP('Données projet'!$B$17,Paramètres!$A$1:$I$89,3,0)*VLOOKUP('Données projet'!$B$17,Paramètres!$A$1:$I$89,5,0)</f>
        <v>4.1677594708744434E-14</v>
      </c>
      <c r="GB109" s="13">
        <f t="shared" si="103"/>
        <v>6.9326303456159188E-13</v>
      </c>
      <c r="GC109" s="20">
        <f t="shared" si="79"/>
        <v>1.2800215959791691E-12</v>
      </c>
      <c r="GD109" s="59">
        <f t="shared" si="80"/>
        <v>293.33333333333462</v>
      </c>
      <c r="GE109" s="59">
        <f ca="1">AVERAGE(OFFSET($GD$3,0,0,'Données projet'!$E$17+1,1))-AVERAGE(OFFSET($H$3,0,0,'Données projet'!$E$17+1,1))</f>
        <v>178.12968684094687</v>
      </c>
      <c r="GF109" s="59">
        <f t="shared" si="104"/>
        <v>219.36004077210373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0.93477679526794755</v>
      </c>
      <c r="GN109" s="21">
        <f>EXP(-LN(2)/2)*GN108+(1-EXP(-LN(2)/2))/(LN(2)/2)*GH109*GK109*VLOOKUP('Données projet'!$B$17,Paramètres!$A$1:$I$89,3,0)*0.475*44/12</f>
        <v>3.6079707925358988E-11</v>
      </c>
      <c r="GO109" s="21">
        <f t="shared" si="81"/>
        <v>0.93477679530402724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5.6843418860808015E-14</v>
      </c>
      <c r="GV109" s="17">
        <f>GU109*VLOOKUP('Données projet'!$B$18,Paramètres!$A$1:$I$89,3,0)*VLOOKUP('Données projet'!$B$18,Paramètres!$A$1:$I$89,5,0)</f>
        <v>4.5224624045658861E-14</v>
      </c>
      <c r="GW109" s="13">
        <f t="shared" si="105"/>
        <v>7.4514601661523691E-13</v>
      </c>
      <c r="GX109" s="20">
        <f t="shared" si="82"/>
        <v>1.3765621991510601E-12</v>
      </c>
      <c r="GY109" s="59">
        <f t="shared" si="83"/>
        <v>293.33333333333468</v>
      </c>
      <c r="GZ109" s="59">
        <f ca="1">AVERAGE(OFFSET($GY$3,0,0,'Données projet'!$E$18+1,1))-AVERAGE(OFFSET($H$3,0,0,'Données projet'!$E$18+1,1))</f>
        <v>199.58763537752952</v>
      </c>
      <c r="HA109" s="59">
        <f t="shared" si="106"/>
        <v>242.62852778451929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0</v>
      </c>
      <c r="HH109" s="21">
        <f>EXP(-LN(2)/25)*HH108+(1-EXP(-LN(2)/25))/(LN(2)/25)*Calculateur!HC109*Calculateur!HE109*VLOOKUP('Données projet'!$B$18,Paramètres!$A$1:$I$89,3,0)*0.475*44/12</f>
        <v>1.2502234921371911</v>
      </c>
      <c r="HI109" s="21">
        <f>EXP(-LN(2)/2)*HI108+(1-EXP(-LN(2)/2))/(LN(2)/2)*HC109*HF109*VLOOKUP('Données projet'!$B$18,Paramètres!$A$1:$I$89,3,0)*0.475*44/12</f>
        <v>3.9150321365815107E-11</v>
      </c>
      <c r="HJ109" s="22">
        <f t="shared" si="84"/>
        <v>1.2502234921763413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7.2711538461538394</v>
      </c>
      <c r="N110" s="13">
        <f>IF('Données projet'!$A$36&gt;35,N109+M110-V109,IF(A110&lt;'Données projet'!$A$36,$K$205^A110,IF(A110='Données projet'!$A$36,'Données projet'!$B$36,N109+M110-V109)))</f>
        <v>340.54551282051239</v>
      </c>
      <c r="O110" s="13">
        <f>N110*VLOOKUP('Données projet'!$B$9,Paramètres!$A$1:$I$89,3,0)*VLOOKUP('Données projet'!$B$9,Paramètres!$A$1:$I$89,5,0)</f>
        <v>308.12557999999962</v>
      </c>
      <c r="P110" s="13">
        <f t="shared" si="87"/>
        <v>72.877238605529826</v>
      </c>
      <c r="Q110" s="20">
        <f t="shared" si="107"/>
        <v>663.57990907129715</v>
      </c>
      <c r="R110" s="59">
        <f t="shared" si="55"/>
        <v>956.91324240463041</v>
      </c>
      <c r="S110" s="59">
        <f ca="1">AVERAGE(OFFSET($R$3,0,0,'Données projet'!$E$9+1,1))-AVERAGE(OFFSET($H$3,0,0,'Données projet'!$E$9+1,1))</f>
        <v>309.07357540707869</v>
      </c>
      <c r="T110" s="59">
        <f t="shared" si="88"/>
        <v>155.9593924683299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5.9865384615384558</v>
      </c>
      <c r="AI110" s="13">
        <f>IF('Données projet'!$A$62&gt;35,AI109+AH110-AQ109,IF(A110&lt;'Données projet'!$A$62,$AF$205^A110,IF(A110='Données projet'!$A$62,'Données projet'!$B$62,AI109+AH110-AQ109)))</f>
        <v>251.69038461538443</v>
      </c>
      <c r="AJ110" s="13">
        <f>AI110*VLOOKUP('Données projet'!$B$10,Paramètres!$A$1:$I$89,3,0)*VLOOKUP('Données projet'!$B$10,Paramètres!$A$1:$I$89,5,0)</f>
        <v>227.72945999999982</v>
      </c>
      <c r="AK110" s="13">
        <f t="shared" si="89"/>
        <v>55.791454586739938</v>
      </c>
      <c r="AL110" s="20">
        <f t="shared" si="58"/>
        <v>493.79892623857177</v>
      </c>
      <c r="AM110" s="59">
        <f t="shared" si="59"/>
        <v>787.13225957190502</v>
      </c>
      <c r="AN110" s="59">
        <f ca="1">AVERAGE(OFFSET($AM$3,0,0,'Données projet'!$E$10+1,1))-AVERAGE(OFFSET($H$3,0,0,'Données projet'!$E$10+1,1))</f>
        <v>234.30804102916278</v>
      </c>
      <c r="AO110" s="59">
        <f t="shared" si="90"/>
        <v>91.137993288782411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3.4106051316484809E-13</v>
      </c>
      <c r="BE110" s="13">
        <f>BD110*VLOOKUP('Données projet'!$B$11,Paramètres!$A$1:$I$89,3,0)*VLOOKUP('Données projet'!$B$11,Paramètres!$A$1:$I$89,5,0)</f>
        <v>1.5961632016114892E-13</v>
      </c>
      <c r="BF110" s="13">
        <f t="shared" si="91"/>
        <v>2.2708641912150958E-12</v>
      </c>
      <c r="BG110" s="20">
        <f t="shared" si="61"/>
        <v>4.2330868906469593E-12</v>
      </c>
      <c r="BH110" s="59">
        <f t="shared" si="62"/>
        <v>293.33333333333752</v>
      </c>
      <c r="BI110" s="59">
        <f ca="1">AVERAGE(OFFSET($BH$3,0,0,'Données projet'!$E$11+1,1))-AVERAGE(OFFSET($H$3,0,0,'Données projet'!$E$11+1,1))</f>
        <v>158.58786357608489</v>
      </c>
      <c r="BJ110" s="59">
        <f t="shared" si="92"/>
        <v>163.20074068819849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7.882692307692305</v>
      </c>
      <c r="BY110" s="12">
        <f>IF('Données projet'!$A$114&gt;35,BY109+BX110-CG109,IF(A110&lt;'Données projet'!$A$114,$BV$205^A110,IF(A110='Données projet'!$A$114,'Données projet'!$B$114,BY109+BX110-CG109)))</f>
        <v>397.43461538461554</v>
      </c>
      <c r="BZ110" s="13">
        <f>BY110*VLOOKUP('Données projet'!$B$12,Paramètres!$A$1:$I$89,3,0)*VLOOKUP('Données projet'!$B$12,Paramètres!$A$1:$I$89,5,0)</f>
        <v>185.99940000000007</v>
      </c>
      <c r="CA110" s="13">
        <f t="shared" si="93"/>
        <v>46.654384525692834</v>
      </c>
      <c r="CB110" s="20">
        <f t="shared" si="64"/>
        <v>405.20534138224843</v>
      </c>
      <c r="CC110" s="59">
        <f t="shared" si="65"/>
        <v>698.53867471558169</v>
      </c>
      <c r="CD110" s="59">
        <f ca="1">AVERAGE(OFFSET($CC$3,0,0,'Données projet'!$E$12+1,1))-AVERAGE(OFFSET($H$3,0,0,'Données projet'!$E$12+1,1))</f>
        <v>123.2823358462245</v>
      </c>
      <c r="CE110" s="59">
        <f t="shared" si="94"/>
        <v>92.75115399786057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-2.8421709430404007E-13</v>
      </c>
      <c r="CU110" s="17">
        <f>CT110*VLOOKUP('Données projet'!$B$13,Paramètres!$A$1:$I$89,3,0)*VLOOKUP('Données projet'!$B$13,Paramètres!$A$1:$I$89,5,0)</f>
        <v>-1.69961822393816E-13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179.32848817523677</v>
      </c>
      <c r="CZ110" s="59">
        <f t="shared" si="96"/>
        <v>131.3292389103035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1.558639254764707</v>
      </c>
      <c r="DH110" s="21">
        <f>EXP(-LN(2)/2)*DH109+(1-EXP(-LN(2)/2))/(LN(2)/2)*DB110*DE110*VLOOKUP('Données projet'!$B$13,Paramètres!$A$1:$I$89,3,0)*0.475*44/12</f>
        <v>1.3538412986778979E-11</v>
      </c>
      <c r="DI110" s="22">
        <f t="shared" si="69"/>
        <v>1.5586392547782455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7.2711538461538394</v>
      </c>
      <c r="DO110" s="12">
        <f>IF('Données projet'!$A$166&gt;35,DO109+DN110-DW109,IF(A110&lt;'Données projet'!$A$166,$DL$205^A110,IF(A110='Données projet'!$A$166,'Données projet'!$B$166,DO109+DN110-DW109)))</f>
        <v>340.54551282051239</v>
      </c>
      <c r="DP110" s="17">
        <f>DO110*VLOOKUP('Données projet'!$B$14,Paramètres!$A$1:$I$89,3,0)*VLOOKUP('Données projet'!$B$14,Paramètres!$A$1:$I$89,5,0)</f>
        <v>329.37561999999957</v>
      </c>
      <c r="DQ110" s="13">
        <f t="shared" si="97"/>
        <v>77.300843002972584</v>
      </c>
      <c r="DR110" s="20">
        <f t="shared" si="70"/>
        <v>708.29483973017648</v>
      </c>
      <c r="DS110" s="59">
        <f t="shared" si="71"/>
        <v>1001.6281730635098</v>
      </c>
      <c r="DT110" s="59">
        <f ca="1">AVERAGE(OFFSET($DS$3,0,0,'Données projet'!$E$14+1,1))-AVERAGE(OFFSET($H$3,0,0,'Données projet'!$E$14+1,1))</f>
        <v>340.4659523898373</v>
      </c>
      <c r="DU110" s="59">
        <f t="shared" si="98"/>
        <v>170.54530785680572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0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5.9865384615384558</v>
      </c>
      <c r="EJ110" s="12">
        <f>IF('Données projet'!$A$192&gt;35,EJ109+EI110-ER109,IF(A110&lt;'Données projet'!$A$192,$EG$205^A110,IF(A110='Données projet'!$A$192,'Données projet'!$B$192,EJ109+EI110-ER109)))</f>
        <v>251.69038461538443</v>
      </c>
      <c r="EK110" s="17">
        <f>EJ110*VLOOKUP('Données projet'!$B$15,Paramètres!$A$1:$I$89,3,0)*VLOOKUP('Données projet'!$B$15,Paramètres!$A$1:$I$89,5,0)</f>
        <v>243.43493999999981</v>
      </c>
      <c r="EL110" s="13">
        <f t="shared" si="99"/>
        <v>59.177962206567628</v>
      </c>
      <c r="EM110" s="20">
        <f t="shared" si="73"/>
        <v>527.05080467643836</v>
      </c>
      <c r="EN110" s="59">
        <f t="shared" si="74"/>
        <v>820.38413800977173</v>
      </c>
      <c r="EO110" s="59">
        <f ca="1">AVERAGE(OFFSET($EN$3,0,0,'Données projet'!$E$15+1,1))-AVERAGE(OFFSET($H$3,0,0,'Données projet'!$E$15+1,1))</f>
        <v>262.20955982183017</v>
      </c>
      <c r="EP110" s="59">
        <f t="shared" si="100"/>
        <v>101.35842063036193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5.6843418860808015E-14</v>
      </c>
      <c r="FF110" s="17">
        <f>FE110*VLOOKUP('Données projet'!$B$16,Paramètres!$A$1:$I$89,3,0)*VLOOKUP('Données projet'!$B$16,Paramètres!$A$1:$I$89,5,0)</f>
        <v>4.5224624045658861E-14</v>
      </c>
      <c r="FG110" s="13">
        <f t="shared" si="101"/>
        <v>7.4514601661523691E-13</v>
      </c>
      <c r="FH110" s="20">
        <f t="shared" si="76"/>
        <v>1.3765621991510601E-12</v>
      </c>
      <c r="FI110" s="59">
        <f t="shared" si="77"/>
        <v>293.33333333333468</v>
      </c>
      <c r="FJ110" s="59">
        <f ca="1">AVERAGE(OFFSET($FI$3,0,0,'Données projet'!$E$16+1,1))-AVERAGE(OFFSET($H$3,0,0,'Données projet'!$E$16+1,1))</f>
        <v>199.58763537752952</v>
      </c>
      <c r="FK110" s="59">
        <f t="shared" si="102"/>
        <v>242.62852778451929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1.2160360649983035</v>
      </c>
      <c r="FS110" s="21">
        <f>EXP(-LN(2)/2)*FS109+(1-EXP(-LN(2)/2))/(LN(2)/2)*FM110*FP110*VLOOKUP('Données projet'!$B$16,Paramètres!$A$1:$I$89,3,0)*0.475*44/12</f>
        <v>2.7683457723400439E-11</v>
      </c>
      <c r="FT110" s="22">
        <f t="shared" si="78"/>
        <v>1.2160360650259869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5.6843418860808015E-14</v>
      </c>
      <c r="GA110" s="17">
        <f>FZ110*VLOOKUP('Données projet'!$B$17,Paramètres!$A$1:$I$89,3,0)*VLOOKUP('Données projet'!$B$17,Paramètres!$A$1:$I$89,5,0)</f>
        <v>4.1677594708744434E-14</v>
      </c>
      <c r="GB110" s="13">
        <f t="shared" si="103"/>
        <v>6.9326303456159188E-13</v>
      </c>
      <c r="GC110" s="20">
        <f t="shared" si="79"/>
        <v>1.2800215959791691E-12</v>
      </c>
      <c r="GD110" s="59">
        <f t="shared" si="80"/>
        <v>293.33333333333462</v>
      </c>
      <c r="GE110" s="59">
        <f ca="1">AVERAGE(OFFSET($GD$3,0,0,'Données projet'!$E$17+1,1))-AVERAGE(OFFSET($H$3,0,0,'Données projet'!$E$17+1,1))</f>
        <v>178.12968684094687</v>
      </c>
      <c r="GF110" s="59">
        <f t="shared" si="104"/>
        <v>219.36004077210373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0.90921527464357033</v>
      </c>
      <c r="GN110" s="21">
        <f>EXP(-LN(2)/2)*GN109+(1-EXP(-LN(2)/2))/(LN(2)/2)*GH110*GK110*VLOOKUP('Données projet'!$B$17,Paramètres!$A$1:$I$89,3,0)*0.475*44/12</f>
        <v>2.5512206137251363E-11</v>
      </c>
      <c r="GO110" s="21">
        <f t="shared" si="81"/>
        <v>0.90921527466908258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5.6843418860808015E-14</v>
      </c>
      <c r="GV110" s="17">
        <f>GU110*VLOOKUP('Données projet'!$B$18,Paramètres!$A$1:$I$89,3,0)*VLOOKUP('Données projet'!$B$18,Paramètres!$A$1:$I$89,5,0)</f>
        <v>4.5224624045658861E-14</v>
      </c>
      <c r="GW110" s="13">
        <f t="shared" si="105"/>
        <v>7.4514601661523691E-13</v>
      </c>
      <c r="GX110" s="20">
        <f t="shared" si="82"/>
        <v>1.3765621991510601E-12</v>
      </c>
      <c r="GY110" s="59">
        <f t="shared" si="83"/>
        <v>293.33333333333468</v>
      </c>
      <c r="GZ110" s="59">
        <f ca="1">AVERAGE(OFFSET($GY$3,0,0,'Données projet'!$E$18+1,1))-AVERAGE(OFFSET($H$3,0,0,'Données projet'!$E$18+1,1))</f>
        <v>199.58763537752952</v>
      </c>
      <c r="HA110" s="59">
        <f t="shared" si="106"/>
        <v>242.62852778451929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0</v>
      </c>
      <c r="HH110" s="21">
        <f>EXP(-LN(2)/25)*HH109+(1-EXP(-LN(2)/25))/(LN(2)/25)*Calculateur!HC110*Calculateur!HE110*VLOOKUP('Données projet'!$B$18,Paramètres!$A$1:$I$89,3,0)*0.475*44/12</f>
        <v>1.2160360649983035</v>
      </c>
      <c r="HI110" s="21">
        <f>EXP(-LN(2)/2)*HI109+(1-EXP(-LN(2)/2))/(LN(2)/2)*HC110*HF110*VLOOKUP('Données projet'!$B$18,Paramètres!$A$1:$I$89,3,0)*0.475*44/12</f>
        <v>2.7683457723400439E-11</v>
      </c>
      <c r="HJ110" s="22">
        <f t="shared" si="84"/>
        <v>1.2160360650259869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7.2711538461538394</v>
      </c>
      <c r="N111" s="13">
        <f>IF('Données projet'!$A$36&gt;35,N110+M111-V110,IF(A111&lt;'Données projet'!$A$36,$K$205^A111,IF(A111='Données projet'!$A$36,'Données projet'!$B$36,N110+M111-V110)))</f>
        <v>347.81666666666621</v>
      </c>
      <c r="O111" s="13">
        <f>N111*VLOOKUP('Données projet'!$B$9,Paramètres!$A$1:$I$89,3,0)*VLOOKUP('Données projet'!$B$9,Paramètres!$A$1:$I$89,5,0)</f>
        <v>314.70451999999955</v>
      </c>
      <c r="P111" s="13">
        <f t="shared" si="87"/>
        <v>74.250458283407895</v>
      </c>
      <c r="Q111" s="20">
        <f t="shared" si="107"/>
        <v>677.42992051026795</v>
      </c>
      <c r="R111" s="59">
        <f t="shared" si="55"/>
        <v>970.76325384360121</v>
      </c>
      <c r="S111" s="59">
        <f ca="1">AVERAGE(OFFSET($R$3,0,0,'Données projet'!$E$9+1,1))-AVERAGE(OFFSET($H$3,0,0,'Données projet'!$E$9+1,1))</f>
        <v>309.07357540707869</v>
      </c>
      <c r="T111" s="59">
        <f t="shared" si="88"/>
        <v>155.9593924683299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5.9865384615384558</v>
      </c>
      <c r="AI111" s="13">
        <f>IF('Données projet'!$A$62&gt;35,AI110+AH111-AQ110,IF(A111&lt;'Données projet'!$A$62,$AF$205^A111,IF(A111='Données projet'!$A$62,'Données projet'!$B$62,AI110+AH111-AQ110)))</f>
        <v>257.67692307692289</v>
      </c>
      <c r="AJ111" s="13">
        <f>AI111*VLOOKUP('Données projet'!$B$10,Paramètres!$A$1:$I$89,3,0)*VLOOKUP('Données projet'!$B$10,Paramètres!$A$1:$I$89,5,0)</f>
        <v>233.14607999999981</v>
      </c>
      <c r="AK111" s="13">
        <f t="shared" si="89"/>
        <v>56.96239877088864</v>
      </c>
      <c r="AL111" s="20">
        <f t="shared" si="58"/>
        <v>505.27226719263064</v>
      </c>
      <c r="AM111" s="59">
        <f t="shared" si="59"/>
        <v>798.60560052596395</v>
      </c>
      <c r="AN111" s="59">
        <f ca="1">AVERAGE(OFFSET($AM$3,0,0,'Données projet'!$E$10+1,1))-AVERAGE(OFFSET($H$3,0,0,'Données projet'!$E$10+1,1))</f>
        <v>234.30804102916278</v>
      </c>
      <c r="AO111" s="59">
        <f t="shared" si="90"/>
        <v>91.137993288782411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3.4106051316484809E-13</v>
      </c>
      <c r="BE111" s="13">
        <f>BD111*VLOOKUP('Données projet'!$B$11,Paramètres!$A$1:$I$89,3,0)*VLOOKUP('Données projet'!$B$11,Paramètres!$A$1:$I$89,5,0)</f>
        <v>1.5961632016114892E-13</v>
      </c>
      <c r="BF111" s="13">
        <f t="shared" si="91"/>
        <v>2.2708641912150958E-12</v>
      </c>
      <c r="BG111" s="20">
        <f t="shared" si="61"/>
        <v>4.2330868906469593E-12</v>
      </c>
      <c r="BH111" s="59">
        <f t="shared" si="62"/>
        <v>293.33333333333752</v>
      </c>
      <c r="BI111" s="59">
        <f ca="1">AVERAGE(OFFSET($BH$3,0,0,'Données projet'!$E$11+1,1))-AVERAGE(OFFSET($H$3,0,0,'Données projet'!$E$11+1,1))</f>
        <v>158.58786357608489</v>
      </c>
      <c r="BJ111" s="59">
        <f t="shared" si="92"/>
        <v>163.20074068819849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7.882692307692305</v>
      </c>
      <c r="BY111" s="12">
        <f>IF('Données projet'!$A$114&gt;35,BY110+BX111-CG110,IF(A111&lt;'Données projet'!$A$114,$BV$205^A111,IF(A111='Données projet'!$A$114,'Données projet'!$B$114,BY110+BX111-CG110)))</f>
        <v>405.31730769230785</v>
      </c>
      <c r="BZ111" s="13">
        <f>BY111*VLOOKUP('Données projet'!$B$12,Paramètres!$A$1:$I$89,3,0)*VLOOKUP('Données projet'!$B$12,Paramètres!$A$1:$I$89,5,0)</f>
        <v>189.68850000000006</v>
      </c>
      <c r="CA111" s="13">
        <f t="shared" si="93"/>
        <v>47.471078048734064</v>
      </c>
      <c r="CB111" s="20">
        <f t="shared" si="64"/>
        <v>413.05293176821192</v>
      </c>
      <c r="CC111" s="59">
        <f t="shared" si="65"/>
        <v>706.38626510154518</v>
      </c>
      <c r="CD111" s="59">
        <f ca="1">AVERAGE(OFFSET($CC$3,0,0,'Données projet'!$E$12+1,1))-AVERAGE(OFFSET($H$3,0,0,'Données projet'!$E$12+1,1))</f>
        <v>123.2823358462245</v>
      </c>
      <c r="CE111" s="59">
        <f t="shared" si="94"/>
        <v>92.75115399786057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-2.8421709430404007E-13</v>
      </c>
      <c r="CU111" s="17">
        <f>CT111*VLOOKUP('Données projet'!$B$13,Paramètres!$A$1:$I$89,3,0)*VLOOKUP('Données projet'!$B$13,Paramètres!$A$1:$I$89,5,0)</f>
        <v>-1.69961822393816E-13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179.32848817523677</v>
      </c>
      <c r="CZ111" s="59">
        <f t="shared" si="96"/>
        <v>131.3292389103035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1.51601818237789</v>
      </c>
      <c r="DH111" s="21">
        <f>EXP(-LN(2)/2)*DH110+(1-EXP(-LN(2)/2))/(LN(2)/2)*DB111*DE111*VLOOKUP('Données projet'!$B$13,Paramètres!$A$1:$I$89,3,0)*0.475*44/12</f>
        <v>9.5731036294554369E-12</v>
      </c>
      <c r="DI111" s="22">
        <f t="shared" si="69"/>
        <v>1.516018182387463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7.2711538461538394</v>
      </c>
      <c r="DO111" s="12">
        <f>IF('Données projet'!$A$166&gt;35,DO110+DN111-DW110,IF(A111&lt;'Données projet'!$A$166,$DL$205^A111,IF(A111='Données projet'!$A$166,'Données projet'!$B$166,DO110+DN111-DW110)))</f>
        <v>347.81666666666621</v>
      </c>
      <c r="DP111" s="17">
        <f>DO111*VLOOKUP('Données projet'!$B$14,Paramètres!$A$1:$I$89,3,0)*VLOOKUP('Données projet'!$B$14,Paramètres!$A$1:$I$89,5,0)</f>
        <v>336.40827999999959</v>
      </c>
      <c r="DQ111" s="13">
        <f t="shared" si="97"/>
        <v>78.757416286474935</v>
      </c>
      <c r="DR111" s="20">
        <f t="shared" si="70"/>
        <v>723.08025436560968</v>
      </c>
      <c r="DS111" s="59">
        <f t="shared" si="71"/>
        <v>1016.413587698943</v>
      </c>
      <c r="DT111" s="59">
        <f ca="1">AVERAGE(OFFSET($DS$3,0,0,'Données projet'!$E$14+1,1))-AVERAGE(OFFSET($H$3,0,0,'Données projet'!$E$14+1,1))</f>
        <v>340.4659523898373</v>
      </c>
      <c r="DU111" s="59">
        <f t="shared" si="98"/>
        <v>170.54530785680572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0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5.9865384615384558</v>
      </c>
      <c r="EJ111" s="12">
        <f>IF('Données projet'!$A$192&gt;35,EJ110+EI111-ER110,IF(A111&lt;'Données projet'!$A$192,$EG$205^A111,IF(A111='Données projet'!$A$192,'Données projet'!$B$192,EJ110+EI111-ER110)))</f>
        <v>257.67692307692289</v>
      </c>
      <c r="EK111" s="17">
        <f>EJ111*VLOOKUP('Données projet'!$B$15,Paramètres!$A$1:$I$89,3,0)*VLOOKUP('Données projet'!$B$15,Paramètres!$A$1:$I$89,5,0)</f>
        <v>249.22511999999981</v>
      </c>
      <c r="EL111" s="13">
        <f t="shared" si="99"/>
        <v>60.419981995957045</v>
      </c>
      <c r="EM111" s="20">
        <f t="shared" si="73"/>
        <v>539.29855264295816</v>
      </c>
      <c r="EN111" s="59">
        <f t="shared" si="74"/>
        <v>832.63188597629141</v>
      </c>
      <c r="EO111" s="59">
        <f ca="1">AVERAGE(OFFSET($EN$3,0,0,'Données projet'!$E$15+1,1))-AVERAGE(OFFSET($H$3,0,0,'Données projet'!$E$15+1,1))</f>
        <v>262.20955982183017</v>
      </c>
      <c r="EP111" s="59">
        <f t="shared" si="100"/>
        <v>101.35842063036193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5.6843418860808015E-14</v>
      </c>
      <c r="FF111" s="17">
        <f>FE111*VLOOKUP('Données projet'!$B$16,Paramètres!$A$1:$I$89,3,0)*VLOOKUP('Données projet'!$B$16,Paramètres!$A$1:$I$89,5,0)</f>
        <v>4.5224624045658861E-14</v>
      </c>
      <c r="FG111" s="13">
        <f t="shared" si="101"/>
        <v>7.4514601661523691E-13</v>
      </c>
      <c r="FH111" s="20">
        <f t="shared" si="76"/>
        <v>1.3765621991510601E-12</v>
      </c>
      <c r="FI111" s="59">
        <f t="shared" si="77"/>
        <v>293.33333333333468</v>
      </c>
      <c r="FJ111" s="59">
        <f ca="1">AVERAGE(OFFSET($FI$3,0,0,'Données projet'!$E$16+1,1))-AVERAGE(OFFSET($H$3,0,0,'Données projet'!$E$16+1,1))</f>
        <v>199.58763537752952</v>
      </c>
      <c r="FK111" s="59">
        <f t="shared" si="102"/>
        <v>242.62852778451929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1.1827834948523674</v>
      </c>
      <c r="FS111" s="21">
        <f>EXP(-LN(2)/2)*FS110+(1-EXP(-LN(2)/2))/(LN(2)/2)*FM111*FP111*VLOOKUP('Données projet'!$B$16,Paramètres!$A$1:$I$89,3,0)*0.475*44/12</f>
        <v>1.9575160682907553E-11</v>
      </c>
      <c r="FT111" s="22">
        <f t="shared" si="78"/>
        <v>1.1827834948719427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5.6843418860808015E-14</v>
      </c>
      <c r="GA111" s="17">
        <f>FZ111*VLOOKUP('Données projet'!$B$17,Paramètres!$A$1:$I$89,3,0)*VLOOKUP('Données projet'!$B$17,Paramètres!$A$1:$I$89,5,0)</f>
        <v>4.1677594708744434E-14</v>
      </c>
      <c r="GB111" s="13">
        <f t="shared" si="103"/>
        <v>6.9326303456159188E-13</v>
      </c>
      <c r="GC111" s="20">
        <f t="shared" si="79"/>
        <v>1.2800215959791691E-12</v>
      </c>
      <c r="GD111" s="59">
        <f t="shared" si="80"/>
        <v>293.33333333333462</v>
      </c>
      <c r="GE111" s="59">
        <f ca="1">AVERAGE(OFFSET($GD$3,0,0,'Données projet'!$E$17+1,1))-AVERAGE(OFFSET($H$3,0,0,'Données projet'!$E$17+1,1))</f>
        <v>178.12968684094687</v>
      </c>
      <c r="GF111" s="59">
        <f t="shared" si="104"/>
        <v>219.36004077210373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0.88435273514488866</v>
      </c>
      <c r="GN111" s="21">
        <f>EXP(-LN(2)/2)*GN110+(1-EXP(-LN(2)/2))/(LN(2)/2)*GH111*GK111*VLOOKUP('Données projet'!$B$17,Paramètres!$A$1:$I$89,3,0)*0.475*44/12</f>
        <v>1.8039853962679494E-11</v>
      </c>
      <c r="GO111" s="21">
        <f t="shared" si="81"/>
        <v>0.88435273516292856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5.6843418860808015E-14</v>
      </c>
      <c r="GV111" s="17">
        <f>GU111*VLOOKUP('Données projet'!$B$18,Paramètres!$A$1:$I$89,3,0)*VLOOKUP('Données projet'!$B$18,Paramètres!$A$1:$I$89,5,0)</f>
        <v>4.5224624045658861E-14</v>
      </c>
      <c r="GW111" s="13">
        <f t="shared" si="105"/>
        <v>7.4514601661523691E-13</v>
      </c>
      <c r="GX111" s="20">
        <f t="shared" si="82"/>
        <v>1.3765621991510601E-12</v>
      </c>
      <c r="GY111" s="59">
        <f t="shared" si="83"/>
        <v>293.33333333333468</v>
      </c>
      <c r="GZ111" s="59">
        <f ca="1">AVERAGE(OFFSET($GY$3,0,0,'Données projet'!$E$18+1,1))-AVERAGE(OFFSET($H$3,0,0,'Données projet'!$E$18+1,1))</f>
        <v>199.58763537752952</v>
      </c>
      <c r="HA111" s="59">
        <f t="shared" si="106"/>
        <v>242.62852778451929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0</v>
      </c>
      <c r="HH111" s="21">
        <f>EXP(-LN(2)/25)*HH110+(1-EXP(-LN(2)/25))/(LN(2)/25)*Calculateur!HC111*Calculateur!HE111*VLOOKUP('Données projet'!$B$18,Paramètres!$A$1:$I$89,3,0)*0.475*44/12</f>
        <v>1.1827834948523674</v>
      </c>
      <c r="HI111" s="21">
        <f>EXP(-LN(2)/2)*HI110+(1-EXP(-LN(2)/2))/(LN(2)/2)*HC111*HF111*VLOOKUP('Données projet'!$B$18,Paramètres!$A$1:$I$89,3,0)*0.475*44/12</f>
        <v>1.9575160682907553E-11</v>
      </c>
      <c r="HJ111" s="22">
        <f t="shared" si="84"/>
        <v>1.1827834948719427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7.2711538461538394</v>
      </c>
      <c r="N112" s="13">
        <f>IF('Données projet'!$A$36&gt;35,N111+M112-V111,IF(A112&lt;'Données projet'!$A$36,$K$205^A112,IF(A112='Données projet'!$A$36,'Données projet'!$B$36,N111+M112-V111)))</f>
        <v>355.08782051282003</v>
      </c>
      <c r="O112" s="13">
        <f>N112*VLOOKUP('Données projet'!$B$9,Paramètres!$A$1:$I$89,3,0)*VLOOKUP('Données projet'!$B$9,Paramètres!$A$1:$I$89,5,0)</f>
        <v>321.28345999999959</v>
      </c>
      <c r="P112" s="13">
        <f t="shared" si="87"/>
        <v>75.620340232134694</v>
      </c>
      <c r="Q112" s="20">
        <f t="shared" si="107"/>
        <v>691.27411873763378</v>
      </c>
      <c r="R112" s="59">
        <f t="shared" si="55"/>
        <v>984.60745207096716</v>
      </c>
      <c r="S112" s="59">
        <f ca="1">AVERAGE(OFFSET($R$3,0,0,'Données projet'!$E$9+1,1))-AVERAGE(OFFSET($H$3,0,0,'Données projet'!$E$9+1,1))</f>
        <v>309.07357540707869</v>
      </c>
      <c r="T112" s="59">
        <f t="shared" si="88"/>
        <v>155.9593924683299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5.9865384615384558</v>
      </c>
      <c r="AI112" s="13">
        <f>IF('Données projet'!$A$62&gt;35,AI111+AH112-AQ111,IF(A112&lt;'Données projet'!$A$62,$AF$205^A112,IF(A112='Données projet'!$A$62,'Données projet'!$B$62,AI111+AH112-AQ111)))</f>
        <v>263.66346153846132</v>
      </c>
      <c r="AJ112" s="13">
        <f>AI112*VLOOKUP('Données projet'!$B$10,Paramètres!$A$1:$I$89,3,0)*VLOOKUP('Données projet'!$B$10,Paramètres!$A$1:$I$89,5,0)</f>
        <v>238.56269999999978</v>
      </c>
      <c r="AK112" s="13">
        <f t="shared" si="89"/>
        <v>58.130180359724058</v>
      </c>
      <c r="AL112" s="20">
        <f t="shared" si="58"/>
        <v>516.74009995985239</v>
      </c>
      <c r="AM112" s="59">
        <f t="shared" si="59"/>
        <v>810.07343329318564</v>
      </c>
      <c r="AN112" s="59">
        <f ca="1">AVERAGE(OFFSET($AM$3,0,0,'Données projet'!$E$10+1,1))-AVERAGE(OFFSET($H$3,0,0,'Données projet'!$E$10+1,1))</f>
        <v>234.30804102916278</v>
      </c>
      <c r="AO112" s="59">
        <f t="shared" si="90"/>
        <v>91.137993288782411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3.4106051316484809E-13</v>
      </c>
      <c r="BE112" s="13">
        <f>BD112*VLOOKUP('Données projet'!$B$11,Paramètres!$A$1:$I$89,3,0)*VLOOKUP('Données projet'!$B$11,Paramètres!$A$1:$I$89,5,0)</f>
        <v>1.5961632016114892E-13</v>
      </c>
      <c r="BF112" s="13">
        <f t="shared" si="91"/>
        <v>2.2708641912150958E-12</v>
      </c>
      <c r="BG112" s="20">
        <f t="shared" si="61"/>
        <v>4.2330868906469593E-12</v>
      </c>
      <c r="BH112" s="59">
        <f t="shared" si="62"/>
        <v>293.33333333333752</v>
      </c>
      <c r="BI112" s="59">
        <f ca="1">AVERAGE(OFFSET($BH$3,0,0,'Données projet'!$E$11+1,1))-AVERAGE(OFFSET($H$3,0,0,'Données projet'!$E$11+1,1))</f>
        <v>158.58786357608489</v>
      </c>
      <c r="BJ112" s="59">
        <f t="shared" si="92"/>
        <v>163.20074068819849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>
        <f>VLOOKUP(A112,'Données projet'!$A$113:$I$133,2,0)</f>
        <v>413.2</v>
      </c>
      <c r="BW112" s="12">
        <f>VLOOKUP(A112,'Données projet'!$A$113:$I$133,9,0)</f>
        <v>7.882692307692305</v>
      </c>
      <c r="BX112" s="12">
        <f t="array" ref="BX112">INDEX(BW:BW,MIN(IF(ISNUMBER(BW112:BW308),ROW(BW112:BW308),"")))</f>
        <v>7.882692307692305</v>
      </c>
      <c r="BY112" s="12">
        <f>IF('Données projet'!$A$114&gt;35,BY111+BX112-CG111,IF(A112&lt;'Données projet'!$A$114,$BV$205^A112,IF(A112='Données projet'!$A$114,'Données projet'!$B$114,BY111+BX112-CG111)))</f>
        <v>413.20000000000016</v>
      </c>
      <c r="BZ112" s="13">
        <f>BY112*VLOOKUP('Données projet'!$B$12,Paramètres!$A$1:$I$89,3,0)*VLOOKUP('Données projet'!$B$12,Paramètres!$A$1:$I$89,5,0)</f>
        <v>193.37760000000006</v>
      </c>
      <c r="CA112" s="13">
        <f t="shared" si="93"/>
        <v>48.285924733018277</v>
      </c>
      <c r="CB112" s="20">
        <f t="shared" si="64"/>
        <v>420.89730557667355</v>
      </c>
      <c r="CC112" s="59">
        <f t="shared" si="65"/>
        <v>714.23063891000686</v>
      </c>
      <c r="CD112" s="59">
        <f ca="1">AVERAGE(OFFSET($CC$3,0,0,'Données projet'!$E$12+1,1))-AVERAGE(OFFSET($H$3,0,0,'Données projet'!$E$12+1,1))</f>
        <v>123.2823358462245</v>
      </c>
      <c r="CE112" s="59">
        <f t="shared" si="94"/>
        <v>92.75115399786057</v>
      </c>
      <c r="CF112" s="15">
        <f>IF(ISNA(VLOOKUP(A112,'Données projet'!$A$113:$I$133,3,0)),0,VLOOKUP(A112,'Données projet'!$A$113:$I$133,3,0))</f>
        <v>6</v>
      </c>
      <c r="CG112" s="15">
        <f>IF(ISNA(VLOOKUP(A112,'Données projet'!$A$113:$I$133,4,0)),0,VLOOKUP(A112,'Données projet'!$A$113:$I$133,4,0))</f>
        <v>80.653846153846146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-2.8421709430404007E-13</v>
      </c>
      <c r="CU112" s="17">
        <f>CT112*VLOOKUP('Données projet'!$B$13,Paramètres!$A$1:$I$89,3,0)*VLOOKUP('Données projet'!$B$13,Paramètres!$A$1:$I$89,5,0)</f>
        <v>-1.69961822393816E-13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179.32848817523677</v>
      </c>
      <c r="CZ112" s="59">
        <f t="shared" si="96"/>
        <v>131.3292389103035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1.4745625854568354</v>
      </c>
      <c r="DH112" s="21">
        <f>EXP(-LN(2)/2)*DH111+(1-EXP(-LN(2)/2))/(LN(2)/2)*DB112*DE112*VLOOKUP('Données projet'!$B$13,Paramètres!$A$1:$I$89,3,0)*0.475*44/12</f>
        <v>6.7692064933894896E-12</v>
      </c>
      <c r="DI112" s="22">
        <f t="shared" si="69"/>
        <v>1.4745625854636046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7.2711538461538394</v>
      </c>
      <c r="DO112" s="12">
        <f>IF('Données projet'!$A$166&gt;35,DO111+DN112-DW111,IF(A112&lt;'Données projet'!$A$166,$DL$205^A112,IF(A112='Données projet'!$A$166,'Données projet'!$B$166,DO111+DN112-DW111)))</f>
        <v>355.08782051282003</v>
      </c>
      <c r="DP112" s="17">
        <f>DO112*VLOOKUP('Données projet'!$B$14,Paramètres!$A$1:$I$89,3,0)*VLOOKUP('Données projet'!$B$14,Paramètres!$A$1:$I$89,5,0)</f>
        <v>343.44093999999956</v>
      </c>
      <c r="DQ112" s="13">
        <f t="shared" si="97"/>
        <v>80.210449242681108</v>
      </c>
      <c r="DR112" s="20">
        <f t="shared" si="70"/>
        <v>737.85950293100223</v>
      </c>
      <c r="DS112" s="59">
        <f t="shared" si="71"/>
        <v>1031.1928362643355</v>
      </c>
      <c r="DT112" s="59">
        <f ca="1">AVERAGE(OFFSET($DS$3,0,0,'Données projet'!$E$14+1,1))-AVERAGE(OFFSET($H$3,0,0,'Données projet'!$E$14+1,1))</f>
        <v>340.4659523898373</v>
      </c>
      <c r="DU112" s="59">
        <f t="shared" si="98"/>
        <v>170.54530785680572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0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5.9865384615384558</v>
      </c>
      <c r="EJ112" s="12">
        <f>IF('Données projet'!$A$192&gt;35,EJ111+EI112-ER111,IF(A112&lt;'Données projet'!$A$192,$EG$205^A112,IF(A112='Données projet'!$A$192,'Données projet'!$B$192,EJ111+EI112-ER111)))</f>
        <v>263.66346153846132</v>
      </c>
      <c r="EK112" s="17">
        <f>EJ112*VLOOKUP('Données projet'!$B$15,Paramètres!$A$1:$I$89,3,0)*VLOOKUP('Données projet'!$B$15,Paramètres!$A$1:$I$89,5,0)</f>
        <v>255.0152999999998</v>
      </c>
      <c r="EL112" s="13">
        <f t="shared" si="99"/>
        <v>61.658647222406486</v>
      </c>
      <c r="EM112" s="20">
        <f t="shared" si="73"/>
        <v>551.54045807902435</v>
      </c>
      <c r="EN112" s="59">
        <f t="shared" si="74"/>
        <v>844.8737914123576</v>
      </c>
      <c r="EO112" s="59">
        <f ca="1">AVERAGE(OFFSET($EN$3,0,0,'Données projet'!$E$15+1,1))-AVERAGE(OFFSET($H$3,0,0,'Données projet'!$E$15+1,1))</f>
        <v>262.20955982183017</v>
      </c>
      <c r="EP112" s="59">
        <f t="shared" si="100"/>
        <v>101.35842063036193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5.6843418860808015E-14</v>
      </c>
      <c r="FF112" s="17">
        <f>FE112*VLOOKUP('Données projet'!$B$16,Paramètres!$A$1:$I$89,3,0)*VLOOKUP('Données projet'!$B$16,Paramètres!$A$1:$I$89,5,0)</f>
        <v>4.5224624045658861E-14</v>
      </c>
      <c r="FG112" s="13">
        <f t="shared" si="101"/>
        <v>7.4514601661523691E-13</v>
      </c>
      <c r="FH112" s="20">
        <f t="shared" si="76"/>
        <v>1.3765621991510601E-12</v>
      </c>
      <c r="FI112" s="59">
        <f t="shared" si="77"/>
        <v>293.33333333333468</v>
      </c>
      <c r="FJ112" s="59">
        <f ca="1">AVERAGE(OFFSET($FI$3,0,0,'Données projet'!$E$16+1,1))-AVERAGE(OFFSET($H$3,0,0,'Données projet'!$E$16+1,1))</f>
        <v>199.58763537752952</v>
      </c>
      <c r="FK112" s="59">
        <f t="shared" si="102"/>
        <v>242.62852778451929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1.1504402179857487</v>
      </c>
      <c r="FS112" s="21">
        <f>EXP(-LN(2)/2)*FS111+(1-EXP(-LN(2)/2))/(LN(2)/2)*FM112*FP112*VLOOKUP('Données projet'!$B$16,Paramètres!$A$1:$I$89,3,0)*0.475*44/12</f>
        <v>1.384172886170022E-11</v>
      </c>
      <c r="FT112" s="22">
        <f t="shared" si="78"/>
        <v>1.1504402179995905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5.6843418860808015E-14</v>
      </c>
      <c r="GA112" s="17">
        <f>FZ112*VLOOKUP('Données projet'!$B$17,Paramètres!$A$1:$I$89,3,0)*VLOOKUP('Données projet'!$B$17,Paramètres!$A$1:$I$89,5,0)</f>
        <v>4.1677594708744434E-14</v>
      </c>
      <c r="GB112" s="13">
        <f t="shared" si="103"/>
        <v>6.9326303456159188E-13</v>
      </c>
      <c r="GC112" s="20">
        <f t="shared" si="79"/>
        <v>1.2800215959791691E-12</v>
      </c>
      <c r="GD112" s="59">
        <f t="shared" si="80"/>
        <v>293.33333333333462</v>
      </c>
      <c r="GE112" s="59">
        <f ca="1">AVERAGE(OFFSET($GD$3,0,0,'Données projet'!$E$17+1,1))-AVERAGE(OFFSET($H$3,0,0,'Données projet'!$E$17+1,1))</f>
        <v>178.12968684094687</v>
      </c>
      <c r="GF112" s="59">
        <f t="shared" si="104"/>
        <v>219.36004077210373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0.86017006309626254</v>
      </c>
      <c r="GN112" s="21">
        <f>EXP(-LN(2)/2)*GN111+(1-EXP(-LN(2)/2))/(LN(2)/2)*GH112*GK112*VLOOKUP('Données projet'!$B$17,Paramètres!$A$1:$I$89,3,0)*0.475*44/12</f>
        <v>1.2756103068625681E-11</v>
      </c>
      <c r="GO112" s="21">
        <f t="shared" si="81"/>
        <v>0.86017006310901867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5.6843418860808015E-14</v>
      </c>
      <c r="GV112" s="17">
        <f>GU112*VLOOKUP('Données projet'!$B$18,Paramètres!$A$1:$I$89,3,0)*VLOOKUP('Données projet'!$B$18,Paramètres!$A$1:$I$89,5,0)</f>
        <v>4.5224624045658861E-14</v>
      </c>
      <c r="GW112" s="13">
        <f t="shared" si="105"/>
        <v>7.4514601661523691E-13</v>
      </c>
      <c r="GX112" s="20">
        <f t="shared" si="82"/>
        <v>1.3765621991510601E-12</v>
      </c>
      <c r="GY112" s="59">
        <f t="shared" si="83"/>
        <v>293.33333333333468</v>
      </c>
      <c r="GZ112" s="59">
        <f ca="1">AVERAGE(OFFSET($GY$3,0,0,'Données projet'!$E$18+1,1))-AVERAGE(OFFSET($H$3,0,0,'Données projet'!$E$18+1,1))</f>
        <v>199.58763537752952</v>
      </c>
      <c r="HA112" s="59">
        <f t="shared" si="106"/>
        <v>242.62852778451929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0</v>
      </c>
      <c r="HH112" s="21">
        <f>EXP(-LN(2)/25)*HH111+(1-EXP(-LN(2)/25))/(LN(2)/25)*Calculateur!HC112*Calculateur!HE112*VLOOKUP('Données projet'!$B$18,Paramètres!$A$1:$I$89,3,0)*0.475*44/12</f>
        <v>1.1504402179857487</v>
      </c>
      <c r="HI112" s="21">
        <f>EXP(-LN(2)/2)*HI111+(1-EXP(-LN(2)/2))/(LN(2)/2)*HC112*HF112*VLOOKUP('Données projet'!$B$18,Paramètres!$A$1:$I$89,3,0)*0.475*44/12</f>
        <v>1.384172886170022E-11</v>
      </c>
      <c r="HJ112" s="22">
        <f t="shared" si="84"/>
        <v>1.1504402179995905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362.35897435897431</v>
      </c>
      <c r="L113" s="12">
        <f>VLOOKUP(A113,'Données projet'!$A$35:$I$55,9,0)</f>
        <v>7.2711538461538394</v>
      </c>
      <c r="M113" s="12">
        <f t="array" ref="M113">INDEX(L:L,MIN(IF(ISNUMBER(L113:L309),ROW(L113:L309),"")))</f>
        <v>7.2711538461538394</v>
      </c>
      <c r="N113" s="13">
        <f>IF('Données projet'!$A$36&gt;35,N112+M113-V112,IF(A113&lt;'Données projet'!$A$36,$K$205^A113,IF(A113='Données projet'!$A$36,'Données projet'!$B$36,N112+M113-V112)))</f>
        <v>362.35897435897385</v>
      </c>
      <c r="O113" s="13">
        <f>N113*VLOOKUP('Données projet'!$B$9,Paramètres!$A$1:$I$89,3,0)*VLOOKUP('Données projet'!$B$9,Paramètres!$A$1:$I$89,5,0)</f>
        <v>327.86239999999952</v>
      </c>
      <c r="P113" s="13">
        <f t="shared" si="87"/>
        <v>76.98696067405001</v>
      </c>
      <c r="Q113" s="20">
        <f t="shared" si="107"/>
        <v>705.11263650730291</v>
      </c>
      <c r="R113" s="59">
        <f t="shared" si="55"/>
        <v>998.44596984063628</v>
      </c>
      <c r="S113" s="59">
        <f ca="1">AVERAGE(OFFSET($R$3,0,0,'Données projet'!$E$9+1,1))-AVERAGE(OFFSET($H$3,0,0,'Données projet'!$E$9+1,1))</f>
        <v>309.07357540707869</v>
      </c>
      <c r="T113" s="59">
        <f t="shared" si="88"/>
        <v>155.9593924683299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50.051282051282051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5.9865384615384558</v>
      </c>
      <c r="AI113" s="13">
        <f>IF('Données projet'!$A$62&gt;35,AI112+AH113-AQ112,IF(A113&lt;'Données projet'!$A$62,$AF$205^A113,IF(A113='Données projet'!$A$62,'Données projet'!$B$62,AI112+AH113-AQ112)))</f>
        <v>269.64999999999975</v>
      </c>
      <c r="AJ113" s="13">
        <f>AI113*VLOOKUP('Données projet'!$B$10,Paramètres!$A$1:$I$89,3,0)*VLOOKUP('Données projet'!$B$10,Paramètres!$A$1:$I$89,5,0)</f>
        <v>243.97931999999977</v>
      </c>
      <c r="AK113" s="13">
        <f t="shared" si="89"/>
        <v>59.294879427135335</v>
      </c>
      <c r="AL113" s="20">
        <f t="shared" si="58"/>
        <v>528.20256400226037</v>
      </c>
      <c r="AM113" s="59">
        <f t="shared" si="59"/>
        <v>821.53589733559375</v>
      </c>
      <c r="AN113" s="59">
        <f ca="1">AVERAGE(OFFSET($AM$3,0,0,'Données projet'!$E$10+1,1))-AVERAGE(OFFSET($H$3,0,0,'Données projet'!$E$10+1,1))</f>
        <v>234.30804102916278</v>
      </c>
      <c r="AO113" s="59">
        <f t="shared" si="90"/>
        <v>91.137993288782411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3.4106051316484809E-13</v>
      </c>
      <c r="BE113" s="13">
        <f>BD113*VLOOKUP('Données projet'!$B$11,Paramètres!$A$1:$I$89,3,0)*VLOOKUP('Données projet'!$B$11,Paramètres!$A$1:$I$89,5,0)</f>
        <v>1.5961632016114892E-13</v>
      </c>
      <c r="BF113" s="13">
        <f t="shared" si="91"/>
        <v>2.2708641912150958E-12</v>
      </c>
      <c r="BG113" s="20">
        <f t="shared" si="61"/>
        <v>4.2330868906469593E-12</v>
      </c>
      <c r="BH113" s="59">
        <f t="shared" si="62"/>
        <v>293.33333333333752</v>
      </c>
      <c r="BI113" s="59">
        <f ca="1">AVERAGE(OFFSET($BH$3,0,0,'Données projet'!$E$11+1,1))-AVERAGE(OFFSET($H$3,0,0,'Données projet'!$E$11+1,1))</f>
        <v>158.58786357608489</v>
      </c>
      <c r="BJ113" s="59">
        <f t="shared" si="92"/>
        <v>163.20074068819849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7.0884615384615346</v>
      </c>
      <c r="BY113" s="12">
        <f>IF('Données projet'!$A$114&gt;35,BY112+BX113-CG112,IF(A113&lt;'Données projet'!$A$114,$BV$205^A113,IF(A113='Données projet'!$A$114,'Données projet'!$B$114,BY112+BX113-CG112)))</f>
        <v>339.63461538461559</v>
      </c>
      <c r="BZ113" s="13">
        <f>BY113*VLOOKUP('Données projet'!$B$12,Paramètres!$A$1:$I$89,3,0)*VLOOKUP('Données projet'!$B$12,Paramètres!$A$1:$I$89,5,0)</f>
        <v>158.9490000000001</v>
      </c>
      <c r="CA113" s="13">
        <f t="shared" si="93"/>
        <v>40.605368573899611</v>
      </c>
      <c r="CB113" s="20">
        <f t="shared" si="64"/>
        <v>347.55719193287524</v>
      </c>
      <c r="CC113" s="59">
        <f t="shared" si="65"/>
        <v>640.89052526620856</v>
      </c>
      <c r="CD113" s="59">
        <f ca="1">AVERAGE(OFFSET($CC$3,0,0,'Données projet'!$E$12+1,1))-AVERAGE(OFFSET($H$3,0,0,'Données projet'!$E$12+1,1))</f>
        <v>123.2823358462245</v>
      </c>
      <c r="CE113" s="59">
        <f t="shared" si="94"/>
        <v>92.75115399786057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-2.8421709430404007E-13</v>
      </c>
      <c r="CU113" s="17">
        <f>CT113*VLOOKUP('Données projet'!$B$13,Paramètres!$A$1:$I$89,3,0)*VLOOKUP('Données projet'!$B$13,Paramètres!$A$1:$I$89,5,0)</f>
        <v>-1.69961822393816E-13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179.32848817523677</v>
      </c>
      <c r="CZ113" s="59">
        <f t="shared" si="96"/>
        <v>131.3292389103035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1.434240594013642</v>
      </c>
      <c r="DH113" s="21">
        <f>EXP(-LN(2)/2)*DH112+(1-EXP(-LN(2)/2))/(LN(2)/2)*DB113*DE113*VLOOKUP('Données projet'!$B$13,Paramètres!$A$1:$I$89,3,0)*0.475*44/12</f>
        <v>4.7865518147277184E-12</v>
      </c>
      <c r="DI113" s="22">
        <f t="shared" si="69"/>
        <v>1.4342405940184286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362.35897435897431</v>
      </c>
      <c r="DM113" s="12">
        <f>VLOOKUP(A113,'Données projet'!$A$165:$I$185,9,0)</f>
        <v>7.2711538461538394</v>
      </c>
      <c r="DN113" s="12">
        <f t="array" ref="DN113">INDEX(DM:DM,MIN(IF(ISNUMBER(DM113:DM309),ROW(DM113:DM309),"")))</f>
        <v>7.2711538461538394</v>
      </c>
      <c r="DO113" s="12">
        <f>IF('Données projet'!$A$166&gt;35,DO112+DN113-DW112,IF(A113&lt;'Données projet'!$A$166,$DL$205^A113,IF(A113='Données projet'!$A$166,'Données projet'!$B$166,DO112+DN113-DW112)))</f>
        <v>362.35897435897385</v>
      </c>
      <c r="DP113" s="17">
        <f>DO113*VLOOKUP('Données projet'!$B$14,Paramètres!$A$1:$I$89,3,0)*VLOOKUP('Données projet'!$B$14,Paramètres!$A$1:$I$89,5,0)</f>
        <v>350.47359999999952</v>
      </c>
      <c r="DQ113" s="13">
        <f t="shared" si="97"/>
        <v>81.660022720580884</v>
      </c>
      <c r="DR113" s="20">
        <f t="shared" si="70"/>
        <v>752.63272623834416</v>
      </c>
      <c r="DS113" s="59">
        <f t="shared" si="71"/>
        <v>1045.9660595716775</v>
      </c>
      <c r="DT113" s="59">
        <f ca="1">AVERAGE(OFFSET($DS$3,0,0,'Données projet'!$E$14+1,1))-AVERAGE(OFFSET($H$3,0,0,'Données projet'!$E$14+1,1))</f>
        <v>340.4659523898373</v>
      </c>
      <c r="DU113" s="59">
        <f t="shared" si="98"/>
        <v>170.54530785680572</v>
      </c>
      <c r="DV113" s="15">
        <f>IF(ISNA(VLOOKUP(A113,'Données projet'!$A$165:$I$185,3,0)),0,VLOOKUP(A113,'Données projet'!$A$165:$I$185,3,0))</f>
        <v>10</v>
      </c>
      <c r="DW113" s="15">
        <f>IF(ISNA(VLOOKUP(A113,'Données projet'!$A$165:$I$185,4,0)),0,VLOOKUP(A113,'Données projet'!$A$165:$I$185,4,0))</f>
        <v>50.051282051282051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0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5.9865384615384558</v>
      </c>
      <c r="EJ113" s="12">
        <f>IF('Données projet'!$A$192&gt;35,EJ112+EI113-ER112,IF(A113&lt;'Données projet'!$A$192,$EG$205^A113,IF(A113='Données projet'!$A$192,'Données projet'!$B$192,EJ112+EI113-ER112)))</f>
        <v>269.64999999999975</v>
      </c>
      <c r="EK113" s="17">
        <f>EJ113*VLOOKUP('Données projet'!$B$15,Paramètres!$A$1:$I$89,3,0)*VLOOKUP('Données projet'!$B$15,Paramètres!$A$1:$I$89,5,0)</f>
        <v>260.80547999999976</v>
      </c>
      <c r="EL113" s="13">
        <f t="shared" si="99"/>
        <v>62.894042820241822</v>
      </c>
      <c r="EM113" s="20">
        <f t="shared" si="73"/>
        <v>563.77666891192064</v>
      </c>
      <c r="EN113" s="59">
        <f t="shared" si="74"/>
        <v>857.11000224525401</v>
      </c>
      <c r="EO113" s="59">
        <f ca="1">AVERAGE(OFFSET($EN$3,0,0,'Données projet'!$E$15+1,1))-AVERAGE(OFFSET($H$3,0,0,'Données projet'!$E$15+1,1))</f>
        <v>262.20955982183017</v>
      </c>
      <c r="EP113" s="59">
        <f t="shared" si="100"/>
        <v>101.35842063036193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5.6843418860808015E-14</v>
      </c>
      <c r="FF113" s="17">
        <f>FE113*VLOOKUP('Données projet'!$B$16,Paramètres!$A$1:$I$89,3,0)*VLOOKUP('Données projet'!$B$16,Paramètres!$A$1:$I$89,5,0)</f>
        <v>4.5224624045658861E-14</v>
      </c>
      <c r="FG113" s="13">
        <f t="shared" si="101"/>
        <v>7.4514601661523691E-13</v>
      </c>
      <c r="FH113" s="20">
        <f t="shared" si="76"/>
        <v>1.3765621991510601E-12</v>
      </c>
      <c r="FI113" s="59">
        <f t="shared" si="77"/>
        <v>293.33333333333468</v>
      </c>
      <c r="FJ113" s="59">
        <f ca="1">AVERAGE(OFFSET($FI$3,0,0,'Données projet'!$E$16+1,1))-AVERAGE(OFFSET($H$3,0,0,'Données projet'!$E$16+1,1))</f>
        <v>199.58763537752952</v>
      </c>
      <c r="FK113" s="59">
        <f t="shared" si="102"/>
        <v>242.62852778451929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1.1189813697259068</v>
      </c>
      <c r="FS113" s="21">
        <f>EXP(-LN(2)/2)*FS112+(1-EXP(-LN(2)/2))/(LN(2)/2)*FM113*FP113*VLOOKUP('Données projet'!$B$16,Paramètres!$A$1:$I$89,3,0)*0.475*44/12</f>
        <v>9.7875803414537767E-12</v>
      </c>
      <c r="FT113" s="22">
        <f t="shared" si="78"/>
        <v>1.1189813697356943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5.6843418860808015E-14</v>
      </c>
      <c r="GA113" s="17">
        <f>FZ113*VLOOKUP('Données projet'!$B$17,Paramètres!$A$1:$I$89,3,0)*VLOOKUP('Données projet'!$B$17,Paramètres!$A$1:$I$89,5,0)</f>
        <v>4.1677594708744434E-14</v>
      </c>
      <c r="GB113" s="13">
        <f t="shared" si="103"/>
        <v>6.9326303456159188E-13</v>
      </c>
      <c r="GC113" s="20">
        <f t="shared" si="79"/>
        <v>1.2800215959791691E-12</v>
      </c>
      <c r="GD113" s="59">
        <f t="shared" si="80"/>
        <v>293.33333333333462</v>
      </c>
      <c r="GE113" s="59">
        <f ca="1">AVERAGE(OFFSET($GD$3,0,0,'Données projet'!$E$17+1,1))-AVERAGE(OFFSET($H$3,0,0,'Données projet'!$E$17+1,1))</f>
        <v>178.12968684094687</v>
      </c>
      <c r="GF113" s="59">
        <f t="shared" si="104"/>
        <v>219.36004077210373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0.83664866748651756</v>
      </c>
      <c r="GN113" s="21">
        <f>EXP(-LN(2)/2)*GN112+(1-EXP(-LN(2)/2))/(LN(2)/2)*GH113*GK113*VLOOKUP('Données projet'!$B$17,Paramètres!$A$1:$I$89,3,0)*0.475*44/12</f>
        <v>9.0199269813397471E-12</v>
      </c>
      <c r="GO113" s="21">
        <f t="shared" si="81"/>
        <v>0.83664866749553746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5.6843418860808015E-14</v>
      </c>
      <c r="GV113" s="17">
        <f>GU113*VLOOKUP('Données projet'!$B$18,Paramètres!$A$1:$I$89,3,0)*VLOOKUP('Données projet'!$B$18,Paramètres!$A$1:$I$89,5,0)</f>
        <v>4.5224624045658861E-14</v>
      </c>
      <c r="GW113" s="13">
        <f t="shared" si="105"/>
        <v>7.4514601661523691E-13</v>
      </c>
      <c r="GX113" s="20">
        <f t="shared" si="82"/>
        <v>1.3765621991510601E-12</v>
      </c>
      <c r="GY113" s="59">
        <f t="shared" si="83"/>
        <v>293.33333333333468</v>
      </c>
      <c r="GZ113" s="59">
        <f ca="1">AVERAGE(OFFSET($GY$3,0,0,'Données projet'!$E$18+1,1))-AVERAGE(OFFSET($H$3,0,0,'Données projet'!$E$18+1,1))</f>
        <v>199.58763537752952</v>
      </c>
      <c r="HA113" s="59">
        <f t="shared" si="106"/>
        <v>242.62852778451929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0</v>
      </c>
      <c r="HH113" s="21">
        <f>EXP(-LN(2)/25)*HH112+(1-EXP(-LN(2)/25))/(LN(2)/25)*Calculateur!HC113*Calculateur!HE113*VLOOKUP('Données projet'!$B$18,Paramètres!$A$1:$I$89,3,0)*0.475*44/12</f>
        <v>1.1189813697259068</v>
      </c>
      <c r="HI113" s="21">
        <f>EXP(-LN(2)/2)*HI112+(1-EXP(-LN(2)/2))/(LN(2)/2)*HC113*HF113*VLOOKUP('Données projet'!$B$18,Paramètres!$A$1:$I$89,3,0)*0.475*44/12</f>
        <v>9.7875803414537767E-12</v>
      </c>
      <c r="HJ113" s="22">
        <f t="shared" si="84"/>
        <v>1.1189813697356943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7.1749999999999998</v>
      </c>
      <c r="N114" s="13">
        <f>IF('Données projet'!$A$36&gt;35,N113+M114-V113,IF(A114&lt;'Données projet'!$A$36,$K$205^A114,IF(A114='Données projet'!$A$36,'Données projet'!$B$36,N113+M114-V113)))</f>
        <v>319.48269230769182</v>
      </c>
      <c r="O114" s="13">
        <f>N114*VLOOKUP('Données projet'!$B$9,Paramètres!$A$1:$I$89,3,0)*VLOOKUP('Données projet'!$B$9,Paramètres!$A$1:$I$89,5,0)</f>
        <v>289.06793999999957</v>
      </c>
      <c r="P114" s="13">
        <f t="shared" si="87"/>
        <v>68.879756132176865</v>
      </c>
      <c r="Q114" s="20">
        <f t="shared" si="107"/>
        <v>623.42557076354058</v>
      </c>
      <c r="R114" s="59">
        <f t="shared" si="55"/>
        <v>916.75890409687395</v>
      </c>
      <c r="S114" s="59">
        <f ca="1">AVERAGE(OFFSET($R$3,0,0,'Données projet'!$E$9+1,1))-AVERAGE(OFFSET($H$3,0,0,'Données projet'!$E$9+1,1))</f>
        <v>309.07357540707869</v>
      </c>
      <c r="T114" s="59">
        <f t="shared" si="88"/>
        <v>155.9593924683299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5.9865384615384558</v>
      </c>
      <c r="AI114" s="13">
        <f>IF('Données projet'!$A$62&gt;35,AI113+AH114-AQ113,IF(A114&lt;'Données projet'!$A$62,$AF$205^A114,IF(A114='Données projet'!$A$62,'Données projet'!$B$62,AI113+AH114-AQ113)))</f>
        <v>275.63653846153818</v>
      </c>
      <c r="AJ114" s="13">
        <f>AI114*VLOOKUP('Données projet'!$B$10,Paramètres!$A$1:$I$89,3,0)*VLOOKUP('Données projet'!$B$10,Paramètres!$A$1:$I$89,5,0)</f>
        <v>249.39593999999977</v>
      </c>
      <c r="AK114" s="13">
        <f t="shared" si="89"/>
        <v>60.45657228854882</v>
      </c>
      <c r="AL114" s="20">
        <f t="shared" si="58"/>
        <v>539.65979223588886</v>
      </c>
      <c r="AM114" s="59">
        <f t="shared" si="59"/>
        <v>832.99312556922223</v>
      </c>
      <c r="AN114" s="59">
        <f ca="1">AVERAGE(OFFSET($AM$3,0,0,'Données projet'!$E$10+1,1))-AVERAGE(OFFSET($H$3,0,0,'Données projet'!$E$10+1,1))</f>
        <v>234.30804102916278</v>
      </c>
      <c r="AO114" s="59">
        <f t="shared" si="90"/>
        <v>91.137993288782411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3.4106051316484809E-13</v>
      </c>
      <c r="BE114" s="13">
        <f>BD114*VLOOKUP('Données projet'!$B$11,Paramètres!$A$1:$I$89,3,0)*VLOOKUP('Données projet'!$B$11,Paramètres!$A$1:$I$89,5,0)</f>
        <v>1.5961632016114892E-13</v>
      </c>
      <c r="BF114" s="13">
        <f t="shared" si="91"/>
        <v>2.2708641912150958E-12</v>
      </c>
      <c r="BG114" s="20">
        <f t="shared" si="61"/>
        <v>4.2330868906469593E-12</v>
      </c>
      <c r="BH114" s="59">
        <f t="shared" si="62"/>
        <v>293.33333333333752</v>
      </c>
      <c r="BI114" s="59">
        <f ca="1">AVERAGE(OFFSET($BH$3,0,0,'Données projet'!$E$11+1,1))-AVERAGE(OFFSET($H$3,0,0,'Données projet'!$E$11+1,1))</f>
        <v>158.58786357608489</v>
      </c>
      <c r="BJ114" s="59">
        <f t="shared" si="92"/>
        <v>163.20074068819849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7.0884615384615346</v>
      </c>
      <c r="BY114" s="12">
        <f>IF('Données projet'!$A$114&gt;35,BY113+BX114-CG113,IF(A114&lt;'Données projet'!$A$114,$BV$205^A114,IF(A114='Données projet'!$A$114,'Données projet'!$B$114,BY113+BX114-CG113)))</f>
        <v>346.72307692307714</v>
      </c>
      <c r="BZ114" s="13">
        <f>BY114*VLOOKUP('Données projet'!$B$12,Paramètres!$A$1:$I$89,3,0)*VLOOKUP('Données projet'!$B$12,Paramètres!$A$1:$I$89,5,0)</f>
        <v>162.26640000000009</v>
      </c>
      <c r="CA114" s="13">
        <f t="shared" si="93"/>
        <v>41.353289029019415</v>
      </c>
      <c r="CB114" s="20">
        <f t="shared" si="64"/>
        <v>354.63762505887559</v>
      </c>
      <c r="CC114" s="59">
        <f t="shared" si="65"/>
        <v>647.9709583922089</v>
      </c>
      <c r="CD114" s="59">
        <f ca="1">AVERAGE(OFFSET($CC$3,0,0,'Données projet'!$E$12+1,1))-AVERAGE(OFFSET($H$3,0,0,'Données projet'!$E$12+1,1))</f>
        <v>123.2823358462245</v>
      </c>
      <c r="CE114" s="59">
        <f t="shared" si="94"/>
        <v>92.75115399786057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-2.8421709430404007E-13</v>
      </c>
      <c r="CU114" s="17">
        <f>CT114*VLOOKUP('Données projet'!$B$13,Paramètres!$A$1:$I$89,3,0)*VLOOKUP('Données projet'!$B$13,Paramètres!$A$1:$I$89,5,0)</f>
        <v>-1.69961822393816E-13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179.32848817523677</v>
      </c>
      <c r="CZ114" s="59">
        <f t="shared" si="96"/>
        <v>131.3292389103035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1.3950212095469041</v>
      </c>
      <c r="DH114" s="21">
        <f>EXP(-LN(2)/2)*DH113+(1-EXP(-LN(2)/2))/(LN(2)/2)*DB114*DE114*VLOOKUP('Données projet'!$B$13,Paramètres!$A$1:$I$89,3,0)*0.475*44/12</f>
        <v>3.3846032466947448E-12</v>
      </c>
      <c r="DI114" s="22">
        <f t="shared" si="69"/>
        <v>1.3950212095502887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7.1749999999999998</v>
      </c>
      <c r="DO114" s="12">
        <f>IF('Données projet'!$A$166&gt;35,DO113+DN114-DW113,IF(A114&lt;'Données projet'!$A$166,$DL$205^A114,IF(A114='Données projet'!$A$166,'Données projet'!$B$166,DO113+DN114-DW113)))</f>
        <v>319.48269230769182</v>
      </c>
      <c r="DP114" s="17">
        <f>DO114*VLOOKUP('Données projet'!$B$14,Paramètres!$A$1:$I$89,3,0)*VLOOKUP('Données projet'!$B$14,Paramètres!$A$1:$I$89,5,0)</f>
        <v>309.00365999999951</v>
      </c>
      <c r="DQ114" s="13">
        <f t="shared" si="97"/>
        <v>73.06071575621452</v>
      </c>
      <c r="DR114" s="20">
        <f t="shared" si="70"/>
        <v>665.42878777540602</v>
      </c>
      <c r="DS114" s="59">
        <f t="shared" si="71"/>
        <v>958.76212110873939</v>
      </c>
      <c r="DT114" s="59">
        <f ca="1">AVERAGE(OFFSET($DS$3,0,0,'Données projet'!$E$14+1,1))-AVERAGE(OFFSET($H$3,0,0,'Données projet'!$E$14+1,1))</f>
        <v>340.4659523898373</v>
      </c>
      <c r="DU114" s="59">
        <f t="shared" si="98"/>
        <v>170.54530785680572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0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5.9865384615384558</v>
      </c>
      <c r="EJ114" s="12">
        <f>IF('Données projet'!$A$192&gt;35,EJ113+EI114-ER113,IF(A114&lt;'Données projet'!$A$192,$EG$205^A114,IF(A114='Données projet'!$A$192,'Données projet'!$B$192,EJ113+EI114-ER113)))</f>
        <v>275.63653846153818</v>
      </c>
      <c r="EK114" s="17">
        <f>EJ114*VLOOKUP('Données projet'!$B$15,Paramètres!$A$1:$I$89,3,0)*VLOOKUP('Données projet'!$B$15,Paramètres!$A$1:$I$89,5,0)</f>
        <v>266.59565999999973</v>
      </c>
      <c r="EL114" s="13">
        <f t="shared" si="99"/>
        <v>64.126249737189752</v>
      </c>
      <c r="EM114" s="20">
        <f t="shared" si="73"/>
        <v>576.007326125605</v>
      </c>
      <c r="EN114" s="59">
        <f t="shared" si="74"/>
        <v>869.34065945893826</v>
      </c>
      <c r="EO114" s="59">
        <f ca="1">AVERAGE(OFFSET($EN$3,0,0,'Données projet'!$E$15+1,1))-AVERAGE(OFFSET($H$3,0,0,'Données projet'!$E$15+1,1))</f>
        <v>262.20955982183017</v>
      </c>
      <c r="EP114" s="59">
        <f t="shared" si="100"/>
        <v>101.35842063036193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5.6843418860808015E-14</v>
      </c>
      <c r="FF114" s="17">
        <f>FE114*VLOOKUP('Données projet'!$B$16,Paramètres!$A$1:$I$89,3,0)*VLOOKUP('Données projet'!$B$16,Paramètres!$A$1:$I$89,5,0)</f>
        <v>4.5224624045658861E-14</v>
      </c>
      <c r="FG114" s="13">
        <f t="shared" si="101"/>
        <v>7.4514601661523691E-13</v>
      </c>
      <c r="FH114" s="20">
        <f t="shared" si="76"/>
        <v>1.3765621991510601E-12</v>
      </c>
      <c r="FI114" s="59">
        <f t="shared" si="77"/>
        <v>293.33333333333468</v>
      </c>
      <c r="FJ114" s="59">
        <f ca="1">AVERAGE(OFFSET($FI$3,0,0,'Données projet'!$E$16+1,1))-AVERAGE(OFFSET($H$3,0,0,'Données projet'!$E$16+1,1))</f>
        <v>199.58763537752952</v>
      </c>
      <c r="FK114" s="59">
        <f t="shared" si="102"/>
        <v>242.62852778451929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1.0883827653260791</v>
      </c>
      <c r="FS114" s="21">
        <f>EXP(-LN(2)/2)*FS113+(1-EXP(-LN(2)/2))/(LN(2)/2)*FM114*FP114*VLOOKUP('Données projet'!$B$16,Paramètres!$A$1:$I$89,3,0)*0.475*44/12</f>
        <v>6.9208644308501099E-12</v>
      </c>
      <c r="FT114" s="22">
        <f t="shared" si="78"/>
        <v>1.088382765333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5.6843418860808015E-14</v>
      </c>
      <c r="GA114" s="17">
        <f>FZ114*VLOOKUP('Données projet'!$B$17,Paramètres!$A$1:$I$89,3,0)*VLOOKUP('Données projet'!$B$17,Paramètres!$A$1:$I$89,5,0)</f>
        <v>4.1677594708744434E-14</v>
      </c>
      <c r="GB114" s="13">
        <f t="shared" si="103"/>
        <v>6.9326303456159188E-13</v>
      </c>
      <c r="GC114" s="20">
        <f t="shared" si="79"/>
        <v>1.2800215959791691E-12</v>
      </c>
      <c r="GD114" s="59">
        <f t="shared" si="80"/>
        <v>293.33333333333462</v>
      </c>
      <c r="GE114" s="59">
        <f ca="1">AVERAGE(OFFSET($GD$3,0,0,'Données projet'!$E$17+1,1))-AVERAGE(OFFSET($H$3,0,0,'Données projet'!$E$17+1,1))</f>
        <v>178.12968684094687</v>
      </c>
      <c r="GF114" s="59">
        <f t="shared" si="104"/>
        <v>219.36004077210373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0.81377046567665745</v>
      </c>
      <c r="GN114" s="21">
        <f>EXP(-LN(2)/2)*GN113+(1-EXP(-LN(2)/2))/(LN(2)/2)*GH114*GK114*VLOOKUP('Données projet'!$B$17,Paramètres!$A$1:$I$89,3,0)*0.475*44/12</f>
        <v>6.3780515343128407E-12</v>
      </c>
      <c r="GO114" s="21">
        <f t="shared" si="81"/>
        <v>0.81377046568303546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5.6843418860808015E-14</v>
      </c>
      <c r="GV114" s="17">
        <f>GU114*VLOOKUP('Données projet'!$B$18,Paramètres!$A$1:$I$89,3,0)*VLOOKUP('Données projet'!$B$18,Paramètres!$A$1:$I$89,5,0)</f>
        <v>4.5224624045658861E-14</v>
      </c>
      <c r="GW114" s="13">
        <f t="shared" si="105"/>
        <v>7.4514601661523691E-13</v>
      </c>
      <c r="GX114" s="20">
        <f t="shared" si="82"/>
        <v>1.3765621991510601E-12</v>
      </c>
      <c r="GY114" s="59">
        <f t="shared" si="83"/>
        <v>293.33333333333468</v>
      </c>
      <c r="GZ114" s="59">
        <f ca="1">AVERAGE(OFFSET($GY$3,0,0,'Données projet'!$E$18+1,1))-AVERAGE(OFFSET($H$3,0,0,'Données projet'!$E$18+1,1))</f>
        <v>199.58763537752952</v>
      </c>
      <c r="HA114" s="59">
        <f t="shared" si="106"/>
        <v>242.62852778451929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0</v>
      </c>
      <c r="HH114" s="21">
        <f>EXP(-LN(2)/25)*HH113+(1-EXP(-LN(2)/25))/(LN(2)/25)*Calculateur!HC114*Calculateur!HE114*VLOOKUP('Données projet'!$B$18,Paramètres!$A$1:$I$89,3,0)*0.475*44/12</f>
        <v>1.0883827653260791</v>
      </c>
      <c r="HI114" s="21">
        <f>EXP(-LN(2)/2)*HI113+(1-EXP(-LN(2)/2))/(LN(2)/2)*HC114*HF114*VLOOKUP('Données projet'!$B$18,Paramètres!$A$1:$I$89,3,0)*0.475*44/12</f>
        <v>6.9208644308501099E-12</v>
      </c>
      <c r="HJ114" s="22">
        <f t="shared" si="84"/>
        <v>1.088382765333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7.1749999999999998</v>
      </c>
      <c r="N115" s="13">
        <f>IF('Données projet'!$A$36&gt;35,N114+M115-V114,IF(A115&lt;'Données projet'!$A$36,$K$205^A115,IF(A115='Données projet'!$A$36,'Données projet'!$B$36,N114+M115-V114)))</f>
        <v>326.65769230769183</v>
      </c>
      <c r="O115" s="13">
        <f>N115*VLOOKUP('Données projet'!$B$9,Paramètres!$A$1:$I$89,3,0)*VLOOKUP('Données projet'!$B$9,Paramètres!$A$1:$I$89,5,0)</f>
        <v>295.55987999999957</v>
      </c>
      <c r="P115" s="13">
        <f t="shared" si="87"/>
        <v>70.244837533317892</v>
      </c>
      <c r="Q115" s="20">
        <f t="shared" si="107"/>
        <v>637.10988303719455</v>
      </c>
      <c r="R115" s="59">
        <f t="shared" si="55"/>
        <v>930.44321637052781</v>
      </c>
      <c r="S115" s="59">
        <f ca="1">AVERAGE(OFFSET($R$3,0,0,'Données projet'!$E$9+1,1))-AVERAGE(OFFSET($H$3,0,0,'Données projet'!$E$9+1,1))</f>
        <v>309.07357540707869</v>
      </c>
      <c r="T115" s="59">
        <f t="shared" si="88"/>
        <v>155.9593924683299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5.9865384615384558</v>
      </c>
      <c r="AI115" s="13">
        <f>IF('Données projet'!$A$62&gt;35,AI114+AH115-AQ114,IF(A115&lt;'Données projet'!$A$62,$AF$205^A115,IF(A115='Données projet'!$A$62,'Données projet'!$B$62,AI114+AH115-AQ114)))</f>
        <v>281.62307692307661</v>
      </c>
      <c r="AJ115" s="13">
        <f>AI115*VLOOKUP('Données projet'!$B$10,Paramètres!$A$1:$I$89,3,0)*VLOOKUP('Données projet'!$B$10,Paramètres!$A$1:$I$89,5,0)</f>
        <v>254.81255999999971</v>
      </c>
      <c r="AK115" s="13">
        <f t="shared" si="89"/>
        <v>61.615331755078437</v>
      </c>
      <c r="AL115" s="20">
        <f t="shared" si="58"/>
        <v>551.11191147342777</v>
      </c>
      <c r="AM115" s="59">
        <f t="shared" si="59"/>
        <v>844.44524480676114</v>
      </c>
      <c r="AN115" s="59">
        <f ca="1">AVERAGE(OFFSET($AM$3,0,0,'Données projet'!$E$10+1,1))-AVERAGE(OFFSET($H$3,0,0,'Données projet'!$E$10+1,1))</f>
        <v>234.30804102916278</v>
      </c>
      <c r="AO115" s="59">
        <f t="shared" si="90"/>
        <v>91.137993288782411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3.4106051316484809E-13</v>
      </c>
      <c r="BE115" s="13">
        <f>BD115*VLOOKUP('Données projet'!$B$11,Paramètres!$A$1:$I$89,3,0)*VLOOKUP('Données projet'!$B$11,Paramètres!$A$1:$I$89,5,0)</f>
        <v>1.5961632016114892E-13</v>
      </c>
      <c r="BF115" s="13">
        <f t="shared" si="91"/>
        <v>2.2708641912150958E-12</v>
      </c>
      <c r="BG115" s="20">
        <f t="shared" si="61"/>
        <v>4.2330868906469593E-12</v>
      </c>
      <c r="BH115" s="59">
        <f t="shared" si="62"/>
        <v>293.33333333333752</v>
      </c>
      <c r="BI115" s="59">
        <f ca="1">AVERAGE(OFFSET($BH$3,0,0,'Données projet'!$E$11+1,1))-AVERAGE(OFFSET($H$3,0,0,'Données projet'!$E$11+1,1))</f>
        <v>158.58786357608489</v>
      </c>
      <c r="BJ115" s="59">
        <f t="shared" si="92"/>
        <v>163.20074068819849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7.0884615384615346</v>
      </c>
      <c r="BY115" s="12">
        <f>IF('Données projet'!$A$114&gt;35,BY114+BX115-CG114,IF(A115&lt;'Données projet'!$A$114,$BV$205^A115,IF(A115='Données projet'!$A$114,'Données projet'!$B$114,BY114+BX115-CG114)))</f>
        <v>353.8115384615387</v>
      </c>
      <c r="BZ115" s="13">
        <f>BY115*VLOOKUP('Données projet'!$B$12,Paramètres!$A$1:$I$89,3,0)*VLOOKUP('Données projet'!$B$12,Paramètres!$A$1:$I$89,5,0)</f>
        <v>165.58380000000011</v>
      </c>
      <c r="CA115" s="13">
        <f t="shared" si="93"/>
        <v>42.099431642932473</v>
      </c>
      <c r="CB115" s="20">
        <f t="shared" si="64"/>
        <v>361.71496177810758</v>
      </c>
      <c r="CC115" s="59">
        <f t="shared" si="65"/>
        <v>655.04829511144089</v>
      </c>
      <c r="CD115" s="59">
        <f ca="1">AVERAGE(OFFSET($CC$3,0,0,'Données projet'!$E$12+1,1))-AVERAGE(OFFSET($H$3,0,0,'Données projet'!$E$12+1,1))</f>
        <v>123.2823358462245</v>
      </c>
      <c r="CE115" s="59">
        <f t="shared" si="94"/>
        <v>92.75115399786057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-2.8421709430404007E-13</v>
      </c>
      <c r="CU115" s="17">
        <f>CT115*VLOOKUP('Données projet'!$B$13,Paramètres!$A$1:$I$89,3,0)*VLOOKUP('Données projet'!$B$13,Paramètres!$A$1:$I$89,5,0)</f>
        <v>-1.69961822393816E-13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179.32848817523677</v>
      </c>
      <c r="CZ115" s="59">
        <f t="shared" si="96"/>
        <v>131.3292389103035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1.356874281210867</v>
      </c>
      <c r="DH115" s="21">
        <f>EXP(-LN(2)/2)*DH114+(1-EXP(-LN(2)/2))/(LN(2)/2)*DB115*DE115*VLOOKUP('Données projet'!$B$13,Paramètres!$A$1:$I$89,3,0)*0.475*44/12</f>
        <v>2.3932759073638592E-12</v>
      </c>
      <c r="DI115" s="22">
        <f t="shared" si="69"/>
        <v>1.3568742812132601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7.1749999999999998</v>
      </c>
      <c r="DO115" s="12">
        <f>IF('Données projet'!$A$166&gt;35,DO114+DN115-DW114,IF(A115&lt;'Données projet'!$A$166,$DL$205^A115,IF(A115='Données projet'!$A$166,'Données projet'!$B$166,DO114+DN115-DW114)))</f>
        <v>326.65769230769183</v>
      </c>
      <c r="DP115" s="17">
        <f>DO115*VLOOKUP('Données projet'!$B$14,Paramètres!$A$1:$I$89,3,0)*VLOOKUP('Données projet'!$B$14,Paramètres!$A$1:$I$89,5,0)</f>
        <v>315.94331999999957</v>
      </c>
      <c r="DQ115" s="13">
        <f t="shared" si="97"/>
        <v>74.5086567744939</v>
      </c>
      <c r="DR115" s="20">
        <f t="shared" si="70"/>
        <v>680.03719288224272</v>
      </c>
      <c r="DS115" s="59">
        <f t="shared" si="71"/>
        <v>973.37052621557609</v>
      </c>
      <c r="DT115" s="59">
        <f ca="1">AVERAGE(OFFSET($DS$3,0,0,'Données projet'!$E$14+1,1))-AVERAGE(OFFSET($H$3,0,0,'Données projet'!$E$14+1,1))</f>
        <v>340.4659523898373</v>
      </c>
      <c r="DU115" s="59">
        <f t="shared" si="98"/>
        <v>170.54530785680572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0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5.9865384615384558</v>
      </c>
      <c r="EJ115" s="12">
        <f>IF('Données projet'!$A$192&gt;35,EJ114+EI115-ER114,IF(A115&lt;'Données projet'!$A$192,$EG$205^A115,IF(A115='Données projet'!$A$192,'Données projet'!$B$192,EJ114+EI115-ER114)))</f>
        <v>281.62307692307661</v>
      </c>
      <c r="EK115" s="17">
        <f>EJ115*VLOOKUP('Données projet'!$B$15,Paramètres!$A$1:$I$89,3,0)*VLOOKUP('Données projet'!$B$15,Paramètres!$A$1:$I$89,5,0)</f>
        <v>272.38583999999969</v>
      </c>
      <c r="EL115" s="13">
        <f t="shared" si="99"/>
        <v>65.355345203954769</v>
      </c>
      <c r="EM115" s="20">
        <f t="shared" si="73"/>
        <v>588.23256423022065</v>
      </c>
      <c r="EN115" s="59">
        <f t="shared" si="74"/>
        <v>881.56589756355402</v>
      </c>
      <c r="EO115" s="59">
        <f ca="1">AVERAGE(OFFSET($EN$3,0,0,'Données projet'!$E$15+1,1))-AVERAGE(OFFSET($H$3,0,0,'Données projet'!$E$15+1,1))</f>
        <v>262.20955982183017</v>
      </c>
      <c r="EP115" s="59">
        <f t="shared" si="100"/>
        <v>101.35842063036193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5.6843418860808015E-14</v>
      </c>
      <c r="FF115" s="17">
        <f>FE115*VLOOKUP('Données projet'!$B$16,Paramètres!$A$1:$I$89,3,0)*VLOOKUP('Données projet'!$B$16,Paramètres!$A$1:$I$89,5,0)</f>
        <v>4.5224624045658861E-14</v>
      </c>
      <c r="FG115" s="13">
        <f t="shared" si="101"/>
        <v>7.4514601661523691E-13</v>
      </c>
      <c r="FH115" s="20">
        <f t="shared" si="76"/>
        <v>1.3765621991510601E-12</v>
      </c>
      <c r="FI115" s="59">
        <f t="shared" si="77"/>
        <v>293.33333333333468</v>
      </c>
      <c r="FJ115" s="59">
        <f ca="1">AVERAGE(OFFSET($FI$3,0,0,'Données projet'!$E$16+1,1))-AVERAGE(OFFSET($H$3,0,0,'Données projet'!$E$16+1,1))</f>
        <v>199.58763537752952</v>
      </c>
      <c r="FK115" s="59">
        <f t="shared" si="102"/>
        <v>242.62852778451929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1.0586208813726754</v>
      </c>
      <c r="FS115" s="21">
        <f>EXP(-LN(2)/2)*FS114+(1-EXP(-LN(2)/2))/(LN(2)/2)*FM115*FP115*VLOOKUP('Données projet'!$B$16,Paramètres!$A$1:$I$89,3,0)*0.475*44/12</f>
        <v>4.8937901707268883E-12</v>
      </c>
      <c r="FT115" s="22">
        <f t="shared" si="78"/>
        <v>1.0586208813775693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5.6843418860808015E-14</v>
      </c>
      <c r="GA115" s="17">
        <f>FZ115*VLOOKUP('Données projet'!$B$17,Paramètres!$A$1:$I$89,3,0)*VLOOKUP('Données projet'!$B$17,Paramètres!$A$1:$I$89,5,0)</f>
        <v>4.1677594708744434E-14</v>
      </c>
      <c r="GB115" s="13">
        <f t="shared" si="103"/>
        <v>6.9326303456159188E-13</v>
      </c>
      <c r="GC115" s="20">
        <f t="shared" si="79"/>
        <v>1.2800215959791691E-12</v>
      </c>
      <c r="GD115" s="59">
        <f t="shared" si="80"/>
        <v>293.33333333333462</v>
      </c>
      <c r="GE115" s="59">
        <f ca="1">AVERAGE(OFFSET($GD$3,0,0,'Données projet'!$E$17+1,1))-AVERAGE(OFFSET($H$3,0,0,'Données projet'!$E$17+1,1))</f>
        <v>178.12968684094687</v>
      </c>
      <c r="GF115" s="59">
        <f t="shared" si="104"/>
        <v>219.36004077210373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0.79151786949840031</v>
      </c>
      <c r="GN115" s="21">
        <f>EXP(-LN(2)/2)*GN114+(1-EXP(-LN(2)/2))/(LN(2)/2)*GH115*GK115*VLOOKUP('Données projet'!$B$17,Paramètres!$A$1:$I$89,3,0)*0.475*44/12</f>
        <v>4.5099634906698735E-12</v>
      </c>
      <c r="GO115" s="21">
        <f t="shared" si="81"/>
        <v>0.79151786950291025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5.6843418860808015E-14</v>
      </c>
      <c r="GV115" s="17">
        <f>GU115*VLOOKUP('Données projet'!$B$18,Paramètres!$A$1:$I$89,3,0)*VLOOKUP('Données projet'!$B$18,Paramètres!$A$1:$I$89,5,0)</f>
        <v>4.5224624045658861E-14</v>
      </c>
      <c r="GW115" s="13">
        <f t="shared" si="105"/>
        <v>7.4514601661523691E-13</v>
      </c>
      <c r="GX115" s="20">
        <f t="shared" si="82"/>
        <v>1.3765621991510601E-12</v>
      </c>
      <c r="GY115" s="59">
        <f t="shared" si="83"/>
        <v>293.33333333333468</v>
      </c>
      <c r="GZ115" s="59">
        <f ca="1">AVERAGE(OFFSET($GY$3,0,0,'Données projet'!$E$18+1,1))-AVERAGE(OFFSET($H$3,0,0,'Données projet'!$E$18+1,1))</f>
        <v>199.58763537752952</v>
      </c>
      <c r="HA115" s="59">
        <f t="shared" si="106"/>
        <v>242.62852778451929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0</v>
      </c>
      <c r="HH115" s="21">
        <f>EXP(-LN(2)/25)*HH114+(1-EXP(-LN(2)/25))/(LN(2)/25)*Calculateur!HC115*Calculateur!HE115*VLOOKUP('Données projet'!$B$18,Paramètres!$A$1:$I$89,3,0)*0.475*44/12</f>
        <v>1.0586208813726754</v>
      </c>
      <c r="HI115" s="21">
        <f>EXP(-LN(2)/2)*HI114+(1-EXP(-LN(2)/2))/(LN(2)/2)*HC115*HF115*VLOOKUP('Données projet'!$B$18,Paramètres!$A$1:$I$89,3,0)*0.475*44/12</f>
        <v>4.8937901707268883E-12</v>
      </c>
      <c r="HJ115" s="22">
        <f t="shared" si="84"/>
        <v>1.0586208813775693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7.1749999999999998</v>
      </c>
      <c r="N116" s="13">
        <f>IF('Données projet'!$A$36&gt;35,N115+M116-V115,IF(A116&lt;'Données projet'!$A$36,$K$205^A116,IF(A116='Données projet'!$A$36,'Données projet'!$B$36,N115+M116-V115)))</f>
        <v>333.83269230769184</v>
      </c>
      <c r="O116" s="13">
        <f>N116*VLOOKUP('Données projet'!$B$9,Paramètres!$A$1:$I$89,3,0)*VLOOKUP('Données projet'!$B$9,Paramètres!$A$1:$I$89,5,0)</f>
        <v>302.05181999999957</v>
      </c>
      <c r="P116" s="13">
        <f t="shared" si="87"/>
        <v>71.606432974509374</v>
      </c>
      <c r="Q116" s="20">
        <f t="shared" si="107"/>
        <v>650.78812393060309</v>
      </c>
      <c r="R116" s="59">
        <f t="shared" si="55"/>
        <v>944.12145726393646</v>
      </c>
      <c r="S116" s="59">
        <f ca="1">AVERAGE(OFFSET($R$3,0,0,'Données projet'!$E$9+1,1))-AVERAGE(OFFSET($H$3,0,0,'Données projet'!$E$9+1,1))</f>
        <v>309.07357540707869</v>
      </c>
      <c r="T116" s="59">
        <f t="shared" si="88"/>
        <v>155.9593924683299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5.9865384615384558</v>
      </c>
      <c r="AI116" s="13">
        <f>IF('Données projet'!$A$62&gt;35,AI115+AH116-AQ115,IF(A116&lt;'Données projet'!$A$62,$AF$205^A116,IF(A116='Données projet'!$A$62,'Données projet'!$B$62,AI115+AH116-AQ115)))</f>
        <v>287.60961538461504</v>
      </c>
      <c r="AJ116" s="13">
        <f>AI116*VLOOKUP('Données projet'!$B$10,Paramètres!$A$1:$I$89,3,0)*VLOOKUP('Données projet'!$B$10,Paramètres!$A$1:$I$89,5,0)</f>
        <v>260.2291799999997</v>
      </c>
      <c r="AK116" s="13">
        <f t="shared" si="89"/>
        <v>62.771227365455701</v>
      </c>
      <c r="AL116" s="20">
        <f t="shared" si="58"/>
        <v>562.55904282816812</v>
      </c>
      <c r="AM116" s="59">
        <f t="shared" si="59"/>
        <v>855.89237616150149</v>
      </c>
      <c r="AN116" s="59">
        <f ca="1">AVERAGE(OFFSET($AM$3,0,0,'Données projet'!$E$10+1,1))-AVERAGE(OFFSET($H$3,0,0,'Données projet'!$E$10+1,1))</f>
        <v>234.30804102916278</v>
      </c>
      <c r="AO116" s="59">
        <f t="shared" si="90"/>
        <v>91.137993288782411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3.4106051316484809E-13</v>
      </c>
      <c r="BE116" s="13">
        <f>BD116*VLOOKUP('Données projet'!$B$11,Paramètres!$A$1:$I$89,3,0)*VLOOKUP('Données projet'!$B$11,Paramètres!$A$1:$I$89,5,0)</f>
        <v>1.5961632016114892E-13</v>
      </c>
      <c r="BF116" s="13">
        <f t="shared" si="91"/>
        <v>2.2708641912150958E-12</v>
      </c>
      <c r="BG116" s="20">
        <f t="shared" si="61"/>
        <v>4.2330868906469593E-12</v>
      </c>
      <c r="BH116" s="59">
        <f t="shared" si="62"/>
        <v>293.33333333333752</v>
      </c>
      <c r="BI116" s="59">
        <f ca="1">AVERAGE(OFFSET($BH$3,0,0,'Données projet'!$E$11+1,1))-AVERAGE(OFFSET($H$3,0,0,'Données projet'!$E$11+1,1))</f>
        <v>158.58786357608489</v>
      </c>
      <c r="BJ116" s="59">
        <f t="shared" si="92"/>
        <v>163.20074068819849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7.0884615384615346</v>
      </c>
      <c r="BY116" s="12">
        <f>IF('Données projet'!$A$114&gt;35,BY115+BX116-CG115,IF(A116&lt;'Données projet'!$A$114,$BV$205^A116,IF(A116='Données projet'!$A$114,'Données projet'!$B$114,BY115+BX116-CG115)))</f>
        <v>360.90000000000026</v>
      </c>
      <c r="BZ116" s="13">
        <f>BY116*VLOOKUP('Données projet'!$B$12,Paramètres!$A$1:$I$89,3,0)*VLOOKUP('Données projet'!$B$12,Paramètres!$A$1:$I$89,5,0)</f>
        <v>168.90120000000013</v>
      </c>
      <c r="CA116" s="13">
        <f t="shared" si="93"/>
        <v>42.843836138922327</v>
      </c>
      <c r="CB116" s="20">
        <f t="shared" si="64"/>
        <v>368.78927127528988</v>
      </c>
      <c r="CC116" s="59">
        <f t="shared" si="65"/>
        <v>662.12260460862319</v>
      </c>
      <c r="CD116" s="59">
        <f ca="1">AVERAGE(OFFSET($CC$3,0,0,'Données projet'!$E$12+1,1))-AVERAGE(OFFSET($H$3,0,0,'Données projet'!$E$12+1,1))</f>
        <v>123.2823358462245</v>
      </c>
      <c r="CE116" s="59">
        <f t="shared" si="94"/>
        <v>92.75115399786057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-2.8421709430404007E-13</v>
      </c>
      <c r="CU116" s="17">
        <f>CT116*VLOOKUP('Données projet'!$B$13,Paramètres!$A$1:$I$89,3,0)*VLOOKUP('Données projet'!$B$13,Paramètres!$A$1:$I$89,5,0)</f>
        <v>-1.69961822393816E-13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179.32848817523677</v>
      </c>
      <c r="CZ116" s="59">
        <f t="shared" si="96"/>
        <v>131.3292389103035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1.3197704826362384</v>
      </c>
      <c r="DH116" s="21">
        <f>EXP(-LN(2)/2)*DH115+(1-EXP(-LN(2)/2))/(LN(2)/2)*DB116*DE116*VLOOKUP('Données projet'!$B$13,Paramètres!$A$1:$I$89,3,0)*0.475*44/12</f>
        <v>1.6923016233473724E-12</v>
      </c>
      <c r="DI116" s="22">
        <f t="shared" si="69"/>
        <v>1.3197704826379306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7.1749999999999998</v>
      </c>
      <c r="DO116" s="12">
        <f>IF('Données projet'!$A$166&gt;35,DO115+DN116-DW115,IF(A116&lt;'Données projet'!$A$166,$DL$205^A116,IF(A116='Données projet'!$A$166,'Données projet'!$B$166,DO115+DN116-DW115)))</f>
        <v>333.83269230769184</v>
      </c>
      <c r="DP116" s="17">
        <f>DO116*VLOOKUP('Données projet'!$B$14,Paramètres!$A$1:$I$89,3,0)*VLOOKUP('Données projet'!$B$14,Paramètres!$A$1:$I$89,5,0)</f>
        <v>322.88297999999958</v>
      </c>
      <c r="DQ116" s="13">
        <f t="shared" si="97"/>
        <v>75.952900237158715</v>
      </c>
      <c r="DR116" s="20">
        <f t="shared" si="70"/>
        <v>694.63915807971728</v>
      </c>
      <c r="DS116" s="59">
        <f t="shared" si="71"/>
        <v>987.97249141305065</v>
      </c>
      <c r="DT116" s="59">
        <f ca="1">AVERAGE(OFFSET($DS$3,0,0,'Données projet'!$E$14+1,1))-AVERAGE(OFFSET($H$3,0,0,'Données projet'!$E$14+1,1))</f>
        <v>340.4659523898373</v>
      </c>
      <c r="DU116" s="59">
        <f t="shared" si="98"/>
        <v>170.54530785680572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0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5.9865384615384558</v>
      </c>
      <c r="EJ116" s="12">
        <f>IF('Données projet'!$A$192&gt;35,EJ115+EI116-ER115,IF(A116&lt;'Données projet'!$A$192,$EG$205^A116,IF(A116='Données projet'!$A$192,'Données projet'!$B$192,EJ115+EI116-ER115)))</f>
        <v>287.60961538461504</v>
      </c>
      <c r="EK116" s="17">
        <f>EJ116*VLOOKUP('Données projet'!$B$15,Paramètres!$A$1:$I$89,3,0)*VLOOKUP('Données projet'!$B$15,Paramètres!$A$1:$I$89,5,0)</f>
        <v>278.17601999999971</v>
      </c>
      <c r="EL116" s="13">
        <f t="shared" si="99"/>
        <v>66.581402980227622</v>
      </c>
      <c r="EM116" s="20">
        <f t="shared" si="73"/>
        <v>600.45251169056257</v>
      </c>
      <c r="EN116" s="59">
        <f t="shared" si="74"/>
        <v>893.78584502389594</v>
      </c>
      <c r="EO116" s="59">
        <f ca="1">AVERAGE(OFFSET($EN$3,0,0,'Données projet'!$E$15+1,1))-AVERAGE(OFFSET($H$3,0,0,'Données projet'!$E$15+1,1))</f>
        <v>262.20955982183017</v>
      </c>
      <c r="EP116" s="59">
        <f t="shared" si="100"/>
        <v>101.35842063036193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5.6843418860808015E-14</v>
      </c>
      <c r="FF116" s="17">
        <f>FE116*VLOOKUP('Données projet'!$B$16,Paramètres!$A$1:$I$89,3,0)*VLOOKUP('Données projet'!$B$16,Paramètres!$A$1:$I$89,5,0)</f>
        <v>4.5224624045658861E-14</v>
      </c>
      <c r="FG116" s="13">
        <f t="shared" si="101"/>
        <v>7.4514601661523691E-13</v>
      </c>
      <c r="FH116" s="20">
        <f t="shared" si="76"/>
        <v>1.3765621991510601E-12</v>
      </c>
      <c r="FI116" s="59">
        <f t="shared" si="77"/>
        <v>293.33333333333468</v>
      </c>
      <c r="FJ116" s="59">
        <f ca="1">AVERAGE(OFFSET($FI$3,0,0,'Données projet'!$E$16+1,1))-AVERAGE(OFFSET($H$3,0,0,'Données projet'!$E$16+1,1))</f>
        <v>199.58763537752952</v>
      </c>
      <c r="FK116" s="59">
        <f t="shared" si="102"/>
        <v>242.62852778451929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1.0296728377010869</v>
      </c>
      <c r="FS116" s="21">
        <f>EXP(-LN(2)/2)*FS115+(1-EXP(-LN(2)/2))/(LN(2)/2)*FM116*FP116*VLOOKUP('Données projet'!$B$16,Paramètres!$A$1:$I$89,3,0)*0.475*44/12</f>
        <v>3.4604322154250549E-12</v>
      </c>
      <c r="FT116" s="22">
        <f t="shared" si="78"/>
        <v>1.0296728377045472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5.6843418860808015E-14</v>
      </c>
      <c r="GA116" s="17">
        <f>FZ116*VLOOKUP('Données projet'!$B$17,Paramètres!$A$1:$I$89,3,0)*VLOOKUP('Données projet'!$B$17,Paramètres!$A$1:$I$89,5,0)</f>
        <v>4.1677594708744434E-14</v>
      </c>
      <c r="GB116" s="13">
        <f t="shared" si="103"/>
        <v>6.9326303456159188E-13</v>
      </c>
      <c r="GC116" s="20">
        <f t="shared" si="79"/>
        <v>1.2800215959791691E-12</v>
      </c>
      <c r="GD116" s="59">
        <f t="shared" si="80"/>
        <v>293.33333333333462</v>
      </c>
      <c r="GE116" s="59">
        <f ca="1">AVERAGE(OFFSET($GD$3,0,0,'Données projet'!$E$17+1,1))-AVERAGE(OFFSET($H$3,0,0,'Données projet'!$E$17+1,1))</f>
        <v>178.12968684094687</v>
      </c>
      <c r="GF116" s="59">
        <f t="shared" si="104"/>
        <v>219.36004077210373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0.76987377173285088</v>
      </c>
      <c r="GN116" s="21">
        <f>EXP(-LN(2)/2)*GN115+(1-EXP(-LN(2)/2))/(LN(2)/2)*GH116*GK116*VLOOKUP('Données projet'!$B$17,Paramètres!$A$1:$I$89,3,0)*0.475*44/12</f>
        <v>3.1890257671564204E-12</v>
      </c>
      <c r="GO116" s="21">
        <f t="shared" si="81"/>
        <v>0.76987377173603988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5.6843418860808015E-14</v>
      </c>
      <c r="GV116" s="17">
        <f>GU116*VLOOKUP('Données projet'!$B$18,Paramètres!$A$1:$I$89,3,0)*VLOOKUP('Données projet'!$B$18,Paramètres!$A$1:$I$89,5,0)</f>
        <v>4.5224624045658861E-14</v>
      </c>
      <c r="GW116" s="13">
        <f t="shared" si="105"/>
        <v>7.4514601661523691E-13</v>
      </c>
      <c r="GX116" s="20">
        <f t="shared" si="82"/>
        <v>1.3765621991510601E-12</v>
      </c>
      <c r="GY116" s="59">
        <f t="shared" si="83"/>
        <v>293.33333333333468</v>
      </c>
      <c r="GZ116" s="59">
        <f ca="1">AVERAGE(OFFSET($GY$3,0,0,'Données projet'!$E$18+1,1))-AVERAGE(OFFSET($H$3,0,0,'Données projet'!$E$18+1,1))</f>
        <v>199.58763537752952</v>
      </c>
      <c r="HA116" s="59">
        <f t="shared" si="106"/>
        <v>242.62852778451929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0</v>
      </c>
      <c r="HH116" s="21">
        <f>EXP(-LN(2)/25)*HH115+(1-EXP(-LN(2)/25))/(LN(2)/25)*Calculateur!HC116*Calculateur!HE116*VLOOKUP('Données projet'!$B$18,Paramètres!$A$1:$I$89,3,0)*0.475*44/12</f>
        <v>1.0296728377010869</v>
      </c>
      <c r="HI116" s="21">
        <f>EXP(-LN(2)/2)*HI115+(1-EXP(-LN(2)/2))/(LN(2)/2)*HC116*HF116*VLOOKUP('Données projet'!$B$18,Paramètres!$A$1:$I$89,3,0)*0.475*44/12</f>
        <v>3.4604322154250549E-12</v>
      </c>
      <c r="HJ116" s="22">
        <f t="shared" si="84"/>
        <v>1.0296728377045472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7.1749999999999998</v>
      </c>
      <c r="N117" s="13">
        <f>IF('Données projet'!$A$36&gt;35,N116+M117-V116,IF(A117&lt;'Données projet'!$A$36,$K$205^A117,IF(A117='Données projet'!$A$36,'Données projet'!$B$36,N116+M117-V116)))</f>
        <v>341.00769230769185</v>
      </c>
      <c r="O117" s="13">
        <f>N117*VLOOKUP('Données projet'!$B$9,Paramètres!$A$1:$I$89,3,0)*VLOOKUP('Données projet'!$B$9,Paramètres!$A$1:$I$89,5,0)</f>
        <v>308.54375999999962</v>
      </c>
      <c r="P117" s="13">
        <f t="shared" si="87"/>
        <v>72.964626008291646</v>
      </c>
      <c r="Q117" s="20">
        <f t="shared" si="107"/>
        <v>664.46043896444064</v>
      </c>
      <c r="R117" s="59">
        <f t="shared" si="55"/>
        <v>957.79377229777401</v>
      </c>
      <c r="S117" s="59">
        <f ca="1">AVERAGE(OFFSET($R$3,0,0,'Données projet'!$E$9+1,1))-AVERAGE(OFFSET($H$3,0,0,'Données projet'!$E$9+1,1))</f>
        <v>309.07357540707869</v>
      </c>
      <c r="T117" s="59">
        <f t="shared" si="88"/>
        <v>155.9593924683299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293.59615384615381</v>
      </c>
      <c r="AG117" s="12">
        <f>VLOOKUP(A117,'Données projet'!$A$61:$I$81,9,0)</f>
        <v>5.9865384615384558</v>
      </c>
      <c r="AH117" s="12">
        <f t="array" ref="AH117">INDEX(AG:AG,MIN(IF(ISNUMBER(AG117:AG313),ROW(AG117:AG313),"")))</f>
        <v>5.9865384615384558</v>
      </c>
      <c r="AI117" s="13">
        <f>IF('Données projet'!$A$62&gt;35,AI116+AH117-AQ116,IF(A117&lt;'Données projet'!$A$62,$AF$205^A117,IF(A117='Données projet'!$A$62,'Données projet'!$B$62,AI116+AH117-AQ116)))</f>
        <v>293.59615384615347</v>
      </c>
      <c r="AJ117" s="13">
        <f>AI117*VLOOKUP('Données projet'!$B$10,Paramètres!$A$1:$I$89,3,0)*VLOOKUP('Données projet'!$B$10,Paramètres!$A$1:$I$89,5,0)</f>
        <v>265.64579999999967</v>
      </c>
      <c r="AK117" s="13">
        <f t="shared" si="89"/>
        <v>63.924325598105078</v>
      </c>
      <c r="AL117" s="20">
        <f t="shared" si="58"/>
        <v>574.00130208336577</v>
      </c>
      <c r="AM117" s="59">
        <f t="shared" si="59"/>
        <v>867.33463541669903</v>
      </c>
      <c r="AN117" s="59">
        <f ca="1">AVERAGE(OFFSET($AM$3,0,0,'Données projet'!$E$10+1,1))-AVERAGE(OFFSET($H$3,0,0,'Données projet'!$E$10+1,1))</f>
        <v>234.30804102916278</v>
      </c>
      <c r="AO117" s="59">
        <f t="shared" si="90"/>
        <v>91.137993288782411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42.78846153846154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3.4106051316484809E-13</v>
      </c>
      <c r="BE117" s="13">
        <f>BD117*VLOOKUP('Données projet'!$B$11,Paramètres!$A$1:$I$89,3,0)*VLOOKUP('Données projet'!$B$11,Paramètres!$A$1:$I$89,5,0)</f>
        <v>1.5961632016114892E-13</v>
      </c>
      <c r="BF117" s="13">
        <f t="shared" si="91"/>
        <v>2.2708641912150958E-12</v>
      </c>
      <c r="BG117" s="20">
        <f t="shared" si="61"/>
        <v>4.2330868906469593E-12</v>
      </c>
      <c r="BH117" s="59">
        <f t="shared" si="62"/>
        <v>293.33333333333752</v>
      </c>
      <c r="BI117" s="59">
        <f ca="1">AVERAGE(OFFSET($BH$3,0,0,'Données projet'!$E$11+1,1))-AVERAGE(OFFSET($H$3,0,0,'Données projet'!$E$11+1,1))</f>
        <v>158.58786357608489</v>
      </c>
      <c r="BJ117" s="59">
        <f t="shared" si="92"/>
        <v>163.20074068819849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7.0884615384615346</v>
      </c>
      <c r="BY117" s="12">
        <f>IF('Données projet'!$A$114&gt;35,BY116+BX117-CG116,IF(A117&lt;'Données projet'!$A$114,$BV$205^A117,IF(A117='Données projet'!$A$114,'Données projet'!$B$114,BY116+BX117-CG116)))</f>
        <v>367.98846153846182</v>
      </c>
      <c r="BZ117" s="13">
        <f>BY117*VLOOKUP('Données projet'!$B$12,Paramètres!$A$1:$I$89,3,0)*VLOOKUP('Données projet'!$B$12,Paramètres!$A$1:$I$89,5,0)</f>
        <v>172.21860000000012</v>
      </c>
      <c r="CA117" s="13">
        <f t="shared" si="93"/>
        <v>43.586540590608614</v>
      </c>
      <c r="CB117" s="20">
        <f t="shared" si="64"/>
        <v>375.86061986197689</v>
      </c>
      <c r="CC117" s="59">
        <f t="shared" si="65"/>
        <v>669.1939531953102</v>
      </c>
      <c r="CD117" s="59">
        <f ca="1">AVERAGE(OFFSET($CC$3,0,0,'Données projet'!$E$12+1,1))-AVERAGE(OFFSET($H$3,0,0,'Données projet'!$E$12+1,1))</f>
        <v>123.2823358462245</v>
      </c>
      <c r="CE117" s="59">
        <f t="shared" si="94"/>
        <v>92.75115399786057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-2.8421709430404007E-13</v>
      </c>
      <c r="CU117" s="17">
        <f>CT117*VLOOKUP('Données projet'!$B$13,Paramètres!$A$1:$I$89,3,0)*VLOOKUP('Données projet'!$B$13,Paramètres!$A$1:$I$89,5,0)</f>
        <v>-1.69961822393816E-13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179.32848817523677</v>
      </c>
      <c r="CZ117" s="59">
        <f t="shared" si="96"/>
        <v>131.3292389103035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1.2836812893848373</v>
      </c>
      <c r="DH117" s="21">
        <f>EXP(-LN(2)/2)*DH116+(1-EXP(-LN(2)/2))/(LN(2)/2)*DB117*DE117*VLOOKUP('Données projet'!$B$13,Paramètres!$A$1:$I$89,3,0)*0.475*44/12</f>
        <v>1.1966379536819296E-12</v>
      </c>
      <c r="DI117" s="22">
        <f t="shared" si="69"/>
        <v>1.2836812893860339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7.1749999999999998</v>
      </c>
      <c r="DO117" s="12">
        <f>IF('Données projet'!$A$166&gt;35,DO116+DN117-DW116,IF(A117&lt;'Données projet'!$A$166,$DL$205^A117,IF(A117='Données projet'!$A$166,'Données projet'!$B$166,DO116+DN117-DW116)))</f>
        <v>341.00769230769185</v>
      </c>
      <c r="DP117" s="17">
        <f>DO117*VLOOKUP('Données projet'!$B$14,Paramètres!$A$1:$I$89,3,0)*VLOOKUP('Données projet'!$B$14,Paramètres!$A$1:$I$89,5,0)</f>
        <v>329.82263999999958</v>
      </c>
      <c r="DQ117" s="13">
        <f t="shared" si="97"/>
        <v>77.393534768338284</v>
      </c>
      <c r="DR117" s="20">
        <f t="shared" si="70"/>
        <v>709.23483772152179</v>
      </c>
      <c r="DS117" s="59">
        <f t="shared" si="71"/>
        <v>1002.5681710548552</v>
      </c>
      <c r="DT117" s="59">
        <f ca="1">AVERAGE(OFFSET($DS$3,0,0,'Données projet'!$E$14+1,1))-AVERAGE(OFFSET($H$3,0,0,'Données projet'!$E$14+1,1))</f>
        <v>340.4659523898373</v>
      </c>
      <c r="DU117" s="59">
        <f t="shared" si="98"/>
        <v>170.54530785680572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0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>
        <f>VLOOKUP(A117,'Données projet'!$A$191:$I$211,2,0)</f>
        <v>293.59615384615381</v>
      </c>
      <c r="EH117" s="12">
        <f>VLOOKUP(A117,'Données projet'!$A$191:$I$211,9,0)</f>
        <v>5.9865384615384558</v>
      </c>
      <c r="EI117" s="12">
        <f t="array" ref="EI117">INDEX(EH:EH,MIN(IF(ISNUMBER(EH117:EH313),ROW(EH117:EH313),"")))</f>
        <v>5.9865384615384558</v>
      </c>
      <c r="EJ117" s="12">
        <f>IF('Données projet'!$A$192&gt;35,EJ116+EI117-ER116,IF(A117&lt;'Données projet'!$A$192,$EG$205^A117,IF(A117='Données projet'!$A$192,'Données projet'!$B$192,EJ116+EI117-ER116)))</f>
        <v>293.59615384615347</v>
      </c>
      <c r="EK117" s="17">
        <f>EJ117*VLOOKUP('Données projet'!$B$15,Paramètres!$A$1:$I$89,3,0)*VLOOKUP('Données projet'!$B$15,Paramètres!$A$1:$I$89,5,0)</f>
        <v>283.96619999999962</v>
      </c>
      <c r="EL117" s="13">
        <f t="shared" si="99"/>
        <v>67.804493579632847</v>
      </c>
      <c r="EM117" s="20">
        <f t="shared" si="73"/>
        <v>612.66729131785985</v>
      </c>
      <c r="EN117" s="59">
        <f t="shared" si="74"/>
        <v>906.00062465119322</v>
      </c>
      <c r="EO117" s="59">
        <f ca="1">AVERAGE(OFFSET($EN$3,0,0,'Données projet'!$E$15+1,1))-AVERAGE(OFFSET($H$3,0,0,'Données projet'!$E$15+1,1))</f>
        <v>262.20955982183017</v>
      </c>
      <c r="EP117" s="59">
        <f t="shared" si="100"/>
        <v>101.35842063036193</v>
      </c>
      <c r="EQ117" s="15">
        <f>IF(ISNA(VLOOKUP(A117,'Données projet'!$A$191:$I$211,3,0)),0,VLOOKUP(A117,'Données projet'!$A$191:$I$211,3,0))</f>
        <v>9</v>
      </c>
      <c r="ER117" s="15">
        <f>IF(ISNA(VLOOKUP(A117,'Données projet'!$A$191:$I$211,4,0)),0,VLOOKUP(A117,'Données projet'!$A$191:$I$211,4,0))</f>
        <v>42.78846153846154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5.6843418860808015E-14</v>
      </c>
      <c r="FF117" s="17">
        <f>FE117*VLOOKUP('Données projet'!$B$16,Paramètres!$A$1:$I$89,3,0)*VLOOKUP('Données projet'!$B$16,Paramètres!$A$1:$I$89,5,0)</f>
        <v>4.5224624045658861E-14</v>
      </c>
      <c r="FG117" s="13">
        <f t="shared" si="101"/>
        <v>7.4514601661523691E-13</v>
      </c>
      <c r="FH117" s="20">
        <f t="shared" si="76"/>
        <v>1.3765621991510601E-12</v>
      </c>
      <c r="FI117" s="59">
        <f t="shared" si="77"/>
        <v>293.33333333333468</v>
      </c>
      <c r="FJ117" s="59">
        <f ca="1">AVERAGE(OFFSET($FI$3,0,0,'Données projet'!$E$16+1,1))-AVERAGE(OFFSET($H$3,0,0,'Données projet'!$E$16+1,1))</f>
        <v>199.58763537752952</v>
      </c>
      <c r="FK117" s="59">
        <f t="shared" si="102"/>
        <v>242.62852778451929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1.0015163798060094</v>
      </c>
      <c r="FS117" s="21">
        <f>EXP(-LN(2)/2)*FS116+(1-EXP(-LN(2)/2))/(LN(2)/2)*FM117*FP117*VLOOKUP('Données projet'!$B$16,Paramètres!$A$1:$I$89,3,0)*0.475*44/12</f>
        <v>2.4468950853634442E-12</v>
      </c>
      <c r="FT117" s="22">
        <f t="shared" si="78"/>
        <v>1.0015163798084563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5.6843418860808015E-14</v>
      </c>
      <c r="GA117" s="17">
        <f>FZ117*VLOOKUP('Données projet'!$B$17,Paramètres!$A$1:$I$89,3,0)*VLOOKUP('Données projet'!$B$17,Paramètres!$A$1:$I$89,5,0)</f>
        <v>4.1677594708744434E-14</v>
      </c>
      <c r="GB117" s="13">
        <f t="shared" si="103"/>
        <v>6.9326303456159188E-13</v>
      </c>
      <c r="GC117" s="20">
        <f t="shared" si="79"/>
        <v>1.2800215959791691E-12</v>
      </c>
      <c r="GD117" s="59">
        <f t="shared" si="80"/>
        <v>293.33333333333462</v>
      </c>
      <c r="GE117" s="59">
        <f ca="1">AVERAGE(OFFSET($GD$3,0,0,'Données projet'!$E$17+1,1))-AVERAGE(OFFSET($H$3,0,0,'Données projet'!$E$17+1,1))</f>
        <v>178.12968684094687</v>
      </c>
      <c r="GF117" s="59">
        <f t="shared" si="104"/>
        <v>219.36004077210373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0.74882153295891396</v>
      </c>
      <c r="GN117" s="21">
        <f>EXP(-LN(2)/2)*GN116+(1-EXP(-LN(2)/2))/(LN(2)/2)*GH117*GK117*VLOOKUP('Données projet'!$B$17,Paramètres!$A$1:$I$89,3,0)*0.475*44/12</f>
        <v>2.2549817453349368E-12</v>
      </c>
      <c r="GO117" s="21">
        <f t="shared" si="81"/>
        <v>0.74882153296116893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5.6843418860808015E-14</v>
      </c>
      <c r="GV117" s="17">
        <f>GU117*VLOOKUP('Données projet'!$B$18,Paramètres!$A$1:$I$89,3,0)*VLOOKUP('Données projet'!$B$18,Paramètres!$A$1:$I$89,5,0)</f>
        <v>4.5224624045658861E-14</v>
      </c>
      <c r="GW117" s="13">
        <f t="shared" si="105"/>
        <v>7.4514601661523691E-13</v>
      </c>
      <c r="GX117" s="20">
        <f t="shared" si="82"/>
        <v>1.3765621991510601E-12</v>
      </c>
      <c r="GY117" s="59">
        <f t="shared" si="83"/>
        <v>293.33333333333468</v>
      </c>
      <c r="GZ117" s="59">
        <f ca="1">AVERAGE(OFFSET($GY$3,0,0,'Données projet'!$E$18+1,1))-AVERAGE(OFFSET($H$3,0,0,'Données projet'!$E$18+1,1))</f>
        <v>199.58763537752952</v>
      </c>
      <c r="HA117" s="59">
        <f t="shared" si="106"/>
        <v>242.62852778451929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0</v>
      </c>
      <c r="HH117" s="21">
        <f>EXP(-LN(2)/25)*HH116+(1-EXP(-LN(2)/25))/(LN(2)/25)*Calculateur!HC117*Calculateur!HE117*VLOOKUP('Données projet'!$B$18,Paramètres!$A$1:$I$89,3,0)*0.475*44/12</f>
        <v>1.0015163798060094</v>
      </c>
      <c r="HI117" s="21">
        <f>EXP(-LN(2)/2)*HI116+(1-EXP(-LN(2)/2))/(LN(2)/2)*HC117*HF117*VLOOKUP('Données projet'!$B$18,Paramètres!$A$1:$I$89,3,0)*0.475*44/12</f>
        <v>2.4468950853634442E-12</v>
      </c>
      <c r="HJ117" s="22">
        <f t="shared" si="84"/>
        <v>1.0015163798084563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7.1749999999999998</v>
      </c>
      <c r="N118" s="13">
        <f>IF('Données projet'!$A$36&gt;35,N117+M118-V117,IF(A118&lt;'Données projet'!$A$36,$K$205^A118,IF(A118='Données projet'!$A$36,'Données projet'!$B$36,N117+M118-V117)))</f>
        <v>348.18269230769187</v>
      </c>
      <c r="O118" s="13">
        <f>N118*VLOOKUP('Données projet'!$B$9,Paramètres!$A$1:$I$89,3,0)*VLOOKUP('Données projet'!$B$9,Paramètres!$A$1:$I$89,5,0)</f>
        <v>315.03569999999957</v>
      </c>
      <c r="P118" s="13">
        <f t="shared" si="87"/>
        <v>74.319496470315627</v>
      </c>
      <c r="Q118" s="20">
        <f t="shared" si="107"/>
        <v>678.12696718579889</v>
      </c>
      <c r="R118" s="59">
        <f t="shared" si="55"/>
        <v>971.46030051913226</v>
      </c>
      <c r="S118" s="59">
        <f ca="1">AVERAGE(OFFSET($R$3,0,0,'Données projet'!$E$9+1,1))-AVERAGE(OFFSET($H$3,0,0,'Données projet'!$E$9+1,1))</f>
        <v>309.07357540707869</v>
      </c>
      <c r="T118" s="59">
        <f t="shared" si="88"/>
        <v>155.9593924683299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6.0153846153846189</v>
      </c>
      <c r="AI118" s="13">
        <f>IF('Données projet'!$A$62&gt;35,AI117+AH118-AQ117,IF(A118&lt;'Données projet'!$A$62,$AF$205^A118,IF(A118='Données projet'!$A$62,'Données projet'!$B$62,AI117+AH118-AQ117)))</f>
        <v>256.82307692307654</v>
      </c>
      <c r="AJ118" s="13">
        <f>AI118*VLOOKUP('Données projet'!$B$10,Paramètres!$A$1:$I$89,3,0)*VLOOKUP('Données projet'!$B$10,Paramètres!$A$1:$I$89,5,0)</f>
        <v>232.37351999999962</v>
      </c>
      <c r="AK118" s="13">
        <f t="shared" si="89"/>
        <v>56.795584989176859</v>
      </c>
      <c r="AL118" s="20">
        <f t="shared" si="58"/>
        <v>503.63619118948236</v>
      </c>
      <c r="AM118" s="59">
        <f t="shared" si="59"/>
        <v>796.96952452281562</v>
      </c>
      <c r="AN118" s="59">
        <f ca="1">AVERAGE(OFFSET($AM$3,0,0,'Données projet'!$E$10+1,1))-AVERAGE(OFFSET($H$3,0,0,'Données projet'!$E$10+1,1))</f>
        <v>234.30804102916278</v>
      </c>
      <c r="AO118" s="59">
        <f t="shared" si="90"/>
        <v>91.137993288782411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3.4106051316484809E-13</v>
      </c>
      <c r="BE118" s="13">
        <f>BD118*VLOOKUP('Données projet'!$B$11,Paramètres!$A$1:$I$89,3,0)*VLOOKUP('Données projet'!$B$11,Paramètres!$A$1:$I$89,5,0)</f>
        <v>1.5961632016114892E-13</v>
      </c>
      <c r="BF118" s="13">
        <f t="shared" si="91"/>
        <v>2.2708641912150958E-12</v>
      </c>
      <c r="BG118" s="20">
        <f t="shared" si="61"/>
        <v>4.2330868906469593E-12</v>
      </c>
      <c r="BH118" s="59">
        <f t="shared" si="62"/>
        <v>293.33333333333752</v>
      </c>
      <c r="BI118" s="59">
        <f ca="1">AVERAGE(OFFSET($BH$3,0,0,'Données projet'!$E$11+1,1))-AVERAGE(OFFSET($H$3,0,0,'Données projet'!$E$11+1,1))</f>
        <v>158.58786357608489</v>
      </c>
      <c r="BJ118" s="59">
        <f t="shared" si="92"/>
        <v>163.20074068819849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7.0884615384615346</v>
      </c>
      <c r="BY118" s="12">
        <f>IF('Données projet'!$A$114&gt;35,BY117+BX118-CG117,IF(A118&lt;'Données projet'!$A$114,$BV$205^A118,IF(A118='Données projet'!$A$114,'Données projet'!$B$114,BY117+BX118-CG117)))</f>
        <v>375.07692307692338</v>
      </c>
      <c r="BZ118" s="13">
        <f>BY118*VLOOKUP('Données projet'!$B$12,Paramètres!$A$1:$I$89,3,0)*VLOOKUP('Données projet'!$B$12,Paramètres!$A$1:$I$89,5,0)</f>
        <v>175.53600000000014</v>
      </c>
      <c r="CA118" s="13">
        <f t="shared" si="93"/>
        <v>44.327581520891123</v>
      </c>
      <c r="CB118" s="20">
        <f t="shared" si="64"/>
        <v>382.92907114888561</v>
      </c>
      <c r="CC118" s="59">
        <f t="shared" si="65"/>
        <v>676.26240448221893</v>
      </c>
      <c r="CD118" s="59">
        <f ca="1">AVERAGE(OFFSET($CC$3,0,0,'Données projet'!$E$12+1,1))-AVERAGE(OFFSET($H$3,0,0,'Données projet'!$E$12+1,1))</f>
        <v>123.2823358462245</v>
      </c>
      <c r="CE118" s="59">
        <f t="shared" si="94"/>
        <v>92.75115399786057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-2.8421709430404007E-13</v>
      </c>
      <c r="CU118" s="17">
        <f>CT118*VLOOKUP('Données projet'!$B$13,Paramètres!$A$1:$I$89,3,0)*VLOOKUP('Données projet'!$B$13,Paramètres!$A$1:$I$89,5,0)</f>
        <v>-1.69961822393816E-13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179.32848817523677</v>
      </c>
      <c r="CZ118" s="59">
        <f t="shared" si="96"/>
        <v>131.3292389103035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1.2485789570207437</v>
      </c>
      <c r="DH118" s="21">
        <f>EXP(-LN(2)/2)*DH117+(1-EXP(-LN(2)/2))/(LN(2)/2)*DB118*DE118*VLOOKUP('Données projet'!$B$13,Paramètres!$A$1:$I$89,3,0)*0.475*44/12</f>
        <v>8.461508116736862E-13</v>
      </c>
      <c r="DI118" s="22">
        <f t="shared" si="69"/>
        <v>1.2485789570215899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7.1749999999999998</v>
      </c>
      <c r="DO118" s="12">
        <f>IF('Données projet'!$A$166&gt;35,DO117+DN118-DW117,IF(A118&lt;'Données projet'!$A$166,$DL$205^A118,IF(A118='Données projet'!$A$166,'Données projet'!$B$166,DO117+DN118-DW117)))</f>
        <v>348.18269230769187</v>
      </c>
      <c r="DP118" s="17">
        <f>DO118*VLOOKUP('Données projet'!$B$14,Paramètres!$A$1:$I$89,3,0)*VLOOKUP('Données projet'!$B$14,Paramètres!$A$1:$I$89,5,0)</f>
        <v>336.76229999999958</v>
      </c>
      <c r="DQ118" s="13">
        <f t="shared" si="97"/>
        <v>78.830645049659154</v>
      </c>
      <c r="DR118" s="20">
        <f t="shared" si="70"/>
        <v>723.82437929482228</v>
      </c>
      <c r="DS118" s="59">
        <f t="shared" si="71"/>
        <v>1017.1577126281557</v>
      </c>
      <c r="DT118" s="59">
        <f ca="1">AVERAGE(OFFSET($DS$3,0,0,'Données projet'!$E$14+1,1))-AVERAGE(OFFSET($H$3,0,0,'Données projet'!$E$14+1,1))</f>
        <v>340.4659523898373</v>
      </c>
      <c r="DU118" s="59">
        <f t="shared" si="98"/>
        <v>170.54530785680572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6.0153846153846189</v>
      </c>
      <c r="EJ118" s="12">
        <f>IF('Données projet'!$A$192&gt;35,EJ117+EI118-ER117,IF(A118&lt;'Données projet'!$A$192,$EG$205^A118,IF(A118='Données projet'!$A$192,'Données projet'!$B$192,EJ117+EI118-ER117)))</f>
        <v>256.82307692307654</v>
      </c>
      <c r="EK118" s="17">
        <f>EJ118*VLOOKUP('Données projet'!$B$15,Paramètres!$A$1:$I$89,3,0)*VLOOKUP('Données projet'!$B$15,Paramètres!$A$1:$I$89,5,0)</f>
        <v>248.39927999999966</v>
      </c>
      <c r="EL118" s="13">
        <f t="shared" si="99"/>
        <v>60.243042718377829</v>
      </c>
      <c r="EM118" s="20">
        <f t="shared" si="73"/>
        <v>537.55204540117415</v>
      </c>
      <c r="EN118" s="59">
        <f t="shared" si="74"/>
        <v>830.88537873450741</v>
      </c>
      <c r="EO118" s="59">
        <f ca="1">AVERAGE(OFFSET($EN$3,0,0,'Données projet'!$E$15+1,1))-AVERAGE(OFFSET($H$3,0,0,'Données projet'!$E$15+1,1))</f>
        <v>262.20955982183017</v>
      </c>
      <c r="EP118" s="59">
        <f t="shared" si="100"/>
        <v>101.35842063036193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5.6843418860808015E-14</v>
      </c>
      <c r="FF118" s="17">
        <f>FE118*VLOOKUP('Données projet'!$B$16,Paramètres!$A$1:$I$89,3,0)*VLOOKUP('Données projet'!$B$16,Paramètres!$A$1:$I$89,5,0)</f>
        <v>4.5224624045658861E-14</v>
      </c>
      <c r="FG118" s="13">
        <f t="shared" si="101"/>
        <v>7.4514601661523691E-13</v>
      </c>
      <c r="FH118" s="20">
        <f t="shared" si="76"/>
        <v>1.3765621991510601E-12</v>
      </c>
      <c r="FI118" s="59">
        <f t="shared" si="77"/>
        <v>293.33333333333468</v>
      </c>
      <c r="FJ118" s="59">
        <f ca="1">AVERAGE(OFFSET($FI$3,0,0,'Données projet'!$E$16+1,1))-AVERAGE(OFFSET($H$3,0,0,'Données projet'!$E$16+1,1))</f>
        <v>199.58763537752952</v>
      </c>
      <c r="FK118" s="59">
        <f t="shared" si="102"/>
        <v>242.62852778451929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0.97412986173275662</v>
      </c>
      <c r="FS118" s="21">
        <f>EXP(-LN(2)/2)*FS117+(1-EXP(-LN(2)/2))/(LN(2)/2)*FM118*FP118*VLOOKUP('Données projet'!$B$16,Paramètres!$A$1:$I$89,3,0)*0.475*44/12</f>
        <v>1.7302161077125275E-12</v>
      </c>
      <c r="FT118" s="22">
        <f t="shared" si="78"/>
        <v>0.97412986173448679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5.6843418860808015E-14</v>
      </c>
      <c r="GA118" s="17">
        <f>FZ118*VLOOKUP('Données projet'!$B$17,Paramètres!$A$1:$I$89,3,0)*VLOOKUP('Données projet'!$B$17,Paramètres!$A$1:$I$89,5,0)</f>
        <v>4.1677594708744434E-14</v>
      </c>
      <c r="GB118" s="13">
        <f t="shared" si="103"/>
        <v>6.9326303456159188E-13</v>
      </c>
      <c r="GC118" s="20">
        <f t="shared" si="79"/>
        <v>1.2800215959791691E-12</v>
      </c>
      <c r="GD118" s="59">
        <f t="shared" si="80"/>
        <v>293.33333333333462</v>
      </c>
      <c r="GE118" s="59">
        <f ca="1">AVERAGE(OFFSET($GD$3,0,0,'Données projet'!$E$17+1,1))-AVERAGE(OFFSET($H$3,0,0,'Données projet'!$E$17+1,1))</f>
        <v>178.12968684094687</v>
      </c>
      <c r="GF118" s="59">
        <f t="shared" si="104"/>
        <v>219.36004077210373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0.72834496876133947</v>
      </c>
      <c r="GN118" s="21">
        <f>EXP(-LN(2)/2)*GN117+(1-EXP(-LN(2)/2))/(LN(2)/2)*GH118*GK118*VLOOKUP('Données projet'!$B$17,Paramètres!$A$1:$I$89,3,0)*0.475*44/12</f>
        <v>1.5945128835782102E-12</v>
      </c>
      <c r="GO118" s="21">
        <f t="shared" si="81"/>
        <v>0.72834496876293398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5.6843418860808015E-14</v>
      </c>
      <c r="GV118" s="17">
        <f>GU118*VLOOKUP('Données projet'!$B$18,Paramètres!$A$1:$I$89,3,0)*VLOOKUP('Données projet'!$B$18,Paramètres!$A$1:$I$89,5,0)</f>
        <v>4.5224624045658861E-14</v>
      </c>
      <c r="GW118" s="13">
        <f t="shared" si="105"/>
        <v>7.4514601661523691E-13</v>
      </c>
      <c r="GX118" s="20">
        <f t="shared" si="82"/>
        <v>1.3765621991510601E-12</v>
      </c>
      <c r="GY118" s="59">
        <f t="shared" si="83"/>
        <v>293.33333333333468</v>
      </c>
      <c r="GZ118" s="59">
        <f ca="1">AVERAGE(OFFSET($GY$3,0,0,'Données projet'!$E$18+1,1))-AVERAGE(OFFSET($H$3,0,0,'Données projet'!$E$18+1,1))</f>
        <v>199.58763537752952</v>
      </c>
      <c r="HA118" s="59">
        <f t="shared" si="106"/>
        <v>242.62852778451929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0</v>
      </c>
      <c r="HH118" s="21">
        <f>EXP(-LN(2)/25)*HH117+(1-EXP(-LN(2)/25))/(LN(2)/25)*Calculateur!HC118*Calculateur!HE118*VLOOKUP('Données projet'!$B$18,Paramètres!$A$1:$I$89,3,0)*0.475*44/12</f>
        <v>0.97412986173275662</v>
      </c>
      <c r="HI118" s="21">
        <f>EXP(-LN(2)/2)*HI117+(1-EXP(-LN(2)/2))/(LN(2)/2)*HC118*HF118*VLOOKUP('Données projet'!$B$18,Paramètres!$A$1:$I$89,3,0)*0.475*44/12</f>
        <v>1.7302161077125275E-12</v>
      </c>
      <c r="HJ118" s="22">
        <f t="shared" si="84"/>
        <v>0.97412986173448679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7.1749999999999998</v>
      </c>
      <c r="N119" s="13">
        <f>IF('Données projet'!$A$36&gt;35,N118+M119-V118,IF(A119&lt;'Données projet'!$A$36,$K$205^A119,IF(A119='Données projet'!$A$36,'Données projet'!$B$36,N118+M119-V118)))</f>
        <v>355.35769230769188</v>
      </c>
      <c r="O119" s="13">
        <f>N119*VLOOKUP('Données projet'!$B$9,Paramètres!$A$1:$I$89,3,0)*VLOOKUP('Données projet'!$B$9,Paramètres!$A$1:$I$89,5,0)</f>
        <v>321.52763999999962</v>
      </c>
      <c r="P119" s="13">
        <f t="shared" si="87"/>
        <v>75.67112071782168</v>
      </c>
      <c r="Q119" s="20">
        <f t="shared" si="107"/>
        <v>691.78784158353881</v>
      </c>
      <c r="R119" s="59">
        <f t="shared" si="55"/>
        <v>985.12117491687218</v>
      </c>
      <c r="S119" s="59">
        <f ca="1">AVERAGE(OFFSET($R$3,0,0,'Données projet'!$E$9+1,1))-AVERAGE(OFFSET($H$3,0,0,'Données projet'!$E$9+1,1))</f>
        <v>309.07357540707869</v>
      </c>
      <c r="T119" s="59">
        <f t="shared" si="88"/>
        <v>155.9593924683299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6.0153846153846189</v>
      </c>
      <c r="AI119" s="13">
        <f>IF('Données projet'!$A$62&gt;35,AI118+AH119-AQ118,IF(A119&lt;'Données projet'!$A$62,$AF$205^A119,IF(A119='Données projet'!$A$62,'Données projet'!$B$62,AI118+AH119-AQ118)))</f>
        <v>262.83846153846116</v>
      </c>
      <c r="AJ119" s="13">
        <f>AI119*VLOOKUP('Données projet'!$B$10,Paramètres!$A$1:$I$89,3,0)*VLOOKUP('Données projet'!$B$10,Paramètres!$A$1:$I$89,5,0)</f>
        <v>237.81623999999965</v>
      </c>
      <c r="AK119" s="13">
        <f t="shared" si="89"/>
        <v>57.969434220881595</v>
      </c>
      <c r="AL119" s="20">
        <f t="shared" si="58"/>
        <v>515.16004926803487</v>
      </c>
      <c r="AM119" s="59">
        <f t="shared" si="59"/>
        <v>808.49338260136824</v>
      </c>
      <c r="AN119" s="59">
        <f ca="1">AVERAGE(OFFSET($AM$3,0,0,'Données projet'!$E$10+1,1))-AVERAGE(OFFSET($H$3,0,0,'Données projet'!$E$10+1,1))</f>
        <v>234.30804102916278</v>
      </c>
      <c r="AO119" s="59">
        <f t="shared" si="90"/>
        <v>91.137993288782411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3.4106051316484809E-13</v>
      </c>
      <c r="BE119" s="13">
        <f>BD119*VLOOKUP('Données projet'!$B$11,Paramètres!$A$1:$I$89,3,0)*VLOOKUP('Données projet'!$B$11,Paramètres!$A$1:$I$89,5,0)</f>
        <v>1.5961632016114892E-13</v>
      </c>
      <c r="BF119" s="13">
        <f t="shared" si="91"/>
        <v>2.2708641912150958E-12</v>
      </c>
      <c r="BG119" s="20">
        <f t="shared" si="61"/>
        <v>4.2330868906469593E-12</v>
      </c>
      <c r="BH119" s="59">
        <f t="shared" si="62"/>
        <v>293.33333333333752</v>
      </c>
      <c r="BI119" s="59">
        <f ca="1">AVERAGE(OFFSET($BH$3,0,0,'Données projet'!$E$11+1,1))-AVERAGE(OFFSET($H$3,0,0,'Données projet'!$E$11+1,1))</f>
        <v>158.58786357608489</v>
      </c>
      <c r="BJ119" s="59">
        <f t="shared" si="92"/>
        <v>163.20074068819849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7.0884615384615346</v>
      </c>
      <c r="BY119" s="12">
        <f>IF('Données projet'!$A$114&gt;35,BY118+BX119-CG118,IF(A119&lt;'Données projet'!$A$114,$BV$205^A119,IF(A119='Données projet'!$A$114,'Données projet'!$B$114,BY118+BX119-CG118)))</f>
        <v>382.16538461538494</v>
      </c>
      <c r="BZ119" s="13">
        <f>BY119*VLOOKUP('Données projet'!$B$12,Paramètres!$A$1:$I$89,3,0)*VLOOKUP('Données projet'!$B$12,Paramètres!$A$1:$I$89,5,0)</f>
        <v>178.85340000000014</v>
      </c>
      <c r="CA119" s="13">
        <f t="shared" si="93"/>
        <v>45.06699399320177</v>
      </c>
      <c r="CB119" s="20">
        <f t="shared" si="64"/>
        <v>389.99468620482668</v>
      </c>
      <c r="CC119" s="59">
        <f t="shared" si="65"/>
        <v>683.32801953815999</v>
      </c>
      <c r="CD119" s="59">
        <f ca="1">AVERAGE(OFFSET($CC$3,0,0,'Données projet'!$E$12+1,1))-AVERAGE(OFFSET($H$3,0,0,'Données projet'!$E$12+1,1))</f>
        <v>123.2823358462245</v>
      </c>
      <c r="CE119" s="59">
        <f t="shared" si="94"/>
        <v>92.75115399786057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-2.8421709430404007E-13</v>
      </c>
      <c r="CU119" s="17">
        <f>CT119*VLOOKUP('Données projet'!$B$13,Paramètres!$A$1:$I$89,3,0)*VLOOKUP('Données projet'!$B$13,Paramètres!$A$1:$I$89,5,0)</f>
        <v>-1.69961822393816E-13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179.32848817523677</v>
      </c>
      <c r="CZ119" s="59">
        <f t="shared" si="96"/>
        <v>131.3292389103035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1.2144364997810979</v>
      </c>
      <c r="DH119" s="21">
        <f>EXP(-LN(2)/2)*DH118+(1-EXP(-LN(2)/2))/(LN(2)/2)*DB119*DE119*VLOOKUP('Données projet'!$B$13,Paramètres!$A$1:$I$89,3,0)*0.475*44/12</f>
        <v>5.983189768409648E-13</v>
      </c>
      <c r="DI119" s="22">
        <f t="shared" si="69"/>
        <v>1.2144364997816963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7.1749999999999998</v>
      </c>
      <c r="DO119" s="12">
        <f>IF('Données projet'!$A$166&gt;35,DO118+DN119-DW118,IF(A119&lt;'Données projet'!$A$166,$DL$205^A119,IF(A119='Données projet'!$A$166,'Données projet'!$B$166,DO118+DN119-DW118)))</f>
        <v>355.35769230769188</v>
      </c>
      <c r="DP119" s="17">
        <f>DO119*VLOOKUP('Données projet'!$B$14,Paramètres!$A$1:$I$89,3,0)*VLOOKUP('Données projet'!$B$14,Paramètres!$A$1:$I$89,5,0)</f>
        <v>343.70195999999959</v>
      </c>
      <c r="DQ119" s="13">
        <f t="shared" si="97"/>
        <v>80.264312073200145</v>
      </c>
      <c r="DR119" s="20">
        <f t="shared" si="70"/>
        <v>738.40792386082285</v>
      </c>
      <c r="DS119" s="59">
        <f t="shared" si="71"/>
        <v>1031.7412571941561</v>
      </c>
      <c r="DT119" s="59">
        <f ca="1">AVERAGE(OFFSET($DS$3,0,0,'Données projet'!$E$14+1,1))-AVERAGE(OFFSET($H$3,0,0,'Données projet'!$E$14+1,1))</f>
        <v>340.4659523898373</v>
      </c>
      <c r="DU119" s="59">
        <f t="shared" si="98"/>
        <v>170.54530785680572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6.0153846153846189</v>
      </c>
      <c r="EJ119" s="12">
        <f>IF('Données projet'!$A$192&gt;35,EJ118+EI119-ER118,IF(A119&lt;'Données projet'!$A$192,$EG$205^A119,IF(A119='Données projet'!$A$192,'Données projet'!$B$192,EJ118+EI119-ER118)))</f>
        <v>262.83846153846116</v>
      </c>
      <c r="EK119" s="17">
        <f>EJ119*VLOOKUP('Données projet'!$B$15,Paramètres!$A$1:$I$89,3,0)*VLOOKUP('Données projet'!$B$15,Paramètres!$A$1:$I$89,5,0)</f>
        <v>254.21735999999964</v>
      </c>
      <c r="EL119" s="13">
        <f t="shared" si="99"/>
        <v>61.488143889956504</v>
      </c>
      <c r="EM119" s="20">
        <f t="shared" si="73"/>
        <v>549.85375260834019</v>
      </c>
      <c r="EN119" s="59">
        <f t="shared" si="74"/>
        <v>843.18708594167356</v>
      </c>
      <c r="EO119" s="59">
        <f ca="1">AVERAGE(OFFSET($EN$3,0,0,'Données projet'!$E$15+1,1))-AVERAGE(OFFSET($H$3,0,0,'Données projet'!$E$15+1,1))</f>
        <v>262.20955982183017</v>
      </c>
      <c r="EP119" s="59">
        <f t="shared" si="100"/>
        <v>101.35842063036193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5.6843418860808015E-14</v>
      </c>
      <c r="FF119" s="17">
        <f>FE119*VLOOKUP('Données projet'!$B$16,Paramètres!$A$1:$I$89,3,0)*VLOOKUP('Données projet'!$B$16,Paramètres!$A$1:$I$89,5,0)</f>
        <v>4.5224624045658861E-14</v>
      </c>
      <c r="FG119" s="13">
        <f t="shared" si="101"/>
        <v>7.4514601661523691E-13</v>
      </c>
      <c r="FH119" s="20">
        <f t="shared" si="76"/>
        <v>1.3765621991510601E-12</v>
      </c>
      <c r="FI119" s="59">
        <f t="shared" si="77"/>
        <v>293.33333333333468</v>
      </c>
      <c r="FJ119" s="59">
        <f ca="1">AVERAGE(OFFSET($FI$3,0,0,'Données projet'!$E$16+1,1))-AVERAGE(OFFSET($H$3,0,0,'Données projet'!$E$16+1,1))</f>
        <v>199.58763537752952</v>
      </c>
      <c r="FK119" s="59">
        <f t="shared" si="102"/>
        <v>242.62852778451929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0.94749222943641132</v>
      </c>
      <c r="FS119" s="21">
        <f>EXP(-LN(2)/2)*FS118+(1-EXP(-LN(2)/2))/(LN(2)/2)*FM119*FP119*VLOOKUP('Données projet'!$B$16,Paramètres!$A$1:$I$89,3,0)*0.475*44/12</f>
        <v>1.2234475426817221E-12</v>
      </c>
      <c r="FT119" s="22">
        <f t="shared" si="78"/>
        <v>0.94749222943763478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5.6843418860808015E-14</v>
      </c>
      <c r="GA119" s="17">
        <f>FZ119*VLOOKUP('Données projet'!$B$17,Paramètres!$A$1:$I$89,3,0)*VLOOKUP('Données projet'!$B$17,Paramètres!$A$1:$I$89,5,0)</f>
        <v>4.1677594708744434E-14</v>
      </c>
      <c r="GB119" s="13">
        <f t="shared" si="103"/>
        <v>6.9326303456159188E-13</v>
      </c>
      <c r="GC119" s="20">
        <f t="shared" si="79"/>
        <v>1.2800215959791691E-12</v>
      </c>
      <c r="GD119" s="59">
        <f t="shared" si="80"/>
        <v>293.33333333333462</v>
      </c>
      <c r="GE119" s="59">
        <f ca="1">AVERAGE(OFFSET($GD$3,0,0,'Données projet'!$E$17+1,1))-AVERAGE(OFFSET($H$3,0,0,'Données projet'!$E$17+1,1))</f>
        <v>178.12968684094687</v>
      </c>
      <c r="GF119" s="59">
        <f t="shared" si="104"/>
        <v>219.36004077210373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0.70842833728856336</v>
      </c>
      <c r="GN119" s="21">
        <f>EXP(-LN(2)/2)*GN118+(1-EXP(-LN(2)/2))/(LN(2)/2)*GH119*GK119*VLOOKUP('Données projet'!$B$17,Paramètres!$A$1:$I$89,3,0)*0.475*44/12</f>
        <v>1.1274908726674684E-12</v>
      </c>
      <c r="GO119" s="21">
        <f t="shared" si="81"/>
        <v>0.7084283372896909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5.6843418860808015E-14</v>
      </c>
      <c r="GV119" s="17">
        <f>GU119*VLOOKUP('Données projet'!$B$18,Paramètres!$A$1:$I$89,3,0)*VLOOKUP('Données projet'!$B$18,Paramètres!$A$1:$I$89,5,0)</f>
        <v>4.5224624045658861E-14</v>
      </c>
      <c r="GW119" s="13">
        <f t="shared" si="105"/>
        <v>7.4514601661523691E-13</v>
      </c>
      <c r="GX119" s="20">
        <f t="shared" si="82"/>
        <v>1.3765621991510601E-12</v>
      </c>
      <c r="GY119" s="59">
        <f t="shared" si="83"/>
        <v>293.33333333333468</v>
      </c>
      <c r="GZ119" s="59">
        <f ca="1">AVERAGE(OFFSET($GY$3,0,0,'Données projet'!$E$18+1,1))-AVERAGE(OFFSET($H$3,0,0,'Données projet'!$E$18+1,1))</f>
        <v>199.58763537752952</v>
      </c>
      <c r="HA119" s="59">
        <f t="shared" si="106"/>
        <v>242.62852778451929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0</v>
      </c>
      <c r="HH119" s="21">
        <f>EXP(-LN(2)/25)*HH118+(1-EXP(-LN(2)/25))/(LN(2)/25)*Calculateur!HC119*Calculateur!HE119*VLOOKUP('Données projet'!$B$18,Paramètres!$A$1:$I$89,3,0)*0.475*44/12</f>
        <v>0.94749222943641132</v>
      </c>
      <c r="HI119" s="21">
        <f>EXP(-LN(2)/2)*HI118+(1-EXP(-LN(2)/2))/(LN(2)/2)*HC119*HF119*VLOOKUP('Données projet'!$B$18,Paramètres!$A$1:$I$89,3,0)*0.475*44/12</f>
        <v>1.2234475426817221E-12</v>
      </c>
      <c r="HJ119" s="22">
        <f t="shared" si="84"/>
        <v>0.94749222943763478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7.1749999999999998</v>
      </c>
      <c r="N120" s="13">
        <f>IF('Données projet'!$A$36&gt;35,N119+M120-V119,IF(A120&lt;'Données projet'!$A$36,$K$205^A120,IF(A120='Données projet'!$A$36,'Données projet'!$B$36,N119+M120-V119)))</f>
        <v>362.53269230769189</v>
      </c>
      <c r="O120" s="13">
        <f>N120*VLOOKUP('Données projet'!$B$9,Paramètres!$A$1:$I$89,3,0)*VLOOKUP('Données projet'!$B$9,Paramètres!$A$1:$I$89,5,0)</f>
        <v>328.01957999999956</v>
      </c>
      <c r="P120" s="13">
        <f t="shared" si="87"/>
        <v>77.019571848313717</v>
      </c>
      <c r="Q120" s="20">
        <f t="shared" si="107"/>
        <v>705.44318946914564</v>
      </c>
      <c r="R120" s="59">
        <f t="shared" si="55"/>
        <v>998.77652280247889</v>
      </c>
      <c r="S120" s="59">
        <f ca="1">AVERAGE(OFFSET($R$3,0,0,'Données projet'!$E$9+1,1))-AVERAGE(OFFSET($H$3,0,0,'Données projet'!$E$9+1,1))</f>
        <v>309.07357540707869</v>
      </c>
      <c r="T120" s="59">
        <f t="shared" si="88"/>
        <v>155.9593924683299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6.0153846153846189</v>
      </c>
      <c r="AI120" s="13">
        <f>IF('Données projet'!$A$62&gt;35,AI119+AH120-AQ119,IF(A120&lt;'Données projet'!$A$62,$AF$205^A120,IF(A120='Données projet'!$A$62,'Données projet'!$B$62,AI119+AH120-AQ119)))</f>
        <v>268.85384615384578</v>
      </c>
      <c r="AJ120" s="13">
        <f>AI120*VLOOKUP('Données projet'!$B$10,Paramètres!$A$1:$I$89,3,0)*VLOOKUP('Données projet'!$B$10,Paramètres!$A$1:$I$89,5,0)</f>
        <v>243.25895999999966</v>
      </c>
      <c r="AK120" s="13">
        <f t="shared" si="89"/>
        <v>59.140160240229264</v>
      </c>
      <c r="AL120" s="20">
        <f t="shared" si="58"/>
        <v>526.678467751732</v>
      </c>
      <c r="AM120" s="59">
        <f t="shared" si="59"/>
        <v>820.01180108506537</v>
      </c>
      <c r="AN120" s="59">
        <f ca="1">AVERAGE(OFFSET($AM$3,0,0,'Données projet'!$E$10+1,1))-AVERAGE(OFFSET($H$3,0,0,'Données projet'!$E$10+1,1))</f>
        <v>234.30804102916278</v>
      </c>
      <c r="AO120" s="59">
        <f t="shared" si="90"/>
        <v>91.137993288782411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3.4106051316484809E-13</v>
      </c>
      <c r="BE120" s="13">
        <f>BD120*VLOOKUP('Données projet'!$B$11,Paramètres!$A$1:$I$89,3,0)*VLOOKUP('Données projet'!$B$11,Paramètres!$A$1:$I$89,5,0)</f>
        <v>1.5961632016114892E-13</v>
      </c>
      <c r="BF120" s="13">
        <f t="shared" si="91"/>
        <v>2.2708641912150958E-12</v>
      </c>
      <c r="BG120" s="20">
        <f t="shared" si="61"/>
        <v>4.2330868906469593E-12</v>
      </c>
      <c r="BH120" s="59">
        <f t="shared" si="62"/>
        <v>293.33333333333752</v>
      </c>
      <c r="BI120" s="59">
        <f ca="1">AVERAGE(OFFSET($BH$3,0,0,'Données projet'!$E$11+1,1))-AVERAGE(OFFSET($H$3,0,0,'Données projet'!$E$11+1,1))</f>
        <v>158.58786357608489</v>
      </c>
      <c r="BJ120" s="59">
        <f t="shared" si="92"/>
        <v>163.20074068819849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7.0884615384615346</v>
      </c>
      <c r="BY120" s="12">
        <f>IF('Données projet'!$A$114&gt;35,BY119+BX120-CG119,IF(A120&lt;'Données projet'!$A$114,$BV$205^A120,IF(A120='Données projet'!$A$114,'Données projet'!$B$114,BY119+BX120-CG119)))</f>
        <v>389.2538461538465</v>
      </c>
      <c r="BZ120" s="13">
        <f>BY120*VLOOKUP('Données projet'!$B$12,Paramètres!$A$1:$I$89,3,0)*VLOOKUP('Données projet'!$B$12,Paramètres!$A$1:$I$89,5,0)</f>
        <v>182.17080000000018</v>
      </c>
      <c r="CA120" s="13">
        <f t="shared" si="93"/>
        <v>45.804811695795266</v>
      </c>
      <c r="CB120" s="20">
        <f t="shared" si="64"/>
        <v>397.05752370351041</v>
      </c>
      <c r="CC120" s="59">
        <f t="shared" si="65"/>
        <v>690.39085703684373</v>
      </c>
      <c r="CD120" s="59">
        <f ca="1">AVERAGE(OFFSET($CC$3,0,0,'Données projet'!$E$12+1,1))-AVERAGE(OFFSET($H$3,0,0,'Données projet'!$E$12+1,1))</f>
        <v>123.2823358462245</v>
      </c>
      <c r="CE120" s="59">
        <f t="shared" si="94"/>
        <v>92.75115399786057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-2.8421709430404007E-13</v>
      </c>
      <c r="CU120" s="17">
        <f>CT120*VLOOKUP('Données projet'!$B$13,Paramètres!$A$1:$I$89,3,0)*VLOOKUP('Données projet'!$B$13,Paramètres!$A$1:$I$89,5,0)</f>
        <v>-1.69961822393816E-13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179.32848817523677</v>
      </c>
      <c r="CZ120" s="59">
        <f t="shared" si="96"/>
        <v>131.3292389103035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1.1812276698301438</v>
      </c>
      <c r="DH120" s="21">
        <f>EXP(-LN(2)/2)*DH119+(1-EXP(-LN(2)/2))/(LN(2)/2)*DB120*DE120*VLOOKUP('Données projet'!$B$13,Paramètres!$A$1:$I$89,3,0)*0.475*44/12</f>
        <v>4.230754058368431E-13</v>
      </c>
      <c r="DI120" s="22">
        <f t="shared" si="69"/>
        <v>1.1812276698305668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7.1749999999999998</v>
      </c>
      <c r="DO120" s="12">
        <f>IF('Données projet'!$A$166&gt;35,DO119+DN120-DW119,IF(A120&lt;'Données projet'!$A$166,$DL$205^A120,IF(A120='Données projet'!$A$166,'Données projet'!$B$166,DO119+DN120-DW119)))</f>
        <v>362.53269230769189</v>
      </c>
      <c r="DP120" s="17">
        <f>DO120*VLOOKUP('Données projet'!$B$14,Paramètres!$A$1:$I$89,3,0)*VLOOKUP('Données projet'!$B$14,Paramètres!$A$1:$I$89,5,0)</f>
        <v>350.64161999999959</v>
      </c>
      <c r="DQ120" s="13">
        <f t="shared" si="97"/>
        <v>81.694613373439608</v>
      </c>
      <c r="DR120" s="20">
        <f t="shared" si="70"/>
        <v>752.98560645873988</v>
      </c>
      <c r="DS120" s="59">
        <f t="shared" si="71"/>
        <v>1046.3189397920733</v>
      </c>
      <c r="DT120" s="59">
        <f ca="1">AVERAGE(OFFSET($DS$3,0,0,'Données projet'!$E$14+1,1))-AVERAGE(OFFSET($H$3,0,0,'Données projet'!$E$14+1,1))</f>
        <v>340.4659523898373</v>
      </c>
      <c r="DU120" s="59">
        <f t="shared" si="98"/>
        <v>170.54530785680572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6.0153846153846189</v>
      </c>
      <c r="EJ120" s="12">
        <f>IF('Données projet'!$A$192&gt;35,EJ119+EI120-ER119,IF(A120&lt;'Données projet'!$A$192,$EG$205^A120,IF(A120='Données projet'!$A$192,'Données projet'!$B$192,EJ119+EI120-ER119)))</f>
        <v>268.85384615384578</v>
      </c>
      <c r="EK120" s="17">
        <f>EJ120*VLOOKUP('Données projet'!$B$15,Paramètres!$A$1:$I$89,3,0)*VLOOKUP('Données projet'!$B$15,Paramètres!$A$1:$I$89,5,0)</f>
        <v>260.03543999999965</v>
      </c>
      <c r="EL120" s="13">
        <f t="shared" si="99"/>
        <v>62.729932272073142</v>
      </c>
      <c r="EM120" s="20">
        <f t="shared" si="73"/>
        <v>562.14969004052671</v>
      </c>
      <c r="EN120" s="59">
        <f t="shared" si="74"/>
        <v>855.48302337386008</v>
      </c>
      <c r="EO120" s="59">
        <f ca="1">AVERAGE(OFFSET($EN$3,0,0,'Données projet'!$E$15+1,1))-AVERAGE(OFFSET($H$3,0,0,'Données projet'!$E$15+1,1))</f>
        <v>262.20955982183017</v>
      </c>
      <c r="EP120" s="59">
        <f t="shared" si="100"/>
        <v>101.35842063036193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5.6843418860808015E-14</v>
      </c>
      <c r="FF120" s="17">
        <f>FE120*VLOOKUP('Données projet'!$B$16,Paramètres!$A$1:$I$89,3,0)*VLOOKUP('Données projet'!$B$16,Paramètres!$A$1:$I$89,5,0)</f>
        <v>4.5224624045658861E-14</v>
      </c>
      <c r="FG120" s="13">
        <f t="shared" si="101"/>
        <v>7.4514601661523691E-13</v>
      </c>
      <c r="FH120" s="20">
        <f t="shared" si="76"/>
        <v>1.3765621991510601E-12</v>
      </c>
      <c r="FI120" s="59">
        <f t="shared" si="77"/>
        <v>293.33333333333468</v>
      </c>
      <c r="FJ120" s="59">
        <f ca="1">AVERAGE(OFFSET($FI$3,0,0,'Données projet'!$E$16+1,1))-AVERAGE(OFFSET($H$3,0,0,'Données projet'!$E$16+1,1))</f>
        <v>199.58763537752952</v>
      </c>
      <c r="FK120" s="59">
        <f t="shared" si="102"/>
        <v>242.62852778451929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0.92158300459602183</v>
      </c>
      <c r="FS120" s="21">
        <f>EXP(-LN(2)/2)*FS119+(1-EXP(-LN(2)/2))/(LN(2)/2)*FM120*FP120*VLOOKUP('Données projet'!$B$16,Paramètres!$A$1:$I$89,3,0)*0.475*44/12</f>
        <v>8.6510805385626373E-13</v>
      </c>
      <c r="FT120" s="22">
        <f t="shared" si="78"/>
        <v>0.92158300459688691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5.6843418860808015E-14</v>
      </c>
      <c r="GA120" s="17">
        <f>FZ120*VLOOKUP('Données projet'!$B$17,Paramètres!$A$1:$I$89,3,0)*VLOOKUP('Données projet'!$B$17,Paramètres!$A$1:$I$89,5,0)</f>
        <v>4.1677594708744434E-14</v>
      </c>
      <c r="GB120" s="13">
        <f t="shared" si="103"/>
        <v>6.9326303456159188E-13</v>
      </c>
      <c r="GC120" s="20">
        <f t="shared" si="79"/>
        <v>1.2800215959791691E-12</v>
      </c>
      <c r="GD120" s="59">
        <f t="shared" si="80"/>
        <v>293.33333333333462</v>
      </c>
      <c r="GE120" s="59">
        <f ca="1">AVERAGE(OFFSET($GD$3,0,0,'Données projet'!$E$17+1,1))-AVERAGE(OFFSET($H$3,0,0,'Données projet'!$E$17+1,1))</f>
        <v>178.12968684094687</v>
      </c>
      <c r="GF120" s="59">
        <f t="shared" si="104"/>
        <v>219.36004077210373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0.68905632715078047</v>
      </c>
      <c r="GN120" s="21">
        <f>EXP(-LN(2)/2)*GN119+(1-EXP(-LN(2)/2))/(LN(2)/2)*GH120*GK120*VLOOKUP('Données projet'!$B$17,Paramètres!$A$1:$I$89,3,0)*0.475*44/12</f>
        <v>7.9725644178910509E-13</v>
      </c>
      <c r="GO120" s="21">
        <f t="shared" si="81"/>
        <v>0.68905632715157772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5.6843418860808015E-14</v>
      </c>
      <c r="GV120" s="17">
        <f>GU120*VLOOKUP('Données projet'!$B$18,Paramètres!$A$1:$I$89,3,0)*VLOOKUP('Données projet'!$B$18,Paramètres!$A$1:$I$89,5,0)</f>
        <v>4.5224624045658861E-14</v>
      </c>
      <c r="GW120" s="13">
        <f t="shared" si="105"/>
        <v>7.4514601661523691E-13</v>
      </c>
      <c r="GX120" s="20">
        <f t="shared" si="82"/>
        <v>1.3765621991510601E-12</v>
      </c>
      <c r="GY120" s="59">
        <f t="shared" si="83"/>
        <v>293.33333333333468</v>
      </c>
      <c r="GZ120" s="59">
        <f ca="1">AVERAGE(OFFSET($GY$3,0,0,'Données projet'!$E$18+1,1))-AVERAGE(OFFSET($H$3,0,0,'Données projet'!$E$18+1,1))</f>
        <v>199.58763537752952</v>
      </c>
      <c r="HA120" s="59">
        <f t="shared" si="106"/>
        <v>242.62852778451929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0</v>
      </c>
      <c r="HH120" s="21">
        <f>EXP(-LN(2)/25)*HH119+(1-EXP(-LN(2)/25))/(LN(2)/25)*Calculateur!HC120*Calculateur!HE120*VLOOKUP('Données projet'!$B$18,Paramètres!$A$1:$I$89,3,0)*0.475*44/12</f>
        <v>0.92158300459602183</v>
      </c>
      <c r="HI120" s="21">
        <f>EXP(-LN(2)/2)*HI119+(1-EXP(-LN(2)/2))/(LN(2)/2)*HC120*HF120*VLOOKUP('Données projet'!$B$18,Paramètres!$A$1:$I$89,3,0)*0.475*44/12</f>
        <v>8.6510805385626373E-13</v>
      </c>
      <c r="HJ120" s="22">
        <f t="shared" si="84"/>
        <v>0.92158300459688691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7.1749999999999998</v>
      </c>
      <c r="N121" s="13">
        <f>IF('Données projet'!$A$36&gt;35,N120+M121-V120,IF(A121&lt;'Données projet'!$A$36,$K$205^A121,IF(A121='Données projet'!$A$36,'Données projet'!$B$36,N120+M121-V120)))</f>
        <v>369.7076923076919</v>
      </c>
      <c r="O121" s="13">
        <f>N121*VLOOKUP('Données projet'!$B$9,Paramètres!$A$1:$I$89,3,0)*VLOOKUP('Données projet'!$B$9,Paramètres!$A$1:$I$89,5,0)</f>
        <v>334.51151999999962</v>
      </c>
      <c r="P121" s="13">
        <f t="shared" si="87"/>
        <v>78.364919900433733</v>
      </c>
      <c r="Q121" s="20">
        <f t="shared" si="107"/>
        <v>719.09313282658798</v>
      </c>
      <c r="R121" s="59">
        <f t="shared" si="55"/>
        <v>1012.4264661599213</v>
      </c>
      <c r="S121" s="59">
        <f ca="1">AVERAGE(OFFSET($R$3,0,0,'Données projet'!$E$9+1,1))-AVERAGE(OFFSET($H$3,0,0,'Données projet'!$E$9+1,1))</f>
        <v>309.07357540707869</v>
      </c>
      <c r="T121" s="59">
        <f t="shared" si="88"/>
        <v>155.9593924683299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6.0153846153846189</v>
      </c>
      <c r="AI121" s="13">
        <f>IF('Données projet'!$A$62&gt;35,AI120+AH121-AQ120,IF(A121&lt;'Données projet'!$A$62,$AF$205^A121,IF(A121='Données projet'!$A$62,'Données projet'!$B$62,AI120+AH121-AQ120)))</f>
        <v>274.8692307692304</v>
      </c>
      <c r="AJ121" s="13">
        <f>AI121*VLOOKUP('Données projet'!$B$10,Paramètres!$A$1:$I$89,3,0)*VLOOKUP('Données projet'!$B$10,Paramètres!$A$1:$I$89,5,0)</f>
        <v>248.70167999999964</v>
      </c>
      <c r="AK121" s="13">
        <f t="shared" si="89"/>
        <v>60.307840972128574</v>
      </c>
      <c r="AL121" s="20">
        <f t="shared" si="58"/>
        <v>538.19158235978989</v>
      </c>
      <c r="AM121" s="59">
        <f t="shared" si="59"/>
        <v>831.52491569312315</v>
      </c>
      <c r="AN121" s="59">
        <f ca="1">AVERAGE(OFFSET($AM$3,0,0,'Données projet'!$E$10+1,1))-AVERAGE(OFFSET($H$3,0,0,'Données projet'!$E$10+1,1))</f>
        <v>234.30804102916278</v>
      </c>
      <c r="AO121" s="59">
        <f t="shared" si="90"/>
        <v>91.137993288782411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3.4106051316484809E-13</v>
      </c>
      <c r="BE121" s="13">
        <f>BD121*VLOOKUP('Données projet'!$B$11,Paramètres!$A$1:$I$89,3,0)*VLOOKUP('Données projet'!$B$11,Paramètres!$A$1:$I$89,5,0)</f>
        <v>1.5961632016114892E-13</v>
      </c>
      <c r="BF121" s="13">
        <f t="shared" si="91"/>
        <v>2.2708641912150958E-12</v>
      </c>
      <c r="BG121" s="20">
        <f t="shared" si="61"/>
        <v>4.2330868906469593E-12</v>
      </c>
      <c r="BH121" s="59">
        <f t="shared" si="62"/>
        <v>293.33333333333752</v>
      </c>
      <c r="BI121" s="59">
        <f ca="1">AVERAGE(OFFSET($BH$3,0,0,'Données projet'!$E$11+1,1))-AVERAGE(OFFSET($H$3,0,0,'Données projet'!$E$11+1,1))</f>
        <v>158.58786357608489</v>
      </c>
      <c r="BJ121" s="59">
        <f t="shared" si="92"/>
        <v>163.20074068819849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7.0884615384615346</v>
      </c>
      <c r="BY121" s="12">
        <f>IF('Données projet'!$A$114&gt;35,BY120+BX121-CG120,IF(A121&lt;'Données projet'!$A$114,$BV$205^A121,IF(A121='Données projet'!$A$114,'Données projet'!$B$114,BY120+BX121-CG120)))</f>
        <v>396.34230769230805</v>
      </c>
      <c r="BZ121" s="13">
        <f>BY121*VLOOKUP('Données projet'!$B$12,Paramètres!$A$1:$I$89,3,0)*VLOOKUP('Données projet'!$B$12,Paramètres!$A$1:$I$89,5,0)</f>
        <v>185.48820000000018</v>
      </c>
      <c r="CA121" s="13">
        <f t="shared" si="93"/>
        <v>46.541067019726007</v>
      </c>
      <c r="CB121" s="20">
        <f t="shared" si="64"/>
        <v>404.11764005935646</v>
      </c>
      <c r="CC121" s="59">
        <f t="shared" si="65"/>
        <v>697.45097339268978</v>
      </c>
      <c r="CD121" s="59">
        <f ca="1">AVERAGE(OFFSET($CC$3,0,0,'Données projet'!$E$12+1,1))-AVERAGE(OFFSET($H$3,0,0,'Données projet'!$E$12+1,1))</f>
        <v>123.2823358462245</v>
      </c>
      <c r="CE121" s="59">
        <f t="shared" si="94"/>
        <v>92.75115399786057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-2.8421709430404007E-13</v>
      </c>
      <c r="CU121" s="17">
        <f>CT121*VLOOKUP('Données projet'!$B$13,Paramètres!$A$1:$I$89,3,0)*VLOOKUP('Données projet'!$B$13,Paramètres!$A$1:$I$89,5,0)</f>
        <v>-1.69961822393816E-13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179.32848817523677</v>
      </c>
      <c r="CZ121" s="59">
        <f t="shared" si="96"/>
        <v>131.3292389103035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1.148926937080575</v>
      </c>
      <c r="DH121" s="21">
        <f>EXP(-LN(2)/2)*DH120+(1-EXP(-LN(2)/2))/(LN(2)/2)*DB121*DE121*VLOOKUP('Données projet'!$B$13,Paramètres!$A$1:$I$89,3,0)*0.475*44/12</f>
        <v>2.991594884204824E-13</v>
      </c>
      <c r="DI121" s="22">
        <f t="shared" si="69"/>
        <v>1.1489269370808741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7.1749999999999998</v>
      </c>
      <c r="DO121" s="12">
        <f>IF('Données projet'!$A$166&gt;35,DO120+DN121-DW120,IF(A121&lt;'Données projet'!$A$166,$DL$205^A121,IF(A121='Données projet'!$A$166,'Données projet'!$B$166,DO120+DN121-DW120)))</f>
        <v>369.7076923076919</v>
      </c>
      <c r="DP121" s="17">
        <f>DO121*VLOOKUP('Données projet'!$B$14,Paramètres!$A$1:$I$89,3,0)*VLOOKUP('Données projet'!$B$14,Paramètres!$A$1:$I$89,5,0)</f>
        <v>357.58127999999959</v>
      </c>
      <c r="DQ121" s="13">
        <f t="shared" si="97"/>
        <v>83.12162324032262</v>
      </c>
      <c r="DR121" s="20">
        <f t="shared" si="70"/>
        <v>767.55755647689455</v>
      </c>
      <c r="DS121" s="59">
        <f t="shared" si="71"/>
        <v>1060.8908898102279</v>
      </c>
      <c r="DT121" s="59">
        <f ca="1">AVERAGE(OFFSET($DS$3,0,0,'Données projet'!$E$14+1,1))-AVERAGE(OFFSET($H$3,0,0,'Données projet'!$E$14+1,1))</f>
        <v>340.4659523898373</v>
      </c>
      <c r="DU121" s="59">
        <f t="shared" si="98"/>
        <v>170.54530785680572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6.0153846153846189</v>
      </c>
      <c r="EJ121" s="12">
        <f>IF('Données projet'!$A$192&gt;35,EJ120+EI121-ER120,IF(A121&lt;'Données projet'!$A$192,$EG$205^A121,IF(A121='Données projet'!$A$192,'Données projet'!$B$192,EJ120+EI121-ER120)))</f>
        <v>274.8692307692304</v>
      </c>
      <c r="EK121" s="17">
        <f>EJ121*VLOOKUP('Données projet'!$B$15,Paramètres!$A$1:$I$89,3,0)*VLOOKUP('Données projet'!$B$15,Paramètres!$A$1:$I$89,5,0)</f>
        <v>265.85351999999966</v>
      </c>
      <c r="EL121" s="13">
        <f t="shared" si="99"/>
        <v>63.968490519631381</v>
      </c>
      <c r="EM121" s="20">
        <f t="shared" si="73"/>
        <v>574.44000165502405</v>
      </c>
      <c r="EN121" s="59">
        <f t="shared" si="74"/>
        <v>867.77333498835742</v>
      </c>
      <c r="EO121" s="59">
        <f ca="1">AVERAGE(OFFSET($EN$3,0,0,'Données projet'!$E$15+1,1))-AVERAGE(OFFSET($H$3,0,0,'Données projet'!$E$15+1,1))</f>
        <v>262.20955982183017</v>
      </c>
      <c r="EP121" s="59">
        <f t="shared" si="100"/>
        <v>101.35842063036193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5.6843418860808015E-14</v>
      </c>
      <c r="FF121" s="17">
        <f>FE121*VLOOKUP('Données projet'!$B$16,Paramètres!$A$1:$I$89,3,0)*VLOOKUP('Données projet'!$B$16,Paramètres!$A$1:$I$89,5,0)</f>
        <v>4.5224624045658861E-14</v>
      </c>
      <c r="FG121" s="13">
        <f t="shared" si="101"/>
        <v>7.4514601661523691E-13</v>
      </c>
      <c r="FH121" s="20">
        <f t="shared" si="76"/>
        <v>1.3765621991510601E-12</v>
      </c>
      <c r="FI121" s="59">
        <f t="shared" si="77"/>
        <v>293.33333333333468</v>
      </c>
      <c r="FJ121" s="59">
        <f ca="1">AVERAGE(OFFSET($FI$3,0,0,'Données projet'!$E$16+1,1))-AVERAGE(OFFSET($H$3,0,0,'Données projet'!$E$16+1,1))</f>
        <v>199.58763537752952</v>
      </c>
      <c r="FK121" s="59">
        <f t="shared" si="102"/>
        <v>242.62852778451929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0.89638226887139971</v>
      </c>
      <c r="FS121" s="21">
        <f>EXP(-LN(2)/2)*FS120+(1-EXP(-LN(2)/2))/(LN(2)/2)*FM121*FP121*VLOOKUP('Données projet'!$B$16,Paramètres!$A$1:$I$89,3,0)*0.475*44/12</f>
        <v>6.1172377134086104E-13</v>
      </c>
      <c r="FT121" s="22">
        <f t="shared" si="78"/>
        <v>0.89638226887201145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5.6843418860808015E-14</v>
      </c>
      <c r="GA121" s="17">
        <f>FZ121*VLOOKUP('Données projet'!$B$17,Paramètres!$A$1:$I$89,3,0)*VLOOKUP('Données projet'!$B$17,Paramètres!$A$1:$I$89,5,0)</f>
        <v>4.1677594708744434E-14</v>
      </c>
      <c r="GB121" s="13">
        <f t="shared" si="103"/>
        <v>6.9326303456159188E-13</v>
      </c>
      <c r="GC121" s="20">
        <f t="shared" si="79"/>
        <v>1.2800215959791691E-12</v>
      </c>
      <c r="GD121" s="59">
        <f t="shared" si="80"/>
        <v>293.33333333333462</v>
      </c>
      <c r="GE121" s="59">
        <f ca="1">AVERAGE(OFFSET($GD$3,0,0,'Données projet'!$E$17+1,1))-AVERAGE(OFFSET($H$3,0,0,'Données projet'!$E$17+1,1))</f>
        <v>178.12968684094687</v>
      </c>
      <c r="GF121" s="59">
        <f t="shared" si="104"/>
        <v>219.36004077210373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0.67021404564894504</v>
      </c>
      <c r="GN121" s="21">
        <f>EXP(-LN(2)/2)*GN120+(1-EXP(-LN(2)/2))/(LN(2)/2)*GH121*GK121*VLOOKUP('Données projet'!$B$17,Paramètres!$A$1:$I$89,3,0)*0.475*44/12</f>
        <v>5.6374543633373419E-13</v>
      </c>
      <c r="GO121" s="21">
        <f t="shared" si="81"/>
        <v>0.67021404564950882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5.6843418860808015E-14</v>
      </c>
      <c r="GV121" s="17">
        <f>GU121*VLOOKUP('Données projet'!$B$18,Paramètres!$A$1:$I$89,3,0)*VLOOKUP('Données projet'!$B$18,Paramètres!$A$1:$I$89,5,0)</f>
        <v>4.5224624045658861E-14</v>
      </c>
      <c r="GW121" s="13">
        <f t="shared" si="105"/>
        <v>7.4514601661523691E-13</v>
      </c>
      <c r="GX121" s="20">
        <f t="shared" si="82"/>
        <v>1.3765621991510601E-12</v>
      </c>
      <c r="GY121" s="59">
        <f t="shared" si="83"/>
        <v>293.33333333333468</v>
      </c>
      <c r="GZ121" s="59">
        <f ca="1">AVERAGE(OFFSET($GY$3,0,0,'Données projet'!$E$18+1,1))-AVERAGE(OFFSET($H$3,0,0,'Données projet'!$E$18+1,1))</f>
        <v>199.58763537752952</v>
      </c>
      <c r="HA121" s="59">
        <f t="shared" si="106"/>
        <v>242.62852778451929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0</v>
      </c>
      <c r="HH121" s="21">
        <f>EXP(-LN(2)/25)*HH120+(1-EXP(-LN(2)/25))/(LN(2)/25)*Calculateur!HC121*Calculateur!HE121*VLOOKUP('Données projet'!$B$18,Paramètres!$A$1:$I$89,3,0)*0.475*44/12</f>
        <v>0.89638226887139971</v>
      </c>
      <c r="HI121" s="21">
        <f>EXP(-LN(2)/2)*HI120+(1-EXP(-LN(2)/2))/(LN(2)/2)*HC121*HF121*VLOOKUP('Données projet'!$B$18,Paramètres!$A$1:$I$89,3,0)*0.475*44/12</f>
        <v>6.1172377134086104E-13</v>
      </c>
      <c r="HJ121" s="22">
        <f t="shared" si="84"/>
        <v>0.89638226887201145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7.1749999999999998</v>
      </c>
      <c r="N122" s="13">
        <f>IF('Données projet'!$A$36&gt;35,N121+M122-V121,IF(A122&lt;'Données projet'!$A$36,$K$205^A122,IF(A122='Données projet'!$A$36,'Données projet'!$B$36,N121+M122-V121)))</f>
        <v>376.88269230769191</v>
      </c>
      <c r="O122" s="13">
        <f>N122*VLOOKUP('Données projet'!$B$9,Paramètres!$A$1:$I$89,3,0)*VLOOKUP('Données projet'!$B$9,Paramètres!$A$1:$I$89,5,0)</f>
        <v>341.00345999999962</v>
      </c>
      <c r="P122" s="13">
        <f t="shared" si="87"/>
        <v>79.707232038800896</v>
      </c>
      <c r="Q122" s="20">
        <f t="shared" si="107"/>
        <v>732.73778863424411</v>
      </c>
      <c r="R122" s="59">
        <f t="shared" si="55"/>
        <v>1026.0711219675775</v>
      </c>
      <c r="S122" s="59">
        <f ca="1">AVERAGE(OFFSET($R$3,0,0,'Données projet'!$E$9+1,1))-AVERAGE(OFFSET($H$3,0,0,'Données projet'!$E$9+1,1))</f>
        <v>309.07357540707869</v>
      </c>
      <c r="T122" s="59">
        <f t="shared" si="88"/>
        <v>155.9593924683299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6.0153846153846189</v>
      </c>
      <c r="AI122" s="13">
        <f>IF('Données projet'!$A$62&gt;35,AI121+AH122-AQ121,IF(A122&lt;'Données projet'!$A$62,$AF$205^A122,IF(A122='Données projet'!$A$62,'Données projet'!$B$62,AI121+AH122-AQ121)))</f>
        <v>280.88461538461502</v>
      </c>
      <c r="AJ122" s="13">
        <f>AI122*VLOOKUP('Données projet'!$B$10,Paramètres!$A$1:$I$89,3,0)*VLOOKUP('Données projet'!$B$10,Paramètres!$A$1:$I$89,5,0)</f>
        <v>254.14439999999965</v>
      </c>
      <c r="AK122" s="13">
        <f t="shared" si="89"/>
        <v>61.472550736013424</v>
      </c>
      <c r="AL122" s="20">
        <f t="shared" si="58"/>
        <v>549.69952253188933</v>
      </c>
      <c r="AM122" s="59">
        <f t="shared" si="59"/>
        <v>843.0328558652227</v>
      </c>
      <c r="AN122" s="59">
        <f ca="1">AVERAGE(OFFSET($AM$3,0,0,'Données projet'!$E$10+1,1))-AVERAGE(OFFSET($H$3,0,0,'Données projet'!$E$10+1,1))</f>
        <v>234.30804102916278</v>
      </c>
      <c r="AO122" s="59">
        <f t="shared" si="90"/>
        <v>91.137993288782411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3.4106051316484809E-13</v>
      </c>
      <c r="BE122" s="13">
        <f>BD122*VLOOKUP('Données projet'!$B$11,Paramètres!$A$1:$I$89,3,0)*VLOOKUP('Données projet'!$B$11,Paramètres!$A$1:$I$89,5,0)</f>
        <v>1.5961632016114892E-13</v>
      </c>
      <c r="BF122" s="13">
        <f t="shared" si="91"/>
        <v>2.2708641912150958E-12</v>
      </c>
      <c r="BG122" s="20">
        <f t="shared" si="61"/>
        <v>4.2330868906469593E-12</v>
      </c>
      <c r="BH122" s="59">
        <f t="shared" si="62"/>
        <v>293.33333333333752</v>
      </c>
      <c r="BI122" s="59">
        <f ca="1">AVERAGE(OFFSET($BH$3,0,0,'Données projet'!$E$11+1,1))-AVERAGE(OFFSET($H$3,0,0,'Données projet'!$E$11+1,1))</f>
        <v>158.58786357608489</v>
      </c>
      <c r="BJ122" s="59">
        <f t="shared" si="92"/>
        <v>163.20074068819849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7.0884615384615346</v>
      </c>
      <c r="BY122" s="12">
        <f>IF('Données projet'!$A$114&gt;35,BY121+BX122-CG121,IF(A122&lt;'Données projet'!$A$114,$BV$205^A122,IF(A122='Données projet'!$A$114,'Données projet'!$B$114,BY121+BX122-CG121)))</f>
        <v>403.43076923076961</v>
      </c>
      <c r="BZ122" s="13">
        <f>BY122*VLOOKUP('Données projet'!$B$12,Paramètres!$A$1:$I$89,3,0)*VLOOKUP('Données projet'!$B$12,Paramètres!$A$1:$I$89,5,0)</f>
        <v>188.8056000000002</v>
      </c>
      <c r="CA122" s="13">
        <f t="shared" si="93"/>
        <v>47.275791131089093</v>
      </c>
      <c r="CB122" s="20">
        <f t="shared" si="64"/>
        <v>411.17508955331374</v>
      </c>
      <c r="CC122" s="59">
        <f t="shared" si="65"/>
        <v>704.50842288664705</v>
      </c>
      <c r="CD122" s="59">
        <f ca="1">AVERAGE(OFFSET($CC$3,0,0,'Données projet'!$E$12+1,1))-AVERAGE(OFFSET($H$3,0,0,'Données projet'!$E$12+1,1))</f>
        <v>123.2823358462245</v>
      </c>
      <c r="CE122" s="59">
        <f t="shared" si="94"/>
        <v>92.75115399786057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-2.8421709430404007E-13</v>
      </c>
      <c r="CU122" s="17">
        <f>CT122*VLOOKUP('Données projet'!$B$13,Paramètres!$A$1:$I$89,3,0)*VLOOKUP('Données projet'!$B$13,Paramètres!$A$1:$I$89,5,0)</f>
        <v>-1.69961822393816E-13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179.32848817523677</v>
      </c>
      <c r="CZ122" s="59">
        <f t="shared" si="96"/>
        <v>131.3292389103035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1.117509469566665</v>
      </c>
      <c r="DH122" s="21">
        <f>EXP(-LN(2)/2)*DH121+(1-EXP(-LN(2)/2))/(LN(2)/2)*DB122*DE122*VLOOKUP('Données projet'!$B$13,Paramètres!$A$1:$I$89,3,0)*0.475*44/12</f>
        <v>2.1153770291842155E-13</v>
      </c>
      <c r="DI122" s="22">
        <f t="shared" si="69"/>
        <v>1.1175094695668766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7.1749999999999998</v>
      </c>
      <c r="DO122" s="12">
        <f>IF('Données projet'!$A$166&gt;35,DO121+DN122-DW121,IF(A122&lt;'Données projet'!$A$166,$DL$205^A122,IF(A122='Données projet'!$A$166,'Données projet'!$B$166,DO121+DN122-DW121)))</f>
        <v>376.88269230769191</v>
      </c>
      <c r="DP122" s="17">
        <f>DO122*VLOOKUP('Données projet'!$B$14,Paramètres!$A$1:$I$89,3,0)*VLOOKUP('Données projet'!$B$14,Paramètres!$A$1:$I$89,5,0)</f>
        <v>364.52093999999965</v>
      </c>
      <c r="DQ122" s="13">
        <f t="shared" si="97"/>
        <v>84.545412915320412</v>
      </c>
      <c r="DR122" s="20">
        <f t="shared" si="70"/>
        <v>782.12389799418236</v>
      </c>
      <c r="DS122" s="59">
        <f t="shared" si="71"/>
        <v>1075.4572313275157</v>
      </c>
      <c r="DT122" s="59">
        <f ca="1">AVERAGE(OFFSET($DS$3,0,0,'Données projet'!$E$14+1,1))-AVERAGE(OFFSET($H$3,0,0,'Données projet'!$E$14+1,1))</f>
        <v>340.4659523898373</v>
      </c>
      <c r="DU122" s="59">
        <f t="shared" si="98"/>
        <v>170.54530785680572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6.0153846153846189</v>
      </c>
      <c r="EJ122" s="12">
        <f>IF('Données projet'!$A$192&gt;35,EJ121+EI122-ER121,IF(A122&lt;'Données projet'!$A$192,$EG$205^A122,IF(A122='Données projet'!$A$192,'Données projet'!$B$192,EJ121+EI122-ER121)))</f>
        <v>280.88461538461502</v>
      </c>
      <c r="EK122" s="17">
        <f>EJ122*VLOOKUP('Données projet'!$B$15,Paramètres!$A$1:$I$89,3,0)*VLOOKUP('Données projet'!$B$15,Paramètres!$A$1:$I$89,5,0)</f>
        <v>271.67159999999967</v>
      </c>
      <c r="EL122" s="13">
        <f t="shared" si="99"/>
        <v>65.203897463209742</v>
      </c>
      <c r="EM122" s="20">
        <f t="shared" si="73"/>
        <v>586.72482474842298</v>
      </c>
      <c r="EN122" s="59">
        <f t="shared" si="74"/>
        <v>880.05815808175635</v>
      </c>
      <c r="EO122" s="59">
        <f ca="1">AVERAGE(OFFSET($EN$3,0,0,'Données projet'!$E$15+1,1))-AVERAGE(OFFSET($H$3,0,0,'Données projet'!$E$15+1,1))</f>
        <v>262.20955982183017</v>
      </c>
      <c r="EP122" s="59">
        <f t="shared" si="100"/>
        <v>101.35842063036193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5.6843418860808015E-14</v>
      </c>
      <c r="FF122" s="17">
        <f>FE122*VLOOKUP('Données projet'!$B$16,Paramètres!$A$1:$I$89,3,0)*VLOOKUP('Données projet'!$B$16,Paramètres!$A$1:$I$89,5,0)</f>
        <v>4.5224624045658861E-14</v>
      </c>
      <c r="FG122" s="13">
        <f t="shared" si="101"/>
        <v>7.4514601661523691E-13</v>
      </c>
      <c r="FH122" s="20">
        <f t="shared" si="76"/>
        <v>1.3765621991510601E-12</v>
      </c>
      <c r="FI122" s="59">
        <f t="shared" si="77"/>
        <v>293.33333333333468</v>
      </c>
      <c r="FJ122" s="59">
        <f ca="1">AVERAGE(OFFSET($FI$3,0,0,'Données projet'!$E$16+1,1))-AVERAGE(OFFSET($H$3,0,0,'Données projet'!$E$16+1,1))</f>
        <v>199.58763537752952</v>
      </c>
      <c r="FK122" s="59">
        <f t="shared" si="102"/>
        <v>242.62852778451929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0.87187064859041652</v>
      </c>
      <c r="FS122" s="21">
        <f>EXP(-LN(2)/2)*FS121+(1-EXP(-LN(2)/2))/(LN(2)/2)*FM122*FP122*VLOOKUP('Données projet'!$B$16,Paramètres!$A$1:$I$89,3,0)*0.475*44/12</f>
        <v>4.3255402692813187E-13</v>
      </c>
      <c r="FT122" s="22">
        <f t="shared" si="78"/>
        <v>0.87187064859084906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5.6843418860808015E-14</v>
      </c>
      <c r="GA122" s="17">
        <f>FZ122*VLOOKUP('Données projet'!$B$17,Paramètres!$A$1:$I$89,3,0)*VLOOKUP('Données projet'!$B$17,Paramètres!$A$1:$I$89,5,0)</f>
        <v>4.1677594708744434E-14</v>
      </c>
      <c r="GB122" s="13">
        <f t="shared" si="103"/>
        <v>6.9326303456159188E-13</v>
      </c>
      <c r="GC122" s="20">
        <f t="shared" si="79"/>
        <v>1.2800215959791691E-12</v>
      </c>
      <c r="GD122" s="59">
        <f t="shared" si="80"/>
        <v>293.33333333333462</v>
      </c>
      <c r="GE122" s="59">
        <f ca="1">AVERAGE(OFFSET($GD$3,0,0,'Données projet'!$E$17+1,1))-AVERAGE(OFFSET($H$3,0,0,'Données projet'!$E$17+1,1))</f>
        <v>178.12968684094687</v>
      </c>
      <c r="GF122" s="59">
        <f t="shared" si="104"/>
        <v>219.36004077210373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0.65188700732564975</v>
      </c>
      <c r="GN122" s="21">
        <f>EXP(-LN(2)/2)*GN121+(1-EXP(-LN(2)/2))/(LN(2)/2)*GH122*GK122*VLOOKUP('Données projet'!$B$17,Paramètres!$A$1:$I$89,3,0)*0.475*44/12</f>
        <v>3.9862822089455255E-13</v>
      </c>
      <c r="GO122" s="21">
        <f t="shared" si="81"/>
        <v>0.65188700732604843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5.6843418860808015E-14</v>
      </c>
      <c r="GV122" s="17">
        <f>GU122*VLOOKUP('Données projet'!$B$18,Paramètres!$A$1:$I$89,3,0)*VLOOKUP('Données projet'!$B$18,Paramètres!$A$1:$I$89,5,0)</f>
        <v>4.5224624045658861E-14</v>
      </c>
      <c r="GW122" s="13">
        <f t="shared" si="105"/>
        <v>7.4514601661523691E-13</v>
      </c>
      <c r="GX122" s="20">
        <f t="shared" si="82"/>
        <v>1.3765621991510601E-12</v>
      </c>
      <c r="GY122" s="59">
        <f t="shared" si="83"/>
        <v>293.33333333333468</v>
      </c>
      <c r="GZ122" s="59">
        <f ca="1">AVERAGE(OFFSET($GY$3,0,0,'Données projet'!$E$18+1,1))-AVERAGE(OFFSET($H$3,0,0,'Données projet'!$E$18+1,1))</f>
        <v>199.58763537752952</v>
      </c>
      <c r="HA122" s="59">
        <f t="shared" si="106"/>
        <v>242.62852778451929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0</v>
      </c>
      <c r="HH122" s="21">
        <f>EXP(-LN(2)/25)*HH121+(1-EXP(-LN(2)/25))/(LN(2)/25)*Calculateur!HC122*Calculateur!HE122*VLOOKUP('Données projet'!$B$18,Paramètres!$A$1:$I$89,3,0)*0.475*44/12</f>
        <v>0.87187064859041652</v>
      </c>
      <c r="HI122" s="21">
        <f>EXP(-LN(2)/2)*HI121+(1-EXP(-LN(2)/2))/(LN(2)/2)*HC122*HF122*VLOOKUP('Données projet'!$B$18,Paramètres!$A$1:$I$89,3,0)*0.475*44/12</f>
        <v>4.3255402692813187E-13</v>
      </c>
      <c r="HJ122" s="22">
        <f t="shared" si="84"/>
        <v>0.87187064859084906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384.05769230769226</v>
      </c>
      <c r="L123" s="12">
        <f>VLOOKUP(A123,'Données projet'!$A$35:$I$55,9,0)</f>
        <v>7.1749999999999998</v>
      </c>
      <c r="M123" s="12">
        <f t="array" ref="M123">INDEX(L:L,MIN(IF(ISNUMBER(L123:L319),ROW(L123:L319),"")))</f>
        <v>7.1749999999999998</v>
      </c>
      <c r="N123" s="13">
        <f>IF('Données projet'!$A$36&gt;35,N122+M123-V122,IF(A123&lt;'Données projet'!$A$36,$K$205^A123,IF(A123='Données projet'!$A$36,'Données projet'!$B$36,N122+M123-V122)))</f>
        <v>384.05769230769192</v>
      </c>
      <c r="O123" s="13">
        <f>N123*VLOOKUP('Données projet'!$B$9,Paramètres!$A$1:$I$89,3,0)*VLOOKUP('Données projet'!$B$9,Paramètres!$A$1:$I$89,5,0)</f>
        <v>347.49539999999962</v>
      </c>
      <c r="P123" s="13">
        <f t="shared" si="87"/>
        <v>81.046572724377867</v>
      </c>
      <c r="Q123" s="20">
        <f t="shared" si="107"/>
        <v>746.3772691616241</v>
      </c>
      <c r="R123" s="59">
        <f t="shared" si="55"/>
        <v>1039.7106024949574</v>
      </c>
      <c r="S123" s="59">
        <f ca="1">AVERAGE(OFFSET($R$3,0,0,'Données projet'!$E$9+1,1))-AVERAGE(OFFSET($H$3,0,0,'Données projet'!$E$9+1,1))</f>
        <v>309.07357540707869</v>
      </c>
      <c r="T123" s="59">
        <f t="shared" si="88"/>
        <v>155.9593924683299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44.929487179487182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6.0153846153846189</v>
      </c>
      <c r="AI123" s="13">
        <f>IF('Données projet'!$A$62&gt;35,AI122+AH123-AQ122,IF(A123&lt;'Données projet'!$A$62,$AF$205^A123,IF(A123='Données projet'!$A$62,'Données projet'!$B$62,AI122+AH123-AQ122)))</f>
        <v>286.89999999999964</v>
      </c>
      <c r="AJ123" s="13">
        <f>AI123*VLOOKUP('Données projet'!$B$10,Paramètres!$A$1:$I$89,3,0)*VLOOKUP('Données projet'!$B$10,Paramètres!$A$1:$I$89,5,0)</f>
        <v>259.58711999999969</v>
      </c>
      <c r="AK123" s="13">
        <f t="shared" si="89"/>
        <v>62.63436048624726</v>
      </c>
      <c r="AL123" s="20">
        <f t="shared" si="58"/>
        <v>561.20241184688007</v>
      </c>
      <c r="AM123" s="59">
        <f t="shared" si="59"/>
        <v>854.53574518021333</v>
      </c>
      <c r="AN123" s="59">
        <f ca="1">AVERAGE(OFFSET($AM$3,0,0,'Données projet'!$E$10+1,1))-AVERAGE(OFFSET($H$3,0,0,'Données projet'!$E$10+1,1))</f>
        <v>234.30804102916278</v>
      </c>
      <c r="AO123" s="59">
        <f t="shared" si="90"/>
        <v>91.137993288782411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3.4106051316484809E-13</v>
      </c>
      <c r="BE123" s="13">
        <f>BD123*VLOOKUP('Données projet'!$B$11,Paramètres!$A$1:$I$89,3,0)*VLOOKUP('Données projet'!$B$11,Paramètres!$A$1:$I$89,5,0)</f>
        <v>1.5961632016114892E-13</v>
      </c>
      <c r="BF123" s="13">
        <f t="shared" si="91"/>
        <v>2.2708641912150958E-12</v>
      </c>
      <c r="BG123" s="20">
        <f t="shared" si="61"/>
        <v>4.2330868906469593E-12</v>
      </c>
      <c r="BH123" s="59">
        <f t="shared" si="62"/>
        <v>293.33333333333752</v>
      </c>
      <c r="BI123" s="59">
        <f ca="1">AVERAGE(OFFSET($BH$3,0,0,'Données projet'!$E$11+1,1))-AVERAGE(OFFSET($H$3,0,0,'Données projet'!$E$11+1,1))</f>
        <v>158.58786357608489</v>
      </c>
      <c r="BJ123" s="59">
        <f t="shared" si="92"/>
        <v>163.20074068819849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7.0884615384615346</v>
      </c>
      <c r="BY123" s="12">
        <f>IF('Données projet'!$A$114&gt;35,BY122+BX123-CG122,IF(A123&lt;'Données projet'!$A$114,$BV$205^A123,IF(A123='Données projet'!$A$114,'Données projet'!$B$114,BY122+BX123-CG122)))</f>
        <v>410.51923076923117</v>
      </c>
      <c r="BZ123" s="13">
        <f>BY123*VLOOKUP('Données projet'!$B$12,Paramètres!$A$1:$I$89,3,0)*VLOOKUP('Données projet'!$B$12,Paramètres!$A$1:$I$89,5,0)</f>
        <v>192.12300000000019</v>
      </c>
      <c r="CA123" s="13">
        <f t="shared" si="93"/>
        <v>48.009014038039723</v>
      </c>
      <c r="CB123" s="20">
        <f t="shared" si="64"/>
        <v>418.22992444958618</v>
      </c>
      <c r="CC123" s="59">
        <f t="shared" si="65"/>
        <v>711.56325778291944</v>
      </c>
      <c r="CD123" s="59">
        <f ca="1">AVERAGE(OFFSET($CC$3,0,0,'Données projet'!$E$12+1,1))-AVERAGE(OFFSET($H$3,0,0,'Données projet'!$E$12+1,1))</f>
        <v>123.2823358462245</v>
      </c>
      <c r="CE123" s="59">
        <f t="shared" si="94"/>
        <v>92.75115399786057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-2.8421709430404007E-13</v>
      </c>
      <c r="CU123" s="17">
        <f>CT123*VLOOKUP('Données projet'!$B$13,Paramètres!$A$1:$I$89,3,0)*VLOOKUP('Données projet'!$B$13,Paramètres!$A$1:$I$89,5,0)</f>
        <v>-1.69961822393816E-13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179.32848817523677</v>
      </c>
      <c r="CZ123" s="59">
        <f t="shared" si="96"/>
        <v>131.3292389103035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1.0869511143540955</v>
      </c>
      <c r="DH123" s="21">
        <f>EXP(-LN(2)/2)*DH122+(1-EXP(-LN(2)/2))/(LN(2)/2)*DB123*DE123*VLOOKUP('Données projet'!$B$13,Paramètres!$A$1:$I$89,3,0)*0.475*44/12</f>
        <v>1.495797442102412E-13</v>
      </c>
      <c r="DI123" s="22">
        <f t="shared" si="69"/>
        <v>1.0869511143542452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384.05769230769226</v>
      </c>
      <c r="DM123" s="12">
        <f>VLOOKUP(A123,'Données projet'!$A$165:$I$185,9,0)</f>
        <v>7.1749999999999998</v>
      </c>
      <c r="DN123" s="12">
        <f t="array" ref="DN123">INDEX(DM:DM,MIN(IF(ISNUMBER(DM123:DM319),ROW(DM123:DM319),"")))</f>
        <v>7.1749999999999998</v>
      </c>
      <c r="DO123" s="12">
        <f>IF('Données projet'!$A$166&gt;35,DO122+DN123-DW122,IF(A123&lt;'Données projet'!$A$166,$DL$205^A123,IF(A123='Données projet'!$A$166,'Données projet'!$B$166,DO122+DN123-DW122)))</f>
        <v>384.05769230769192</v>
      </c>
      <c r="DP123" s="17">
        <f>DO123*VLOOKUP('Données projet'!$B$14,Paramètres!$A$1:$I$89,3,0)*VLOOKUP('Données projet'!$B$14,Paramètres!$A$1:$I$89,5,0)</f>
        <v>371.46059999999966</v>
      </c>
      <c r="DQ123" s="13">
        <f t="shared" si="97"/>
        <v>85.966050772137194</v>
      </c>
      <c r="DR123" s="20">
        <f t="shared" si="70"/>
        <v>796.68475009480505</v>
      </c>
      <c r="DS123" s="59">
        <f t="shared" si="71"/>
        <v>1090.0180834281384</v>
      </c>
      <c r="DT123" s="59">
        <f ca="1">AVERAGE(OFFSET($DS$3,0,0,'Données projet'!$E$14+1,1))-AVERAGE(OFFSET($H$3,0,0,'Données projet'!$E$14+1,1))</f>
        <v>340.4659523898373</v>
      </c>
      <c r="DU123" s="59">
        <f t="shared" si="98"/>
        <v>170.54530785680572</v>
      </c>
      <c r="DV123" s="15">
        <f>IF(ISNA(VLOOKUP(A123,'Données projet'!$A$165:$I$185,3,0)),0,VLOOKUP(A123,'Données projet'!$A$165:$I$185,3,0))</f>
        <v>11</v>
      </c>
      <c r="DW123" s="15">
        <f>IF(ISNA(VLOOKUP(A123,'Données projet'!$A$165:$I$185,4,0)),0,VLOOKUP(A123,'Données projet'!$A$165:$I$185,4,0))</f>
        <v>44.929487179487182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6.0153846153846189</v>
      </c>
      <c r="EJ123" s="12">
        <f>IF('Données projet'!$A$192&gt;35,EJ122+EI123-ER122,IF(A123&lt;'Données projet'!$A$192,$EG$205^A123,IF(A123='Données projet'!$A$192,'Données projet'!$B$192,EJ122+EI123-ER122)))</f>
        <v>286.89999999999964</v>
      </c>
      <c r="EK123" s="17">
        <f>EJ123*VLOOKUP('Données projet'!$B$15,Paramètres!$A$1:$I$89,3,0)*VLOOKUP('Données projet'!$B$15,Paramètres!$A$1:$I$89,5,0)</f>
        <v>277.48967999999968</v>
      </c>
      <c r="EL123" s="13">
        <f t="shared" si="99"/>
        <v>66.436228364058849</v>
      </c>
      <c r="EM123" s="20">
        <f t="shared" si="73"/>
        <v>599.00429040073516</v>
      </c>
      <c r="EN123" s="59">
        <f t="shared" si="74"/>
        <v>892.33762373406853</v>
      </c>
      <c r="EO123" s="59">
        <f ca="1">AVERAGE(OFFSET($EN$3,0,0,'Données projet'!$E$15+1,1))-AVERAGE(OFFSET($H$3,0,0,'Données projet'!$E$15+1,1))</f>
        <v>262.20955982183017</v>
      </c>
      <c r="EP123" s="59">
        <f t="shared" si="100"/>
        <v>101.35842063036193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5.6843418860808015E-14</v>
      </c>
      <c r="FF123" s="17">
        <f>FE123*VLOOKUP('Données projet'!$B$16,Paramètres!$A$1:$I$89,3,0)*VLOOKUP('Données projet'!$B$16,Paramètres!$A$1:$I$89,5,0)</f>
        <v>4.5224624045658861E-14</v>
      </c>
      <c r="FG123" s="13">
        <f t="shared" si="101"/>
        <v>7.4514601661523691E-13</v>
      </c>
      <c r="FH123" s="20">
        <f t="shared" si="76"/>
        <v>1.3765621991510601E-12</v>
      </c>
      <c r="FI123" s="59">
        <f t="shared" si="77"/>
        <v>293.33333333333468</v>
      </c>
      <c r="FJ123" s="59">
        <f ca="1">AVERAGE(OFFSET($FI$3,0,0,'Données projet'!$E$16+1,1))-AVERAGE(OFFSET($H$3,0,0,'Données projet'!$E$16+1,1))</f>
        <v>199.58763537752952</v>
      </c>
      <c r="FK123" s="59">
        <f t="shared" si="102"/>
        <v>242.62852778451929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0.84802929985502684</v>
      </c>
      <c r="FS123" s="21">
        <f>EXP(-LN(2)/2)*FS122+(1-EXP(-LN(2)/2))/(LN(2)/2)*FM123*FP123*VLOOKUP('Données projet'!$B$16,Paramètres!$A$1:$I$89,3,0)*0.475*44/12</f>
        <v>3.0586188567043052E-13</v>
      </c>
      <c r="FT123" s="22">
        <f t="shared" si="78"/>
        <v>0.84802929985533271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5.6843418860808015E-14</v>
      </c>
      <c r="GA123" s="17">
        <f>FZ123*VLOOKUP('Données projet'!$B$17,Paramètres!$A$1:$I$89,3,0)*VLOOKUP('Données projet'!$B$17,Paramètres!$A$1:$I$89,5,0)</f>
        <v>4.1677594708744434E-14</v>
      </c>
      <c r="GB123" s="13">
        <f t="shared" si="103"/>
        <v>6.9326303456159188E-13</v>
      </c>
      <c r="GC123" s="20">
        <f t="shared" si="79"/>
        <v>1.2800215959791691E-12</v>
      </c>
      <c r="GD123" s="59">
        <f t="shared" si="80"/>
        <v>293.33333333333462</v>
      </c>
      <c r="GE123" s="59">
        <f ca="1">AVERAGE(OFFSET($GD$3,0,0,'Données projet'!$E$17+1,1))-AVERAGE(OFFSET($H$3,0,0,'Données projet'!$E$17+1,1))</f>
        <v>178.12968684094687</v>
      </c>
      <c r="GF123" s="59">
        <f t="shared" si="104"/>
        <v>219.36004077210373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0.634061122829082</v>
      </c>
      <c r="GN123" s="21">
        <f>EXP(-LN(2)/2)*GN122+(1-EXP(-LN(2)/2))/(LN(2)/2)*GH123*GK123*VLOOKUP('Données projet'!$B$17,Paramètres!$A$1:$I$89,3,0)*0.475*44/12</f>
        <v>2.818727181668671E-13</v>
      </c>
      <c r="GO123" s="21">
        <f t="shared" si="81"/>
        <v>0.63406112282936389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5.6843418860808015E-14</v>
      </c>
      <c r="GV123" s="17">
        <f>GU123*VLOOKUP('Données projet'!$B$18,Paramètres!$A$1:$I$89,3,0)*VLOOKUP('Données projet'!$B$18,Paramètres!$A$1:$I$89,5,0)</f>
        <v>4.5224624045658861E-14</v>
      </c>
      <c r="GW123" s="13">
        <f t="shared" si="105"/>
        <v>7.4514601661523691E-13</v>
      </c>
      <c r="GX123" s="20">
        <f t="shared" si="82"/>
        <v>1.3765621991510601E-12</v>
      </c>
      <c r="GY123" s="59">
        <f t="shared" si="83"/>
        <v>293.33333333333468</v>
      </c>
      <c r="GZ123" s="59">
        <f ca="1">AVERAGE(OFFSET($GY$3,0,0,'Données projet'!$E$18+1,1))-AVERAGE(OFFSET($H$3,0,0,'Données projet'!$E$18+1,1))</f>
        <v>199.58763537752952</v>
      </c>
      <c r="HA123" s="59">
        <f t="shared" si="106"/>
        <v>242.62852778451929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0</v>
      </c>
      <c r="HH123" s="21">
        <f>EXP(-LN(2)/25)*HH122+(1-EXP(-LN(2)/25))/(LN(2)/25)*Calculateur!HC123*Calculateur!HE123*VLOOKUP('Données projet'!$B$18,Paramètres!$A$1:$I$89,3,0)*0.475*44/12</f>
        <v>0.84802929985502684</v>
      </c>
      <c r="HI123" s="21">
        <f>EXP(-LN(2)/2)*HI122+(1-EXP(-LN(2)/2))/(LN(2)/2)*HC123*HF123*VLOOKUP('Données projet'!$B$18,Paramètres!$A$1:$I$89,3,0)*0.475*44/12</f>
        <v>3.0586188567043052E-13</v>
      </c>
      <c r="HJ123" s="22">
        <f t="shared" si="84"/>
        <v>0.84802929985533271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7.1730769230769287</v>
      </c>
      <c r="N124" s="13">
        <f>IF('Données projet'!$A$36&gt;35,N123+M124-V123,IF(A124&lt;'Données projet'!$A$36,$K$205^A124,IF(A124='Données projet'!$A$36,'Données projet'!$B$36,N123+M124-V123)))</f>
        <v>346.30128205128165</v>
      </c>
      <c r="O124" s="13">
        <f>N124*VLOOKUP('Données projet'!$B$9,Paramètres!$A$1:$I$89,3,0)*VLOOKUP('Données projet'!$B$9,Paramètres!$A$1:$I$89,5,0)</f>
        <v>313.33339999999964</v>
      </c>
      <c r="P124" s="13">
        <f t="shared" si="87"/>
        <v>73.964542836466293</v>
      </c>
      <c r="Q124" s="20">
        <f t="shared" si="107"/>
        <v>674.5439171068449</v>
      </c>
      <c r="R124" s="59">
        <f t="shared" si="55"/>
        <v>967.87725044017816</v>
      </c>
      <c r="S124" s="59">
        <f ca="1">AVERAGE(OFFSET($R$3,0,0,'Données projet'!$E$9+1,1))-AVERAGE(OFFSET($H$3,0,0,'Données projet'!$E$9+1,1))</f>
        <v>309.07357540707869</v>
      </c>
      <c r="T124" s="59">
        <f t="shared" si="88"/>
        <v>155.9593924683299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6.0153846153846189</v>
      </c>
      <c r="AI124" s="13">
        <f>IF('Données projet'!$A$62&gt;35,AI123+AH124-AQ123,IF(A124&lt;'Données projet'!$A$62,$AF$205^A124,IF(A124='Données projet'!$A$62,'Données projet'!$B$62,AI123+AH124-AQ123)))</f>
        <v>292.91538461538426</v>
      </c>
      <c r="AJ124" s="13">
        <f>AI124*VLOOKUP('Données projet'!$B$10,Paramètres!$A$1:$I$89,3,0)*VLOOKUP('Données projet'!$B$10,Paramètres!$A$1:$I$89,5,0)</f>
        <v>265.02983999999969</v>
      </c>
      <c r="AK124" s="13">
        <f t="shared" si="89"/>
        <v>63.793338031797092</v>
      </c>
      <c r="AL124" s="20">
        <f t="shared" si="58"/>
        <v>572.70036840537932</v>
      </c>
      <c r="AM124" s="59">
        <f t="shared" si="59"/>
        <v>866.03370173871258</v>
      </c>
      <c r="AN124" s="59">
        <f ca="1">AVERAGE(OFFSET($AM$3,0,0,'Données projet'!$E$10+1,1))-AVERAGE(OFFSET($H$3,0,0,'Données projet'!$E$10+1,1))</f>
        <v>234.30804102916278</v>
      </c>
      <c r="AO124" s="59">
        <f t="shared" si="90"/>
        <v>91.137993288782411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3.4106051316484809E-13</v>
      </c>
      <c r="BE124" s="13">
        <f>BD124*VLOOKUP('Données projet'!$B$11,Paramètres!$A$1:$I$89,3,0)*VLOOKUP('Données projet'!$B$11,Paramètres!$A$1:$I$89,5,0)</f>
        <v>1.5961632016114892E-13</v>
      </c>
      <c r="BF124" s="13">
        <f t="shared" si="91"/>
        <v>2.2708641912150958E-12</v>
      </c>
      <c r="BG124" s="20">
        <f t="shared" si="61"/>
        <v>4.2330868906469593E-12</v>
      </c>
      <c r="BH124" s="59">
        <f t="shared" si="62"/>
        <v>293.33333333333752</v>
      </c>
      <c r="BI124" s="59">
        <f ca="1">AVERAGE(OFFSET($BH$3,0,0,'Données projet'!$E$11+1,1))-AVERAGE(OFFSET($H$3,0,0,'Données projet'!$E$11+1,1))</f>
        <v>158.58786357608489</v>
      </c>
      <c r="BJ124" s="59">
        <f t="shared" si="92"/>
        <v>163.20074068819849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>
        <f>VLOOKUP(A124,'Données projet'!$A$113:$I$133,2,0)</f>
        <v>417.60769230769228</v>
      </c>
      <c r="BW124" s="12">
        <f>VLOOKUP(A124,'Données projet'!$A$113:$I$133,9,0)</f>
        <v>7.0884615384615346</v>
      </c>
      <c r="BX124" s="12">
        <f t="array" ref="BX124">INDEX(BW:BW,MIN(IF(ISNUMBER(BW124:BW320),ROW(BW124:BW320),"")))</f>
        <v>7.0884615384615346</v>
      </c>
      <c r="BY124" s="12">
        <f>IF('Données projet'!$A$114&gt;35,BY123+BX124-CG123,IF(A124&lt;'Données projet'!$A$114,$BV$205^A124,IF(A124='Données projet'!$A$114,'Données projet'!$B$114,BY123+BX124-CG123)))</f>
        <v>417.60769230769273</v>
      </c>
      <c r="BZ124" s="13">
        <f>BY124*VLOOKUP('Données projet'!$B$12,Paramètres!$A$1:$I$89,3,0)*VLOOKUP('Données projet'!$B$12,Paramètres!$A$1:$I$89,5,0)</f>
        <v>195.44040000000018</v>
      </c>
      <c r="CA124" s="13">
        <f t="shared" si="93"/>
        <v>48.740764653053319</v>
      </c>
      <c r="CB124" s="20">
        <f t="shared" si="64"/>
        <v>425.28219510406808</v>
      </c>
      <c r="CC124" s="59">
        <f t="shared" si="65"/>
        <v>718.61552843740139</v>
      </c>
      <c r="CD124" s="59">
        <f ca="1">AVERAGE(OFFSET($CC$3,0,0,'Données projet'!$E$12+1,1))-AVERAGE(OFFSET($H$3,0,0,'Données projet'!$E$12+1,1))</f>
        <v>123.2823358462245</v>
      </c>
      <c r="CE124" s="59">
        <f t="shared" si="94"/>
        <v>92.75115399786057</v>
      </c>
      <c r="CF124" s="15">
        <f>IF(ISNA(VLOOKUP(A124,'Données projet'!$A$113:$I$133,3,0)),0,VLOOKUP(A124,'Données projet'!$A$113:$I$133,3,0))</f>
        <v>7</v>
      </c>
      <c r="CG124" s="15">
        <f>IF(ISNA(VLOOKUP(A124,'Données projet'!$A$113:$I$133,4,0)),0,VLOOKUP(A124,'Données projet'!$A$113:$I$133,4,0))</f>
        <v>207.07692307692307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-2.8421709430404007E-13</v>
      </c>
      <c r="CU124" s="17">
        <f>CT124*VLOOKUP('Données projet'!$B$13,Paramètres!$A$1:$I$89,3,0)*VLOOKUP('Données projet'!$B$13,Paramètres!$A$1:$I$89,5,0)</f>
        <v>-1.69961822393816E-13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179.32848817523677</v>
      </c>
      <c r="CZ124" s="59">
        <f t="shared" si="96"/>
        <v>131.3292389103035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1.057228378971808</v>
      </c>
      <c r="DH124" s="21">
        <f>EXP(-LN(2)/2)*DH123+(1-EXP(-LN(2)/2))/(LN(2)/2)*DB124*DE124*VLOOKUP('Données projet'!$B$13,Paramètres!$A$1:$I$89,3,0)*0.475*44/12</f>
        <v>1.0576885145921077E-13</v>
      </c>
      <c r="DI124" s="22">
        <f t="shared" si="69"/>
        <v>1.0572283789719137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7.1730769230769287</v>
      </c>
      <c r="DO124" s="12">
        <f>IF('Données projet'!$A$166&gt;35,DO123+DN124-DW123,IF(A124&lt;'Données projet'!$A$166,$DL$205^A124,IF(A124='Données projet'!$A$166,'Données projet'!$B$166,DO123+DN124-DW123)))</f>
        <v>346.30128205128165</v>
      </c>
      <c r="DP124" s="17">
        <f>DO124*VLOOKUP('Données projet'!$B$14,Paramètres!$A$1:$I$89,3,0)*VLOOKUP('Données projet'!$B$14,Paramètres!$A$1:$I$89,5,0)</f>
        <v>334.94259999999963</v>
      </c>
      <c r="DQ124" s="13">
        <f t="shared" si="97"/>
        <v>78.454145944471591</v>
      </c>
      <c r="DR124" s="20">
        <f t="shared" si="70"/>
        <v>719.99933251995401</v>
      </c>
      <c r="DS124" s="59">
        <f t="shared" si="71"/>
        <v>1013.3326658532874</v>
      </c>
      <c r="DT124" s="59">
        <f ca="1">AVERAGE(OFFSET($DS$3,0,0,'Données projet'!$E$14+1,1))-AVERAGE(OFFSET($H$3,0,0,'Données projet'!$E$14+1,1))</f>
        <v>340.4659523898373</v>
      </c>
      <c r="DU124" s="59">
        <f t="shared" si="98"/>
        <v>170.54530785680572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6.0153846153846189</v>
      </c>
      <c r="EJ124" s="12">
        <f>IF('Données projet'!$A$192&gt;35,EJ123+EI124-ER123,IF(A124&lt;'Données projet'!$A$192,$EG$205^A124,IF(A124='Données projet'!$A$192,'Données projet'!$B$192,EJ123+EI124-ER123)))</f>
        <v>292.91538461538426</v>
      </c>
      <c r="EK124" s="17">
        <f>EJ124*VLOOKUP('Données projet'!$B$15,Paramètres!$A$1:$I$89,3,0)*VLOOKUP('Données projet'!$B$15,Paramètres!$A$1:$I$89,5,0)</f>
        <v>283.30775999999969</v>
      </c>
      <c r="EL124" s="13">
        <f t="shared" si="99"/>
        <v>67.665555147109103</v>
      </c>
      <c r="EM124" s="20">
        <f t="shared" si="73"/>
        <v>611.27852388121437</v>
      </c>
      <c r="EN124" s="59">
        <f t="shared" si="74"/>
        <v>904.61185721454763</v>
      </c>
      <c r="EO124" s="59">
        <f ca="1">AVERAGE(OFFSET($EN$3,0,0,'Données projet'!$E$15+1,1))-AVERAGE(OFFSET($H$3,0,0,'Données projet'!$E$15+1,1))</f>
        <v>262.20955982183017</v>
      </c>
      <c r="EP124" s="59">
        <f t="shared" si="100"/>
        <v>101.35842063036193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5.6843418860808015E-14</v>
      </c>
      <c r="FF124" s="17">
        <f>FE124*VLOOKUP('Données projet'!$B$16,Paramètres!$A$1:$I$89,3,0)*VLOOKUP('Données projet'!$B$16,Paramètres!$A$1:$I$89,5,0)</f>
        <v>4.5224624045658861E-14</v>
      </c>
      <c r="FG124" s="13">
        <f t="shared" si="101"/>
        <v>7.4514601661523691E-13</v>
      </c>
      <c r="FH124" s="20">
        <f t="shared" si="76"/>
        <v>1.3765621991510601E-12</v>
      </c>
      <c r="FI124" s="59">
        <f t="shared" si="77"/>
        <v>293.33333333333468</v>
      </c>
      <c r="FJ124" s="59">
        <f ca="1">AVERAGE(OFFSET($FI$3,0,0,'Données projet'!$E$16+1,1))-AVERAGE(OFFSET($H$3,0,0,'Données projet'!$E$16+1,1))</f>
        <v>199.58763537752952</v>
      </c>
      <c r="FK124" s="59">
        <f t="shared" si="102"/>
        <v>242.62852778451929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0.82483989405456848</v>
      </c>
      <c r="FS124" s="21">
        <f>EXP(-LN(2)/2)*FS123+(1-EXP(-LN(2)/2))/(LN(2)/2)*FM124*FP124*VLOOKUP('Données projet'!$B$16,Paramètres!$A$1:$I$89,3,0)*0.475*44/12</f>
        <v>2.1627701346406593E-13</v>
      </c>
      <c r="FT124" s="22">
        <f t="shared" si="78"/>
        <v>0.82483989405478475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5.6843418860808015E-14</v>
      </c>
      <c r="GA124" s="17">
        <f>FZ124*VLOOKUP('Données projet'!$B$17,Paramètres!$A$1:$I$89,3,0)*VLOOKUP('Données projet'!$B$17,Paramètres!$A$1:$I$89,5,0)</f>
        <v>4.1677594708744434E-14</v>
      </c>
      <c r="GB124" s="13">
        <f t="shared" si="103"/>
        <v>6.9326303456159188E-13</v>
      </c>
      <c r="GC124" s="20">
        <f t="shared" si="79"/>
        <v>1.2800215959791691E-12</v>
      </c>
      <c r="GD124" s="59">
        <f t="shared" si="80"/>
        <v>293.33333333333462</v>
      </c>
      <c r="GE124" s="59">
        <f ca="1">AVERAGE(OFFSET($GD$3,0,0,'Données projet'!$E$17+1,1))-AVERAGE(OFFSET($H$3,0,0,'Données projet'!$E$17+1,1))</f>
        <v>178.12968684094687</v>
      </c>
      <c r="GF124" s="59">
        <f t="shared" si="104"/>
        <v>219.36004077210373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0.61672268808149544</v>
      </c>
      <c r="GN124" s="21">
        <f>EXP(-LN(2)/2)*GN123+(1-EXP(-LN(2)/2))/(LN(2)/2)*GH124*GK124*VLOOKUP('Données projet'!$B$17,Paramètres!$A$1:$I$89,3,0)*0.475*44/12</f>
        <v>1.9931411044727627E-13</v>
      </c>
      <c r="GO124" s="21">
        <f t="shared" si="81"/>
        <v>0.61672268808169473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5.6843418860808015E-14</v>
      </c>
      <c r="GV124" s="17">
        <f>GU124*VLOOKUP('Données projet'!$B$18,Paramètres!$A$1:$I$89,3,0)*VLOOKUP('Données projet'!$B$18,Paramètres!$A$1:$I$89,5,0)</f>
        <v>4.5224624045658861E-14</v>
      </c>
      <c r="GW124" s="13">
        <f t="shared" si="105"/>
        <v>7.4514601661523691E-13</v>
      </c>
      <c r="GX124" s="20">
        <f t="shared" si="82"/>
        <v>1.3765621991510601E-12</v>
      </c>
      <c r="GY124" s="59">
        <f t="shared" si="83"/>
        <v>293.33333333333468</v>
      </c>
      <c r="GZ124" s="59">
        <f ca="1">AVERAGE(OFFSET($GY$3,0,0,'Données projet'!$E$18+1,1))-AVERAGE(OFFSET($H$3,0,0,'Données projet'!$E$18+1,1))</f>
        <v>199.58763537752952</v>
      </c>
      <c r="HA124" s="59">
        <f t="shared" si="106"/>
        <v>242.62852778451929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0</v>
      </c>
      <c r="HH124" s="21">
        <f>EXP(-LN(2)/25)*HH123+(1-EXP(-LN(2)/25))/(LN(2)/25)*Calculateur!HC124*Calculateur!HE124*VLOOKUP('Données projet'!$B$18,Paramètres!$A$1:$I$89,3,0)*0.475*44/12</f>
        <v>0.82483989405456848</v>
      </c>
      <c r="HI124" s="21">
        <f>EXP(-LN(2)/2)*HI123+(1-EXP(-LN(2)/2))/(LN(2)/2)*HC124*HF124*VLOOKUP('Données projet'!$B$18,Paramètres!$A$1:$I$89,3,0)*0.475*44/12</f>
        <v>2.1627701346406593E-13</v>
      </c>
      <c r="HJ124" s="22">
        <f t="shared" si="84"/>
        <v>0.82483989405478475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7.1730769230769287</v>
      </c>
      <c r="N125" s="13">
        <f>IF('Données projet'!$A$36&gt;35,N124+M125-V124,IF(A125&lt;'Données projet'!$A$36,$K$205^A125,IF(A125='Données projet'!$A$36,'Données projet'!$B$36,N124+M125-V124)))</f>
        <v>353.47435897435855</v>
      </c>
      <c r="O125" s="13">
        <f>N125*VLOOKUP('Données projet'!$B$9,Paramètres!$A$1:$I$89,3,0)*VLOOKUP('Données projet'!$B$9,Paramètres!$A$1:$I$89,5,0)</f>
        <v>319.8235999999996</v>
      </c>
      <c r="P125" s="13">
        <f t="shared" si="87"/>
        <v>75.316649034447607</v>
      </c>
      <c r="Q125" s="20">
        <f t="shared" si="107"/>
        <v>688.20260040166215</v>
      </c>
      <c r="R125" s="59">
        <f t="shared" si="55"/>
        <v>981.53593373499552</v>
      </c>
      <c r="S125" s="59">
        <f ca="1">AVERAGE(OFFSET($R$3,0,0,'Données projet'!$E$9+1,1))-AVERAGE(OFFSET($H$3,0,0,'Données projet'!$E$9+1,1))</f>
        <v>309.07357540707869</v>
      </c>
      <c r="T125" s="59">
        <f t="shared" si="88"/>
        <v>155.9593924683299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6.0153846153846189</v>
      </c>
      <c r="AI125" s="13">
        <f>IF('Données projet'!$A$62&gt;35,AI124+AH125-AQ124,IF(A125&lt;'Données projet'!$A$62,$AF$205^A125,IF(A125='Données projet'!$A$62,'Données projet'!$B$62,AI124+AH125-AQ124)))</f>
        <v>298.93076923076887</v>
      </c>
      <c r="AJ125" s="13">
        <f>AI125*VLOOKUP('Données projet'!$B$10,Paramètres!$A$1:$I$89,3,0)*VLOOKUP('Données projet'!$B$10,Paramètres!$A$1:$I$89,5,0)</f>
        <v>270.47255999999965</v>
      </c>
      <c r="AK125" s="13">
        <f t="shared" si="89"/>
        <v>64.949548237352346</v>
      </c>
      <c r="AL125" s="20">
        <f t="shared" si="58"/>
        <v>584.19350518005479</v>
      </c>
      <c r="AM125" s="59">
        <f t="shared" si="59"/>
        <v>877.52683851338816</v>
      </c>
      <c r="AN125" s="59">
        <f ca="1">AVERAGE(OFFSET($AM$3,0,0,'Données projet'!$E$10+1,1))-AVERAGE(OFFSET($H$3,0,0,'Données projet'!$E$10+1,1))</f>
        <v>234.30804102916278</v>
      </c>
      <c r="AO125" s="59">
        <f t="shared" si="90"/>
        <v>91.137993288782411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3.4106051316484809E-13</v>
      </c>
      <c r="BE125" s="13">
        <f>BD125*VLOOKUP('Données projet'!$B$11,Paramètres!$A$1:$I$89,3,0)*VLOOKUP('Données projet'!$B$11,Paramètres!$A$1:$I$89,5,0)</f>
        <v>1.5961632016114892E-13</v>
      </c>
      <c r="BF125" s="13">
        <f t="shared" si="91"/>
        <v>2.2708641912150958E-12</v>
      </c>
      <c r="BG125" s="20">
        <f t="shared" si="61"/>
        <v>4.2330868906469593E-12</v>
      </c>
      <c r="BH125" s="59">
        <f t="shared" si="62"/>
        <v>293.33333333333752</v>
      </c>
      <c r="BI125" s="59">
        <f ca="1">AVERAGE(OFFSET($BH$3,0,0,'Données projet'!$E$11+1,1))-AVERAGE(OFFSET($H$3,0,0,'Données projet'!$E$11+1,1))</f>
        <v>158.58786357608489</v>
      </c>
      <c r="BJ125" s="59">
        <f t="shared" si="92"/>
        <v>163.20074068819849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4.9084615384615375</v>
      </c>
      <c r="BY125" s="12">
        <f>IF('Données projet'!$A$114&gt;35,BY124+BX125-CG124,IF(A125&lt;'Données projet'!$A$114,$BV$205^A125,IF(A125='Données projet'!$A$114,'Données projet'!$B$114,BY124+BX125-CG124)))</f>
        <v>215.43923076923122</v>
      </c>
      <c r="BZ125" s="13">
        <f>BY125*VLOOKUP('Données projet'!$B$12,Paramètres!$A$1:$I$89,3,0)*VLOOKUP('Données projet'!$B$12,Paramètres!$A$1:$I$89,5,0)</f>
        <v>100.82556000000021</v>
      </c>
      <c r="CA125" s="13">
        <f t="shared" si="93"/>
        <v>27.158581624033953</v>
      </c>
      <c r="CB125" s="20">
        <f t="shared" si="64"/>
        <v>222.90571332852619</v>
      </c>
      <c r="CC125" s="59">
        <f t="shared" si="65"/>
        <v>516.23904666185945</v>
      </c>
      <c r="CD125" s="59">
        <f ca="1">AVERAGE(OFFSET($CC$3,0,0,'Données projet'!$E$12+1,1))-AVERAGE(OFFSET($H$3,0,0,'Données projet'!$E$12+1,1))</f>
        <v>123.2823358462245</v>
      </c>
      <c r="CE125" s="59">
        <f t="shared" si="94"/>
        <v>92.75115399786057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-2.8421709430404007E-13</v>
      </c>
      <c r="CU125" s="17">
        <f>CT125*VLOOKUP('Données projet'!$B$13,Paramètres!$A$1:$I$89,3,0)*VLOOKUP('Données projet'!$B$13,Paramètres!$A$1:$I$89,5,0)</f>
        <v>-1.69961822393816E-13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179.32848817523677</v>
      </c>
      <c r="CZ125" s="59">
        <f t="shared" si="96"/>
        <v>131.3292389103035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1.0283184133515997</v>
      </c>
      <c r="DH125" s="21">
        <f>EXP(-LN(2)/2)*DH124+(1-EXP(-LN(2)/2))/(LN(2)/2)*DB125*DE125*VLOOKUP('Données projet'!$B$13,Paramètres!$A$1:$I$89,3,0)*0.475*44/12</f>
        <v>7.47898721051206E-14</v>
      </c>
      <c r="DI125" s="22">
        <f t="shared" si="69"/>
        <v>1.0283184133516745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7.1730769230769287</v>
      </c>
      <c r="DO125" s="12">
        <f>IF('Données projet'!$A$166&gt;35,DO124+DN125-DW124,IF(A125&lt;'Données projet'!$A$166,$DL$205^A125,IF(A125='Données projet'!$A$166,'Données projet'!$B$166,DO124+DN125-DW124)))</f>
        <v>353.47435897435855</v>
      </c>
      <c r="DP125" s="17">
        <f>DO125*VLOOKUP('Données projet'!$B$14,Paramètres!$A$1:$I$89,3,0)*VLOOKUP('Données projet'!$B$14,Paramètres!$A$1:$I$89,5,0)</f>
        <v>341.88039999999955</v>
      </c>
      <c r="DQ125" s="13">
        <f t="shared" si="97"/>
        <v>79.888324172590799</v>
      </c>
      <c r="DR125" s="20">
        <f t="shared" si="70"/>
        <v>734.58052793392801</v>
      </c>
      <c r="DS125" s="59">
        <f t="shared" si="71"/>
        <v>1027.9138612672614</v>
      </c>
      <c r="DT125" s="59">
        <f ca="1">AVERAGE(OFFSET($DS$3,0,0,'Données projet'!$E$14+1,1))-AVERAGE(OFFSET($H$3,0,0,'Données projet'!$E$14+1,1))</f>
        <v>340.4659523898373</v>
      </c>
      <c r="DU125" s="59">
        <f t="shared" si="98"/>
        <v>170.54530785680572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6.0153846153846189</v>
      </c>
      <c r="EJ125" s="12">
        <f>IF('Données projet'!$A$192&gt;35,EJ124+EI125-ER124,IF(A125&lt;'Données projet'!$A$192,$EG$205^A125,IF(A125='Données projet'!$A$192,'Données projet'!$B$192,EJ124+EI125-ER124)))</f>
        <v>298.93076923076887</v>
      </c>
      <c r="EK125" s="17">
        <f>EJ125*VLOOKUP('Données projet'!$B$15,Paramètres!$A$1:$I$89,3,0)*VLOOKUP('Données projet'!$B$15,Paramètres!$A$1:$I$89,5,0)</f>
        <v>289.12583999999964</v>
      </c>
      <c r="EL125" s="13">
        <f t="shared" si="99"/>
        <v>68.891946614297325</v>
      </c>
      <c r="EM125" s="20">
        <f t="shared" si="73"/>
        <v>623.54764501990053</v>
      </c>
      <c r="EN125" s="59">
        <f t="shared" si="74"/>
        <v>916.88097835323379</v>
      </c>
      <c r="EO125" s="59">
        <f ca="1">AVERAGE(OFFSET($EN$3,0,0,'Données projet'!$E$15+1,1))-AVERAGE(OFFSET($H$3,0,0,'Données projet'!$E$15+1,1))</f>
        <v>262.20955982183017</v>
      </c>
      <c r="EP125" s="59">
        <f t="shared" si="100"/>
        <v>101.35842063036193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5.6843418860808015E-14</v>
      </c>
      <c r="FF125" s="17">
        <f>FE125*VLOOKUP('Données projet'!$B$16,Paramètres!$A$1:$I$89,3,0)*VLOOKUP('Données projet'!$B$16,Paramètres!$A$1:$I$89,5,0)</f>
        <v>4.5224624045658861E-14</v>
      </c>
      <c r="FG125" s="13">
        <f t="shared" si="101"/>
        <v>7.4514601661523691E-13</v>
      </c>
      <c r="FH125" s="20">
        <f t="shared" si="76"/>
        <v>1.3765621991510601E-12</v>
      </c>
      <c r="FI125" s="59">
        <f t="shared" si="77"/>
        <v>293.33333333333468</v>
      </c>
      <c r="FJ125" s="59">
        <f ca="1">AVERAGE(OFFSET($FI$3,0,0,'Données projet'!$E$16+1,1))-AVERAGE(OFFSET($H$3,0,0,'Données projet'!$E$16+1,1))</f>
        <v>199.58763537752952</v>
      </c>
      <c r="FK125" s="59">
        <f t="shared" si="102"/>
        <v>242.62852778451929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0.8022846037752015</v>
      </c>
      <c r="FS125" s="21">
        <f>EXP(-LN(2)/2)*FS124+(1-EXP(-LN(2)/2))/(LN(2)/2)*FM125*FP125*VLOOKUP('Données projet'!$B$16,Paramètres!$A$1:$I$89,3,0)*0.475*44/12</f>
        <v>1.5293094283521526E-13</v>
      </c>
      <c r="FT125" s="22">
        <f t="shared" si="78"/>
        <v>0.80228460377535438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5.6843418860808015E-14</v>
      </c>
      <c r="GA125" s="17">
        <f>FZ125*VLOOKUP('Données projet'!$B$17,Paramètres!$A$1:$I$89,3,0)*VLOOKUP('Données projet'!$B$17,Paramètres!$A$1:$I$89,5,0)</f>
        <v>4.1677594708744434E-14</v>
      </c>
      <c r="GB125" s="13">
        <f t="shared" si="103"/>
        <v>6.9326303456159188E-13</v>
      </c>
      <c r="GC125" s="20">
        <f t="shared" si="79"/>
        <v>1.2800215959791691E-12</v>
      </c>
      <c r="GD125" s="59">
        <f t="shared" si="80"/>
        <v>293.33333333333462</v>
      </c>
      <c r="GE125" s="59">
        <f ca="1">AVERAGE(OFFSET($GD$3,0,0,'Données projet'!$E$17+1,1))-AVERAGE(OFFSET($H$3,0,0,'Données projet'!$E$17+1,1))</f>
        <v>178.12968684094687</v>
      </c>
      <c r="GF125" s="59">
        <f t="shared" si="104"/>
        <v>219.36004077210373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0.5998583737438703</v>
      </c>
      <c r="GN125" s="21">
        <f>EXP(-LN(2)/2)*GN124+(1-EXP(-LN(2)/2))/(LN(2)/2)*GH125*GK125*VLOOKUP('Données projet'!$B$17,Paramètres!$A$1:$I$89,3,0)*0.475*44/12</f>
        <v>1.4093635908343355E-13</v>
      </c>
      <c r="GO125" s="21">
        <f t="shared" si="81"/>
        <v>0.59985837374401119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5.6843418860808015E-14</v>
      </c>
      <c r="GV125" s="17">
        <f>GU125*VLOOKUP('Données projet'!$B$18,Paramètres!$A$1:$I$89,3,0)*VLOOKUP('Données projet'!$B$18,Paramètres!$A$1:$I$89,5,0)</f>
        <v>4.5224624045658861E-14</v>
      </c>
      <c r="GW125" s="13">
        <f t="shared" si="105"/>
        <v>7.4514601661523691E-13</v>
      </c>
      <c r="GX125" s="20">
        <f t="shared" si="82"/>
        <v>1.3765621991510601E-12</v>
      </c>
      <c r="GY125" s="59">
        <f t="shared" si="83"/>
        <v>293.33333333333468</v>
      </c>
      <c r="GZ125" s="59">
        <f ca="1">AVERAGE(OFFSET($GY$3,0,0,'Données projet'!$E$18+1,1))-AVERAGE(OFFSET($H$3,0,0,'Données projet'!$E$18+1,1))</f>
        <v>199.58763537752952</v>
      </c>
      <c r="HA125" s="59">
        <f t="shared" si="106"/>
        <v>242.62852778451929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0</v>
      </c>
      <c r="HH125" s="21">
        <f>EXP(-LN(2)/25)*HH124+(1-EXP(-LN(2)/25))/(LN(2)/25)*Calculateur!HC125*Calculateur!HE125*VLOOKUP('Données projet'!$B$18,Paramètres!$A$1:$I$89,3,0)*0.475*44/12</f>
        <v>0.8022846037752015</v>
      </c>
      <c r="HI125" s="21">
        <f>EXP(-LN(2)/2)*HI124+(1-EXP(-LN(2)/2))/(LN(2)/2)*HC125*HF125*VLOOKUP('Données projet'!$B$18,Paramètres!$A$1:$I$89,3,0)*0.475*44/12</f>
        <v>1.5293094283521526E-13</v>
      </c>
      <c r="HJ125" s="22">
        <f t="shared" si="84"/>
        <v>0.80228460377535438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7.1730769230769287</v>
      </c>
      <c r="N126" s="13">
        <f>IF('Données projet'!$A$36&gt;35,N125+M126-V125,IF(A126&lt;'Données projet'!$A$36,$K$205^A126,IF(A126='Données projet'!$A$36,'Données projet'!$B$36,N125+M126-V125)))</f>
        <v>360.64743589743546</v>
      </c>
      <c r="O126" s="13">
        <f>N126*VLOOKUP('Données projet'!$B$9,Paramètres!$A$1:$I$89,3,0)*VLOOKUP('Données projet'!$B$9,Paramètres!$A$1:$I$89,5,0)</f>
        <v>326.31379999999962</v>
      </c>
      <c r="P126" s="13">
        <f t="shared" si="87"/>
        <v>76.665564943323318</v>
      </c>
      <c r="Q126" s="20">
        <f t="shared" si="107"/>
        <v>701.85572727628733</v>
      </c>
      <c r="R126" s="59">
        <f t="shared" si="55"/>
        <v>995.18906060962058</v>
      </c>
      <c r="S126" s="59">
        <f ca="1">AVERAGE(OFFSET($R$3,0,0,'Données projet'!$E$9+1,1))-AVERAGE(OFFSET($H$3,0,0,'Données projet'!$E$9+1,1))</f>
        <v>309.07357540707869</v>
      </c>
      <c r="T126" s="59">
        <f t="shared" si="88"/>
        <v>155.9593924683299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6.0153846153846189</v>
      </c>
      <c r="AI126" s="13">
        <f>IF('Données projet'!$A$62&gt;35,AI125+AH126-AQ125,IF(A126&lt;'Données projet'!$A$62,$AF$205^A126,IF(A126='Données projet'!$A$62,'Données projet'!$B$62,AI125+AH126-AQ125)))</f>
        <v>304.94615384615349</v>
      </c>
      <c r="AJ126" s="13">
        <f>AI126*VLOOKUP('Données projet'!$B$10,Paramètres!$A$1:$I$89,3,0)*VLOOKUP('Données projet'!$B$10,Paramètres!$A$1:$I$89,5,0)</f>
        <v>275.91527999999965</v>
      </c>
      <c r="AK126" s="13">
        <f t="shared" si="89"/>
        <v>66.103053207798141</v>
      </c>
      <c r="AL126" s="20">
        <f t="shared" si="58"/>
        <v>595.68193033691455</v>
      </c>
      <c r="AM126" s="59">
        <f t="shared" si="59"/>
        <v>889.0152636702478</v>
      </c>
      <c r="AN126" s="59">
        <f ca="1">AVERAGE(OFFSET($AM$3,0,0,'Données projet'!$E$10+1,1))-AVERAGE(OFFSET($H$3,0,0,'Données projet'!$E$10+1,1))</f>
        <v>234.30804102916278</v>
      </c>
      <c r="AO126" s="59">
        <f t="shared" si="90"/>
        <v>91.137993288782411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3.4106051316484809E-13</v>
      </c>
      <c r="BE126" s="13">
        <f>BD126*VLOOKUP('Données projet'!$B$11,Paramètres!$A$1:$I$89,3,0)*VLOOKUP('Données projet'!$B$11,Paramètres!$A$1:$I$89,5,0)</f>
        <v>1.5961632016114892E-13</v>
      </c>
      <c r="BF126" s="13">
        <f t="shared" si="91"/>
        <v>2.2708641912150958E-12</v>
      </c>
      <c r="BG126" s="20">
        <f t="shared" si="61"/>
        <v>4.2330868906469593E-12</v>
      </c>
      <c r="BH126" s="59">
        <f t="shared" si="62"/>
        <v>293.33333333333752</v>
      </c>
      <c r="BI126" s="59">
        <f ca="1">AVERAGE(OFFSET($BH$3,0,0,'Données projet'!$E$11+1,1))-AVERAGE(OFFSET($H$3,0,0,'Données projet'!$E$11+1,1))</f>
        <v>158.58786357608489</v>
      </c>
      <c r="BJ126" s="59">
        <f t="shared" si="92"/>
        <v>163.20074068819849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4.9084615384615375</v>
      </c>
      <c r="BY126" s="12">
        <f>IF('Données projet'!$A$114&gt;35,BY125+BX126-CG125,IF(A126&lt;'Données projet'!$A$114,$BV$205^A126,IF(A126='Données projet'!$A$114,'Données projet'!$B$114,BY125+BX126-CG125)))</f>
        <v>220.34769230769274</v>
      </c>
      <c r="BZ126" s="13">
        <f>BY126*VLOOKUP('Données projet'!$B$12,Paramètres!$A$1:$I$89,3,0)*VLOOKUP('Données projet'!$B$12,Paramètres!$A$1:$I$89,5,0)</f>
        <v>103.12272000000021</v>
      </c>
      <c r="CA126" s="13">
        <f t="shared" si="93"/>
        <v>27.7046059215917</v>
      </c>
      <c r="CB126" s="20">
        <f t="shared" si="64"/>
        <v>227.85759264677259</v>
      </c>
      <c r="CC126" s="59">
        <f t="shared" si="65"/>
        <v>521.19092598010593</v>
      </c>
      <c r="CD126" s="59">
        <f ca="1">AVERAGE(OFFSET($CC$3,0,0,'Données projet'!$E$12+1,1))-AVERAGE(OFFSET($H$3,0,0,'Données projet'!$E$12+1,1))</f>
        <v>123.2823358462245</v>
      </c>
      <c r="CE126" s="59">
        <f t="shared" si="94"/>
        <v>92.75115399786057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-2.8421709430404007E-13</v>
      </c>
      <c r="CU126" s="17">
        <f>CT126*VLOOKUP('Données projet'!$B$13,Paramètres!$A$1:$I$89,3,0)*VLOOKUP('Données projet'!$B$13,Paramètres!$A$1:$I$89,5,0)</f>
        <v>-1.69961822393816E-13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179.32848817523677</v>
      </c>
      <c r="CZ126" s="59">
        <f t="shared" si="96"/>
        <v>131.3292389103035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1.000198992261585</v>
      </c>
      <c r="DH126" s="21">
        <f>EXP(-LN(2)/2)*DH125+(1-EXP(-LN(2)/2))/(LN(2)/2)*DB126*DE126*VLOOKUP('Données projet'!$B$13,Paramètres!$A$1:$I$89,3,0)*0.475*44/12</f>
        <v>5.2884425729605387E-14</v>
      </c>
      <c r="DI126" s="22">
        <f t="shared" si="69"/>
        <v>1.0001989922616379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7.1730769230769287</v>
      </c>
      <c r="DO126" s="12">
        <f>IF('Données projet'!$A$166&gt;35,DO125+DN126-DW125,IF(A126&lt;'Données projet'!$A$166,$DL$205^A126,IF(A126='Données projet'!$A$166,'Données projet'!$B$166,DO125+DN126-DW125)))</f>
        <v>360.64743589743546</v>
      </c>
      <c r="DP126" s="17">
        <f>DO126*VLOOKUP('Données projet'!$B$14,Paramètres!$A$1:$I$89,3,0)*VLOOKUP('Données projet'!$B$14,Paramètres!$A$1:$I$89,5,0)</f>
        <v>348.81819999999959</v>
      </c>
      <c r="DQ126" s="13">
        <f t="shared" si="97"/>
        <v>81.319118462981237</v>
      </c>
      <c r="DR126" s="20">
        <f t="shared" si="70"/>
        <v>749.15582965635815</v>
      </c>
      <c r="DS126" s="59">
        <f t="shared" si="71"/>
        <v>1042.4891629896915</v>
      </c>
      <c r="DT126" s="59">
        <f ca="1">AVERAGE(OFFSET($DS$3,0,0,'Données projet'!$E$14+1,1))-AVERAGE(OFFSET($H$3,0,0,'Données projet'!$E$14+1,1))</f>
        <v>340.4659523898373</v>
      </c>
      <c r="DU126" s="59">
        <f t="shared" si="98"/>
        <v>170.54530785680572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6.0153846153846189</v>
      </c>
      <c r="EJ126" s="12">
        <f>IF('Données projet'!$A$192&gt;35,EJ125+EI126-ER125,IF(A126&lt;'Données projet'!$A$192,$EG$205^A126,IF(A126='Données projet'!$A$192,'Données projet'!$B$192,EJ125+EI126-ER125)))</f>
        <v>304.94615384615349</v>
      </c>
      <c r="EK126" s="17">
        <f>EJ126*VLOOKUP('Données projet'!$B$15,Paramètres!$A$1:$I$89,3,0)*VLOOKUP('Données projet'!$B$15,Paramètres!$A$1:$I$89,5,0)</f>
        <v>294.94391999999971</v>
      </c>
      <c r="EL126" s="13">
        <f t="shared" si="99"/>
        <v>70.115468640237651</v>
      </c>
      <c r="EM126" s="20">
        <f t="shared" si="73"/>
        <v>635.8117685484134</v>
      </c>
      <c r="EN126" s="59">
        <f t="shared" si="74"/>
        <v>929.14510188174677</v>
      </c>
      <c r="EO126" s="59">
        <f ca="1">AVERAGE(OFFSET($EN$3,0,0,'Données projet'!$E$15+1,1))-AVERAGE(OFFSET($H$3,0,0,'Données projet'!$E$15+1,1))</f>
        <v>262.20955982183017</v>
      </c>
      <c r="EP126" s="59">
        <f t="shared" si="100"/>
        <v>101.35842063036193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5.6843418860808015E-14</v>
      </c>
      <c r="FF126" s="17">
        <f>FE126*VLOOKUP('Données projet'!$B$16,Paramètres!$A$1:$I$89,3,0)*VLOOKUP('Données projet'!$B$16,Paramètres!$A$1:$I$89,5,0)</f>
        <v>4.5224624045658861E-14</v>
      </c>
      <c r="FG126" s="13">
        <f t="shared" si="101"/>
        <v>7.4514601661523691E-13</v>
      </c>
      <c r="FH126" s="20">
        <f t="shared" si="76"/>
        <v>1.3765621991510601E-12</v>
      </c>
      <c r="FI126" s="59">
        <f t="shared" si="77"/>
        <v>293.33333333333468</v>
      </c>
      <c r="FJ126" s="59">
        <f ca="1">AVERAGE(OFFSET($FI$3,0,0,'Données projet'!$E$16+1,1))-AVERAGE(OFFSET($H$3,0,0,'Données projet'!$E$16+1,1))</f>
        <v>199.58763537752952</v>
      </c>
      <c r="FK126" s="59">
        <f t="shared" si="102"/>
        <v>242.62852778451929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0.78034608909465497</v>
      </c>
      <c r="FS126" s="21">
        <f>EXP(-LN(2)/2)*FS125+(1-EXP(-LN(2)/2))/(LN(2)/2)*FM126*FP126*VLOOKUP('Données projet'!$B$16,Paramètres!$A$1:$I$89,3,0)*0.475*44/12</f>
        <v>1.0813850673203297E-13</v>
      </c>
      <c r="FT126" s="22">
        <f t="shared" si="78"/>
        <v>0.78034608909476311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5.6843418860808015E-14</v>
      </c>
      <c r="GA126" s="17">
        <f>FZ126*VLOOKUP('Données projet'!$B$17,Paramètres!$A$1:$I$89,3,0)*VLOOKUP('Données projet'!$B$17,Paramètres!$A$1:$I$89,5,0)</f>
        <v>4.1677594708744434E-14</v>
      </c>
      <c r="GB126" s="13">
        <f t="shared" si="103"/>
        <v>6.9326303456159188E-13</v>
      </c>
      <c r="GC126" s="20">
        <f t="shared" si="79"/>
        <v>1.2800215959791691E-12</v>
      </c>
      <c r="GD126" s="59">
        <f t="shared" si="80"/>
        <v>293.33333333333462</v>
      </c>
      <c r="GE126" s="59">
        <f ca="1">AVERAGE(OFFSET($GD$3,0,0,'Données projet'!$E$17+1,1))-AVERAGE(OFFSET($H$3,0,0,'Données projet'!$E$17+1,1))</f>
        <v>178.12968684094687</v>
      </c>
      <c r="GF126" s="59">
        <f t="shared" si="104"/>
        <v>219.36004077210373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0.58345521496866326</v>
      </c>
      <c r="GN126" s="21">
        <f>EXP(-LN(2)/2)*GN125+(1-EXP(-LN(2)/2))/(LN(2)/2)*GH126*GK126*VLOOKUP('Données projet'!$B$17,Paramètres!$A$1:$I$89,3,0)*0.475*44/12</f>
        <v>9.9657055223638137E-14</v>
      </c>
      <c r="GO126" s="21">
        <f t="shared" si="81"/>
        <v>0.58345521496876296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5.6843418860808015E-14</v>
      </c>
      <c r="GV126" s="17">
        <f>GU126*VLOOKUP('Données projet'!$B$18,Paramètres!$A$1:$I$89,3,0)*VLOOKUP('Données projet'!$B$18,Paramètres!$A$1:$I$89,5,0)</f>
        <v>4.5224624045658861E-14</v>
      </c>
      <c r="GW126" s="13">
        <f t="shared" si="105"/>
        <v>7.4514601661523691E-13</v>
      </c>
      <c r="GX126" s="20">
        <f t="shared" si="82"/>
        <v>1.3765621991510601E-12</v>
      </c>
      <c r="GY126" s="59">
        <f t="shared" si="83"/>
        <v>293.33333333333468</v>
      </c>
      <c r="GZ126" s="59">
        <f ca="1">AVERAGE(OFFSET($GY$3,0,0,'Données projet'!$E$18+1,1))-AVERAGE(OFFSET($H$3,0,0,'Données projet'!$E$18+1,1))</f>
        <v>199.58763537752952</v>
      </c>
      <c r="HA126" s="59">
        <f t="shared" si="106"/>
        <v>242.62852778451929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0</v>
      </c>
      <c r="HH126" s="21">
        <f>EXP(-LN(2)/25)*HH125+(1-EXP(-LN(2)/25))/(LN(2)/25)*Calculateur!HC126*Calculateur!HE126*VLOOKUP('Données projet'!$B$18,Paramètres!$A$1:$I$89,3,0)*0.475*44/12</f>
        <v>0.78034608909465497</v>
      </c>
      <c r="HI126" s="21">
        <f>EXP(-LN(2)/2)*HI125+(1-EXP(-LN(2)/2))/(LN(2)/2)*HC126*HF126*VLOOKUP('Données projet'!$B$18,Paramètres!$A$1:$I$89,3,0)*0.475*44/12</f>
        <v>1.0813850673203297E-13</v>
      </c>
      <c r="HJ126" s="22">
        <f t="shared" si="84"/>
        <v>0.78034608909476311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7.1730769230769287</v>
      </c>
      <c r="N127" s="13">
        <f>IF('Données projet'!$A$36&gt;35,N126+M127-V126,IF(A127&lt;'Données projet'!$A$36,$K$205^A127,IF(A127='Données projet'!$A$36,'Données projet'!$B$36,N126+M127-V126)))</f>
        <v>367.82051282051236</v>
      </c>
      <c r="O127" s="13">
        <f>N127*VLOOKUP('Données projet'!$B$9,Paramètres!$A$1:$I$89,3,0)*VLOOKUP('Données projet'!$B$9,Paramètres!$A$1:$I$89,5,0)</f>
        <v>332.80399999999958</v>
      </c>
      <c r="P127" s="13">
        <f t="shared" si="87"/>
        <v>78.011361329585995</v>
      </c>
      <c r="Q127" s="20">
        <f t="shared" si="107"/>
        <v>715.50342098236149</v>
      </c>
      <c r="R127" s="59">
        <f t="shared" si="55"/>
        <v>1008.8367543156949</v>
      </c>
      <c r="S127" s="59">
        <f ca="1">AVERAGE(OFFSET($R$3,0,0,'Données projet'!$E$9+1,1))-AVERAGE(OFFSET($H$3,0,0,'Données projet'!$E$9+1,1))</f>
        <v>309.07357540707869</v>
      </c>
      <c r="T127" s="59">
        <f t="shared" si="88"/>
        <v>155.9593924683299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310.96153846153845</v>
      </c>
      <c r="AG127" s="12">
        <f>VLOOKUP(A127,'Données projet'!$A$61:$I$81,9,0)</f>
        <v>6.0153846153846189</v>
      </c>
      <c r="AH127" s="12">
        <f t="array" ref="AH127">INDEX(AG:AG,MIN(IF(ISNUMBER(AG127:AG323),ROW(AG127:AG323),"")))</f>
        <v>6.0153846153846189</v>
      </c>
      <c r="AI127" s="13">
        <f>IF('Données projet'!$A$62&gt;35,AI126+AH127-AQ126,IF(A127&lt;'Données projet'!$A$62,$AF$205^A127,IF(A127='Données projet'!$A$62,'Données projet'!$B$62,AI126+AH127-AQ126)))</f>
        <v>310.96153846153811</v>
      </c>
      <c r="AJ127" s="13">
        <f>AI127*VLOOKUP('Données projet'!$B$10,Paramètres!$A$1:$I$89,3,0)*VLOOKUP('Données projet'!$B$10,Paramètres!$A$1:$I$89,5,0)</f>
        <v>281.35799999999972</v>
      </c>
      <c r="AK127" s="13">
        <f t="shared" si="89"/>
        <v>67.253912457721626</v>
      </c>
      <c r="AL127" s="20">
        <f t="shared" si="58"/>
        <v>607.16574753053135</v>
      </c>
      <c r="AM127" s="59">
        <f t="shared" si="59"/>
        <v>900.49908086386472</v>
      </c>
      <c r="AN127" s="59">
        <f ca="1">AVERAGE(OFFSET($AM$3,0,0,'Données projet'!$E$10+1,1))-AVERAGE(OFFSET($H$3,0,0,'Données projet'!$E$10+1,1))</f>
        <v>234.30804102916278</v>
      </c>
      <c r="AO127" s="59">
        <f t="shared" si="90"/>
        <v>91.137993288782411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39.820512820512818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3.4106051316484809E-13</v>
      </c>
      <c r="BE127" s="13">
        <f>BD127*VLOOKUP('Données projet'!$B$11,Paramètres!$A$1:$I$89,3,0)*VLOOKUP('Données projet'!$B$11,Paramètres!$A$1:$I$89,5,0)</f>
        <v>1.5961632016114892E-13</v>
      </c>
      <c r="BF127" s="13">
        <f t="shared" si="91"/>
        <v>2.2708641912150958E-12</v>
      </c>
      <c r="BG127" s="20">
        <f t="shared" si="61"/>
        <v>4.2330868906469593E-12</v>
      </c>
      <c r="BH127" s="59">
        <f t="shared" si="62"/>
        <v>293.33333333333752</v>
      </c>
      <c r="BI127" s="59">
        <f ca="1">AVERAGE(OFFSET($BH$3,0,0,'Données projet'!$E$11+1,1))-AVERAGE(OFFSET($H$3,0,0,'Données projet'!$E$11+1,1))</f>
        <v>158.58786357608489</v>
      </c>
      <c r="BJ127" s="59">
        <f t="shared" si="92"/>
        <v>163.20074068819849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4.9084615384615375</v>
      </c>
      <c r="BY127" s="12">
        <f>IF('Données projet'!$A$114&gt;35,BY126+BX127-CG126,IF(A127&lt;'Données projet'!$A$114,$BV$205^A127,IF(A127='Données projet'!$A$114,'Données projet'!$B$114,BY126+BX127-CG126)))</f>
        <v>225.25615384615429</v>
      </c>
      <c r="BZ127" s="13">
        <f>BY127*VLOOKUP('Données projet'!$B$12,Paramètres!$A$1:$I$89,3,0)*VLOOKUP('Données projet'!$B$12,Paramètres!$A$1:$I$89,5,0)</f>
        <v>105.41988000000021</v>
      </c>
      <c r="CA127" s="13">
        <f t="shared" si="93"/>
        <v>28.249216129722367</v>
      </c>
      <c r="CB127" s="20">
        <f t="shared" si="64"/>
        <v>232.80700909260011</v>
      </c>
      <c r="CC127" s="59">
        <f t="shared" si="65"/>
        <v>526.14034242593345</v>
      </c>
      <c r="CD127" s="59">
        <f ca="1">AVERAGE(OFFSET($CC$3,0,0,'Données projet'!$E$12+1,1))-AVERAGE(OFFSET($H$3,0,0,'Données projet'!$E$12+1,1))</f>
        <v>123.2823358462245</v>
      </c>
      <c r="CE127" s="59">
        <f t="shared" si="94"/>
        <v>92.75115399786057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-2.8421709430404007E-13</v>
      </c>
      <c r="CU127" s="17">
        <f>CT127*VLOOKUP('Données projet'!$B$13,Paramètres!$A$1:$I$89,3,0)*VLOOKUP('Données projet'!$B$13,Paramètres!$A$1:$I$89,5,0)</f>
        <v>-1.69961822393816E-13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179.32848817523677</v>
      </c>
      <c r="CZ127" s="59">
        <f t="shared" si="96"/>
        <v>131.3292389103035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0.97284849822001296</v>
      </c>
      <c r="DH127" s="21">
        <f>EXP(-LN(2)/2)*DH126+(1-EXP(-LN(2)/2))/(LN(2)/2)*DB127*DE127*VLOOKUP('Données projet'!$B$13,Paramètres!$A$1:$I$89,3,0)*0.475*44/12</f>
        <v>3.73949360525603E-14</v>
      </c>
      <c r="DI127" s="22">
        <f t="shared" si="69"/>
        <v>0.97284849822005037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7.1730769230769287</v>
      </c>
      <c r="DO127" s="12">
        <f>IF('Données projet'!$A$166&gt;35,DO126+DN127-DW126,IF(A127&lt;'Données projet'!$A$166,$DL$205^A127,IF(A127='Données projet'!$A$166,'Données projet'!$B$166,DO126+DN127-DW126)))</f>
        <v>367.82051282051236</v>
      </c>
      <c r="DP127" s="17">
        <f>DO127*VLOOKUP('Données projet'!$B$14,Paramètres!$A$1:$I$89,3,0)*VLOOKUP('Données projet'!$B$14,Paramètres!$A$1:$I$89,5,0)</f>
        <v>355.75599999999957</v>
      </c>
      <c r="DQ127" s="13">
        <f t="shared" si="97"/>
        <v>82.746603877618853</v>
      </c>
      <c r="DR127" s="20">
        <f t="shared" si="70"/>
        <v>763.72536842018542</v>
      </c>
      <c r="DS127" s="59">
        <f t="shared" si="71"/>
        <v>1057.0587017535188</v>
      </c>
      <c r="DT127" s="59">
        <f ca="1">AVERAGE(OFFSET($DS$3,0,0,'Données projet'!$E$14+1,1))-AVERAGE(OFFSET($H$3,0,0,'Données projet'!$E$14+1,1))</f>
        <v>340.4659523898373</v>
      </c>
      <c r="DU127" s="59">
        <f t="shared" si="98"/>
        <v>170.54530785680572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>
        <f>VLOOKUP(A127,'Données projet'!$A$191:$I$211,2,0)</f>
        <v>310.96153846153845</v>
      </c>
      <c r="EH127" s="12">
        <f>VLOOKUP(A127,'Données projet'!$A$191:$I$211,9,0)</f>
        <v>6.0153846153846189</v>
      </c>
      <c r="EI127" s="12">
        <f t="array" ref="EI127">INDEX(EH:EH,MIN(IF(ISNUMBER(EH127:EH323),ROW(EH127:EH323),"")))</f>
        <v>6.0153846153846189</v>
      </c>
      <c r="EJ127" s="12">
        <f>IF('Données projet'!$A$192&gt;35,EJ126+EI127-ER126,IF(A127&lt;'Données projet'!$A$192,$EG$205^A127,IF(A127='Données projet'!$A$192,'Données projet'!$B$192,EJ126+EI127-ER126)))</f>
        <v>310.96153846153811</v>
      </c>
      <c r="EK127" s="17">
        <f>EJ127*VLOOKUP('Données projet'!$B$15,Paramètres!$A$1:$I$89,3,0)*VLOOKUP('Données projet'!$B$15,Paramètres!$A$1:$I$89,5,0)</f>
        <v>300.76199999999966</v>
      </c>
      <c r="EL127" s="13">
        <f t="shared" si="99"/>
        <v>71.336184352016886</v>
      </c>
      <c r="EM127" s="20">
        <f t="shared" si="73"/>
        <v>648.07100441309547</v>
      </c>
      <c r="EN127" s="59">
        <f t="shared" si="74"/>
        <v>941.40433774642884</v>
      </c>
      <c r="EO127" s="59">
        <f ca="1">AVERAGE(OFFSET($EN$3,0,0,'Données projet'!$E$15+1,1))-AVERAGE(OFFSET($H$3,0,0,'Données projet'!$E$15+1,1))</f>
        <v>262.20955982183017</v>
      </c>
      <c r="EP127" s="59">
        <f t="shared" si="100"/>
        <v>101.35842063036193</v>
      </c>
      <c r="EQ127" s="15">
        <f>IF(ISNA(VLOOKUP(A127,'Données projet'!$A$191:$I$211,3,0)),0,VLOOKUP(A127,'Données projet'!$A$191:$I$211,3,0))</f>
        <v>10</v>
      </c>
      <c r="ER127" s="15">
        <f>IF(ISNA(VLOOKUP(A127,'Données projet'!$A$191:$I$211,4,0)),0,VLOOKUP(A127,'Données projet'!$A$191:$I$211,4,0))</f>
        <v>39.820512820512818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5.6843418860808015E-14</v>
      </c>
      <c r="FF127" s="17">
        <f>FE127*VLOOKUP('Données projet'!$B$16,Paramètres!$A$1:$I$89,3,0)*VLOOKUP('Données projet'!$B$16,Paramètres!$A$1:$I$89,5,0)</f>
        <v>4.5224624045658861E-14</v>
      </c>
      <c r="FG127" s="13">
        <f t="shared" si="101"/>
        <v>7.4514601661523691E-13</v>
      </c>
      <c r="FH127" s="20">
        <f t="shared" si="76"/>
        <v>1.3765621991510601E-12</v>
      </c>
      <c r="FI127" s="59">
        <f t="shared" si="77"/>
        <v>293.33333333333468</v>
      </c>
      <c r="FJ127" s="59">
        <f ca="1">AVERAGE(OFFSET($FI$3,0,0,'Données projet'!$E$16+1,1))-AVERAGE(OFFSET($H$3,0,0,'Données projet'!$E$16+1,1))</f>
        <v>199.58763537752952</v>
      </c>
      <c r="FK127" s="59">
        <f t="shared" si="102"/>
        <v>242.62852778451929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0.75900748425174436</v>
      </c>
      <c r="FS127" s="21">
        <f>EXP(-LN(2)/2)*FS126+(1-EXP(-LN(2)/2))/(LN(2)/2)*FM127*FP127*VLOOKUP('Données projet'!$B$16,Paramètres!$A$1:$I$89,3,0)*0.475*44/12</f>
        <v>7.646547141760763E-14</v>
      </c>
      <c r="FT127" s="22">
        <f t="shared" si="78"/>
        <v>0.75900748425182085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5.6843418860808015E-14</v>
      </c>
      <c r="GA127" s="17">
        <f>FZ127*VLOOKUP('Données projet'!$B$17,Paramètres!$A$1:$I$89,3,0)*VLOOKUP('Données projet'!$B$17,Paramètres!$A$1:$I$89,5,0)</f>
        <v>4.1677594708744434E-14</v>
      </c>
      <c r="GB127" s="13">
        <f t="shared" si="103"/>
        <v>6.9326303456159188E-13</v>
      </c>
      <c r="GC127" s="20">
        <f t="shared" si="79"/>
        <v>1.2800215959791691E-12</v>
      </c>
      <c r="GD127" s="59">
        <f t="shared" si="80"/>
        <v>293.33333333333462</v>
      </c>
      <c r="GE127" s="59">
        <f ca="1">AVERAGE(OFFSET($GD$3,0,0,'Données projet'!$E$17+1,1))-AVERAGE(OFFSET($H$3,0,0,'Données projet'!$E$17+1,1))</f>
        <v>178.12968684094687</v>
      </c>
      <c r="GF127" s="59">
        <f t="shared" si="104"/>
        <v>219.36004077210373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0.56750060143276893</v>
      </c>
      <c r="GN127" s="21">
        <f>EXP(-LN(2)/2)*GN126+(1-EXP(-LN(2)/2))/(LN(2)/2)*GH127*GK127*VLOOKUP('Données projet'!$B$17,Paramètres!$A$1:$I$89,3,0)*0.475*44/12</f>
        <v>7.0468179541716774E-14</v>
      </c>
      <c r="GO127" s="21">
        <f t="shared" si="81"/>
        <v>0.56750060143283942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5.6843418860808015E-14</v>
      </c>
      <c r="GV127" s="17">
        <f>GU127*VLOOKUP('Données projet'!$B$18,Paramètres!$A$1:$I$89,3,0)*VLOOKUP('Données projet'!$B$18,Paramètres!$A$1:$I$89,5,0)</f>
        <v>4.5224624045658861E-14</v>
      </c>
      <c r="GW127" s="13">
        <f t="shared" si="105"/>
        <v>7.4514601661523691E-13</v>
      </c>
      <c r="GX127" s="20">
        <f t="shared" si="82"/>
        <v>1.3765621991510601E-12</v>
      </c>
      <c r="GY127" s="59">
        <f t="shared" si="83"/>
        <v>293.33333333333468</v>
      </c>
      <c r="GZ127" s="59">
        <f ca="1">AVERAGE(OFFSET($GY$3,0,0,'Données projet'!$E$18+1,1))-AVERAGE(OFFSET($H$3,0,0,'Données projet'!$E$18+1,1))</f>
        <v>199.58763537752952</v>
      </c>
      <c r="HA127" s="59">
        <f t="shared" si="106"/>
        <v>242.62852778451929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0</v>
      </c>
      <c r="HH127" s="21">
        <f>EXP(-LN(2)/25)*HH126+(1-EXP(-LN(2)/25))/(LN(2)/25)*Calculateur!HC127*Calculateur!HE127*VLOOKUP('Données projet'!$B$18,Paramètres!$A$1:$I$89,3,0)*0.475*44/12</f>
        <v>0.75900748425174436</v>
      </c>
      <c r="HI127" s="21">
        <f>EXP(-LN(2)/2)*HI126+(1-EXP(-LN(2)/2))/(LN(2)/2)*HC127*HF127*VLOOKUP('Données projet'!$B$18,Paramètres!$A$1:$I$89,3,0)*0.475*44/12</f>
        <v>7.646547141760763E-14</v>
      </c>
      <c r="HJ127" s="22">
        <f t="shared" si="84"/>
        <v>0.75900748425182085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7.1730769230769287</v>
      </c>
      <c r="N128" s="13">
        <f>IF('Données projet'!$A$36&gt;35,N127+M128-V127,IF(A128&lt;'Données projet'!$A$36,$K$205^A128,IF(A128='Données projet'!$A$36,'Données projet'!$B$36,N127+M128-V127)))</f>
        <v>374.99358974358927</v>
      </c>
      <c r="O128" s="13">
        <f>N128*VLOOKUP('Données projet'!$B$9,Paramètres!$A$1:$I$89,3,0)*VLOOKUP('Données projet'!$B$9,Paramètres!$A$1:$I$89,5,0)</f>
        <v>339.29419999999953</v>
      </c>
      <c r="P128" s="13">
        <f t="shared" si="87"/>
        <v>79.354106041732479</v>
      </c>
      <c r="Q128" s="20">
        <f t="shared" si="107"/>
        <v>729.14579968934993</v>
      </c>
      <c r="R128" s="59">
        <f t="shared" si="55"/>
        <v>1022.4791330226833</v>
      </c>
      <c r="S128" s="59">
        <f ca="1">AVERAGE(OFFSET($R$3,0,0,'Données projet'!$E$9+1,1))-AVERAGE(OFFSET($H$3,0,0,'Données projet'!$E$9+1,1))</f>
        <v>309.07357540707869</v>
      </c>
      <c r="T128" s="59">
        <f t="shared" si="88"/>
        <v>155.9593924683299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6.0711538461538508</v>
      </c>
      <c r="AI128" s="13">
        <f>IF('Données projet'!$A$62&gt;35,AI127+AH128-AQ127,IF(A128&lt;'Données projet'!$A$62,$AF$205^A128,IF(A128='Données projet'!$A$62,'Données projet'!$B$62,AI127+AH128-AQ127)))</f>
        <v>277.21217948717913</v>
      </c>
      <c r="AJ128" s="13">
        <f>AI128*VLOOKUP('Données projet'!$B$10,Paramètres!$A$1:$I$89,3,0)*VLOOKUP('Données projet'!$B$10,Paramètres!$A$1:$I$89,5,0)</f>
        <v>250.82157999999967</v>
      </c>
      <c r="AK128" s="13">
        <f t="shared" si="89"/>
        <v>60.761836236258141</v>
      </c>
      <c r="AL128" s="20">
        <f t="shared" si="58"/>
        <v>542.67444994481559</v>
      </c>
      <c r="AM128" s="59">
        <f t="shared" si="59"/>
        <v>836.00778327814896</v>
      </c>
      <c r="AN128" s="59">
        <f ca="1">AVERAGE(OFFSET($AM$3,0,0,'Données projet'!$E$10+1,1))-AVERAGE(OFFSET($H$3,0,0,'Données projet'!$E$10+1,1))</f>
        <v>234.30804102916278</v>
      </c>
      <c r="AO128" s="59">
        <f t="shared" si="90"/>
        <v>91.137993288782411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3.4106051316484809E-13</v>
      </c>
      <c r="BE128" s="13">
        <f>BD128*VLOOKUP('Données projet'!$B$11,Paramètres!$A$1:$I$89,3,0)*VLOOKUP('Données projet'!$B$11,Paramètres!$A$1:$I$89,5,0)</f>
        <v>1.5961632016114892E-13</v>
      </c>
      <c r="BF128" s="13">
        <f t="shared" si="91"/>
        <v>2.2708641912150958E-12</v>
      </c>
      <c r="BG128" s="20">
        <f t="shared" si="61"/>
        <v>4.2330868906469593E-12</v>
      </c>
      <c r="BH128" s="59">
        <f t="shared" si="62"/>
        <v>293.33333333333752</v>
      </c>
      <c r="BI128" s="59">
        <f ca="1">AVERAGE(OFFSET($BH$3,0,0,'Données projet'!$E$11+1,1))-AVERAGE(OFFSET($H$3,0,0,'Données projet'!$E$11+1,1))</f>
        <v>158.58786357608489</v>
      </c>
      <c r="BJ128" s="59">
        <f t="shared" si="92"/>
        <v>163.20074068819849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4.9084615384615375</v>
      </c>
      <c r="BY128" s="12">
        <f>IF('Données projet'!$A$114&gt;35,BY127+BX128-CG127,IF(A128&lt;'Données projet'!$A$114,$BV$205^A128,IF(A128='Données projet'!$A$114,'Données projet'!$B$114,BY127+BX128-CG127)))</f>
        <v>230.16461538461584</v>
      </c>
      <c r="BZ128" s="13">
        <f>BY128*VLOOKUP('Données projet'!$B$12,Paramètres!$A$1:$I$89,3,0)*VLOOKUP('Données projet'!$B$12,Paramètres!$A$1:$I$89,5,0)</f>
        <v>107.71704000000021</v>
      </c>
      <c r="CA128" s="13">
        <f t="shared" si="93"/>
        <v>28.792446610882166</v>
      </c>
      <c r="CB128" s="20">
        <f t="shared" si="64"/>
        <v>237.75402251395349</v>
      </c>
      <c r="CC128" s="59">
        <f t="shared" si="65"/>
        <v>531.08735584728674</v>
      </c>
      <c r="CD128" s="59">
        <f ca="1">AVERAGE(OFFSET($CC$3,0,0,'Données projet'!$E$12+1,1))-AVERAGE(OFFSET($H$3,0,0,'Données projet'!$E$12+1,1))</f>
        <v>123.2823358462245</v>
      </c>
      <c r="CE128" s="59">
        <f t="shared" si="94"/>
        <v>92.75115399786057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-2.8421709430404007E-13</v>
      </c>
      <c r="CU128" s="17">
        <f>CT128*VLOOKUP('Données projet'!$B$13,Paramètres!$A$1:$I$89,3,0)*VLOOKUP('Données projet'!$B$13,Paramètres!$A$1:$I$89,5,0)</f>
        <v>-1.69961822393816E-13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179.32848817523677</v>
      </c>
      <c r="CZ128" s="59">
        <f t="shared" si="96"/>
        <v>131.3292389103035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0.94624590487630766</v>
      </c>
      <c r="DH128" s="21">
        <f>EXP(-LN(2)/2)*DH127+(1-EXP(-LN(2)/2))/(LN(2)/2)*DB128*DE128*VLOOKUP('Données projet'!$B$13,Paramètres!$A$1:$I$89,3,0)*0.475*44/12</f>
        <v>2.6442212864802694E-14</v>
      </c>
      <c r="DI128" s="22">
        <f t="shared" si="69"/>
        <v>0.94624590487633409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7.1730769230769287</v>
      </c>
      <c r="DO128" s="12">
        <f>IF('Données projet'!$A$166&gt;35,DO127+DN128-DW127,IF(A128&lt;'Données projet'!$A$166,$DL$205^A128,IF(A128='Données projet'!$A$166,'Données projet'!$B$166,DO127+DN128-DW127)))</f>
        <v>374.99358974358927</v>
      </c>
      <c r="DP128" s="17">
        <f>DO128*VLOOKUP('Données projet'!$B$14,Paramètres!$A$1:$I$89,3,0)*VLOOKUP('Données projet'!$B$14,Paramètres!$A$1:$I$89,5,0)</f>
        <v>362.69379999999956</v>
      </c>
      <c r="DQ128" s="13">
        <f t="shared" si="97"/>
        <v>84.170852383363368</v>
      </c>
      <c r="DR128" s="20">
        <f t="shared" si="70"/>
        <v>778.28926956769021</v>
      </c>
      <c r="DS128" s="59">
        <f t="shared" si="71"/>
        <v>1071.6226029010236</v>
      </c>
      <c r="DT128" s="59">
        <f ca="1">AVERAGE(OFFSET($DS$3,0,0,'Données projet'!$E$14+1,1))-AVERAGE(OFFSET($H$3,0,0,'Données projet'!$E$14+1,1))</f>
        <v>340.4659523898373</v>
      </c>
      <c r="DU128" s="59">
        <f t="shared" si="98"/>
        <v>170.54530785680572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6.0711538461538508</v>
      </c>
      <c r="EJ128" s="12">
        <f>IF('Données projet'!$A$192&gt;35,EJ127+EI128-ER127,IF(A128&lt;'Données projet'!$A$192,$EG$205^A128,IF(A128='Données projet'!$A$192,'Données projet'!$B$192,EJ127+EI128-ER127)))</f>
        <v>277.21217948717913</v>
      </c>
      <c r="EK128" s="17">
        <f>EJ128*VLOOKUP('Données projet'!$B$15,Paramètres!$A$1:$I$89,3,0)*VLOOKUP('Données projet'!$B$15,Paramètres!$A$1:$I$89,5,0)</f>
        <v>268.11961999999966</v>
      </c>
      <c r="EL128" s="13">
        <f t="shared" si="99"/>
        <v>64.450043022279445</v>
      </c>
      <c r="EM128" s="20">
        <f t="shared" si="73"/>
        <v>579.22549643046932</v>
      </c>
      <c r="EN128" s="59">
        <f t="shared" si="74"/>
        <v>872.55882976380258</v>
      </c>
      <c r="EO128" s="59">
        <f ca="1">AVERAGE(OFFSET($EN$3,0,0,'Données projet'!$E$15+1,1))-AVERAGE(OFFSET($H$3,0,0,'Données projet'!$E$15+1,1))</f>
        <v>262.20955982183017</v>
      </c>
      <c r="EP128" s="59">
        <f t="shared" si="100"/>
        <v>101.35842063036193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5.6843418860808015E-14</v>
      </c>
      <c r="FF128" s="17">
        <f>FE128*VLOOKUP('Données projet'!$B$16,Paramètres!$A$1:$I$89,3,0)*VLOOKUP('Données projet'!$B$16,Paramètres!$A$1:$I$89,5,0)</f>
        <v>4.5224624045658861E-14</v>
      </c>
      <c r="FG128" s="13">
        <f t="shared" si="101"/>
        <v>7.4514601661523691E-13</v>
      </c>
      <c r="FH128" s="20">
        <f t="shared" si="76"/>
        <v>1.3765621991510601E-12</v>
      </c>
      <c r="FI128" s="59">
        <f t="shared" si="77"/>
        <v>293.33333333333468</v>
      </c>
      <c r="FJ128" s="59">
        <f ca="1">AVERAGE(OFFSET($FI$3,0,0,'Données projet'!$E$16+1,1))-AVERAGE(OFFSET($H$3,0,0,'Données projet'!$E$16+1,1))</f>
        <v>199.58763537752952</v>
      </c>
      <c r="FK128" s="59">
        <f t="shared" si="102"/>
        <v>242.62852778451929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0.73825238468041154</v>
      </c>
      <c r="FS128" s="21">
        <f>EXP(-LN(2)/2)*FS127+(1-EXP(-LN(2)/2))/(LN(2)/2)*FM128*FP128*VLOOKUP('Données projet'!$B$16,Paramètres!$A$1:$I$89,3,0)*0.475*44/12</f>
        <v>5.4069253366016483E-14</v>
      </c>
      <c r="FT128" s="22">
        <f t="shared" si="78"/>
        <v>0.73825238468046561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5.6843418860808015E-14</v>
      </c>
      <c r="GA128" s="17">
        <f>FZ128*VLOOKUP('Données projet'!$B$17,Paramètres!$A$1:$I$89,3,0)*VLOOKUP('Données projet'!$B$17,Paramètres!$A$1:$I$89,5,0)</f>
        <v>4.1677594708744434E-14</v>
      </c>
      <c r="GB128" s="13">
        <f t="shared" si="103"/>
        <v>6.9326303456159188E-13</v>
      </c>
      <c r="GC128" s="20">
        <f t="shared" si="79"/>
        <v>1.2800215959791691E-12</v>
      </c>
      <c r="GD128" s="59">
        <f t="shared" si="80"/>
        <v>293.33333333333462</v>
      </c>
      <c r="GE128" s="59">
        <f ca="1">AVERAGE(OFFSET($GD$3,0,0,'Données projet'!$E$17+1,1))-AVERAGE(OFFSET($H$3,0,0,'Données projet'!$E$17+1,1))</f>
        <v>178.12968684094687</v>
      </c>
      <c r="GF128" s="59">
        <f t="shared" si="104"/>
        <v>219.36004077210373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0.55198226764303027</v>
      </c>
      <c r="GN128" s="21">
        <f>EXP(-LN(2)/2)*GN127+(1-EXP(-LN(2)/2))/(LN(2)/2)*GH128*GK128*VLOOKUP('Données projet'!$B$17,Paramètres!$A$1:$I$89,3,0)*0.475*44/12</f>
        <v>4.9828527611819068E-14</v>
      </c>
      <c r="GO128" s="21">
        <f t="shared" si="81"/>
        <v>0.55198226764308012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5.6843418860808015E-14</v>
      </c>
      <c r="GV128" s="17">
        <f>GU128*VLOOKUP('Données projet'!$B$18,Paramètres!$A$1:$I$89,3,0)*VLOOKUP('Données projet'!$B$18,Paramètres!$A$1:$I$89,5,0)</f>
        <v>4.5224624045658861E-14</v>
      </c>
      <c r="GW128" s="13">
        <f t="shared" si="105"/>
        <v>7.4514601661523691E-13</v>
      </c>
      <c r="GX128" s="20">
        <f t="shared" si="82"/>
        <v>1.3765621991510601E-12</v>
      </c>
      <c r="GY128" s="59">
        <f t="shared" si="83"/>
        <v>293.33333333333468</v>
      </c>
      <c r="GZ128" s="59">
        <f ca="1">AVERAGE(OFFSET($GY$3,0,0,'Données projet'!$E$18+1,1))-AVERAGE(OFFSET($H$3,0,0,'Données projet'!$E$18+1,1))</f>
        <v>199.58763537752952</v>
      </c>
      <c r="HA128" s="59">
        <f t="shared" si="106"/>
        <v>242.62852778451929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0</v>
      </c>
      <c r="HH128" s="21">
        <f>EXP(-LN(2)/25)*HH127+(1-EXP(-LN(2)/25))/(LN(2)/25)*Calculateur!HC128*Calculateur!HE128*VLOOKUP('Données projet'!$B$18,Paramètres!$A$1:$I$89,3,0)*0.475*44/12</f>
        <v>0.73825238468041154</v>
      </c>
      <c r="HI128" s="21">
        <f>EXP(-LN(2)/2)*HI127+(1-EXP(-LN(2)/2))/(LN(2)/2)*HC128*HF128*VLOOKUP('Données projet'!$B$18,Paramètres!$A$1:$I$89,3,0)*0.475*44/12</f>
        <v>5.4069253366016483E-14</v>
      </c>
      <c r="HJ128" s="22">
        <f t="shared" si="84"/>
        <v>0.73825238468046561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7.1730769230769287</v>
      </c>
      <c r="N129" s="13">
        <f>IF('Données projet'!$A$36&gt;35,N128+M129-V128,IF(A129&lt;'Données projet'!$A$36,$K$205^A129,IF(A129='Données projet'!$A$36,'Données projet'!$B$36,N128+M129-V128)))</f>
        <v>382.16666666666617</v>
      </c>
      <c r="O129" s="13">
        <f>N129*VLOOKUP('Données projet'!$B$9,Paramètres!$A$1:$I$89,3,0)*VLOOKUP('Données projet'!$B$9,Paramètres!$A$1:$I$89,5,0)</f>
        <v>345.78439999999955</v>
      </c>
      <c r="P129" s="13">
        <f t="shared" si="87"/>
        <v>80.69386418406053</v>
      </c>
      <c r="Q129" s="20">
        <f t="shared" si="107"/>
        <v>742.782976787238</v>
      </c>
      <c r="R129" s="59">
        <f t="shared" si="55"/>
        <v>1036.1163101205714</v>
      </c>
      <c r="S129" s="59">
        <f ca="1">AVERAGE(OFFSET($R$3,0,0,'Données projet'!$E$9+1,1))-AVERAGE(OFFSET($H$3,0,0,'Données projet'!$E$9+1,1))</f>
        <v>309.07357540707869</v>
      </c>
      <c r="T129" s="59">
        <f t="shared" si="88"/>
        <v>155.9593924683299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6.0711538461538508</v>
      </c>
      <c r="AI129" s="13">
        <f>IF('Données projet'!$A$62&gt;35,AI128+AH129-AQ128,IF(A129&lt;'Données projet'!$A$62,$AF$205^A129,IF(A129='Données projet'!$A$62,'Données projet'!$B$62,AI128+AH129-AQ128)))</f>
        <v>283.28333333333296</v>
      </c>
      <c r="AJ129" s="13">
        <f>AI129*VLOOKUP('Données projet'!$B$10,Paramètres!$A$1:$I$89,3,0)*VLOOKUP('Données projet'!$B$10,Paramètres!$A$1:$I$89,5,0)</f>
        <v>256.31475999999969</v>
      </c>
      <c r="AK129" s="13">
        <f t="shared" si="89"/>
        <v>61.936182251682439</v>
      </c>
      <c r="AL129" s="20">
        <f t="shared" si="58"/>
        <v>554.28705775501305</v>
      </c>
      <c r="AM129" s="59">
        <f t="shared" si="59"/>
        <v>847.62039108834642</v>
      </c>
      <c r="AN129" s="59">
        <f ca="1">AVERAGE(OFFSET($AM$3,0,0,'Données projet'!$E$10+1,1))-AVERAGE(OFFSET($H$3,0,0,'Données projet'!$E$10+1,1))</f>
        <v>234.30804102916278</v>
      </c>
      <c r="AO129" s="59">
        <f t="shared" si="90"/>
        <v>91.137993288782411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3.4106051316484809E-13</v>
      </c>
      <c r="BE129" s="13">
        <f>BD129*VLOOKUP('Données projet'!$B$11,Paramètres!$A$1:$I$89,3,0)*VLOOKUP('Données projet'!$B$11,Paramètres!$A$1:$I$89,5,0)</f>
        <v>1.5961632016114892E-13</v>
      </c>
      <c r="BF129" s="13">
        <f t="shared" si="91"/>
        <v>2.2708641912150958E-12</v>
      </c>
      <c r="BG129" s="20">
        <f t="shared" si="61"/>
        <v>4.2330868906469593E-12</v>
      </c>
      <c r="BH129" s="59">
        <f t="shared" si="62"/>
        <v>293.33333333333752</v>
      </c>
      <c r="BI129" s="59">
        <f ca="1">AVERAGE(OFFSET($BH$3,0,0,'Données projet'!$E$11+1,1))-AVERAGE(OFFSET($H$3,0,0,'Données projet'!$E$11+1,1))</f>
        <v>158.58786357608489</v>
      </c>
      <c r="BJ129" s="59">
        <f t="shared" si="92"/>
        <v>163.20074068819849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4.9084615384615375</v>
      </c>
      <c r="BY129" s="12">
        <f>IF('Données projet'!$A$114&gt;35,BY128+BX129-CG128,IF(A129&lt;'Données projet'!$A$114,$BV$205^A129,IF(A129='Données projet'!$A$114,'Données projet'!$B$114,BY128+BX129-CG128)))</f>
        <v>235.07307692307739</v>
      </c>
      <c r="BZ129" s="13">
        <f>BY129*VLOOKUP('Données projet'!$B$12,Paramètres!$A$1:$I$89,3,0)*VLOOKUP('Données projet'!$B$12,Paramètres!$A$1:$I$89,5,0)</f>
        <v>110.01420000000023</v>
      </c>
      <c r="CA129" s="13">
        <f t="shared" si="93"/>
        <v>29.334330178180171</v>
      </c>
      <c r="CB129" s="20">
        <f t="shared" si="64"/>
        <v>242.69869006033085</v>
      </c>
      <c r="CC129" s="59">
        <f t="shared" si="65"/>
        <v>536.03202339366419</v>
      </c>
      <c r="CD129" s="59">
        <f ca="1">AVERAGE(OFFSET($CC$3,0,0,'Données projet'!$E$12+1,1))-AVERAGE(OFFSET($H$3,0,0,'Données projet'!$E$12+1,1))</f>
        <v>123.2823358462245</v>
      </c>
      <c r="CE129" s="59">
        <f t="shared" si="94"/>
        <v>92.75115399786057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-2.8421709430404007E-13</v>
      </c>
      <c r="CU129" s="17">
        <f>CT129*VLOOKUP('Données projet'!$B$13,Paramètres!$A$1:$I$89,3,0)*VLOOKUP('Données projet'!$B$13,Paramètres!$A$1:$I$89,5,0)</f>
        <v>-1.69961822393816E-13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179.32848817523677</v>
      </c>
      <c r="CZ129" s="59">
        <f t="shared" si="96"/>
        <v>131.3292389103035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0.92037076084655556</v>
      </c>
      <c r="DH129" s="21">
        <f>EXP(-LN(2)/2)*DH128+(1-EXP(-LN(2)/2))/(LN(2)/2)*DB129*DE129*VLOOKUP('Données projet'!$B$13,Paramètres!$A$1:$I$89,3,0)*0.475*44/12</f>
        <v>1.869746802628015E-14</v>
      </c>
      <c r="DI129" s="22">
        <f t="shared" si="69"/>
        <v>0.92037076084657421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7.1730769230769287</v>
      </c>
      <c r="DO129" s="12">
        <f>IF('Données projet'!$A$166&gt;35,DO128+DN129-DW128,IF(A129&lt;'Données projet'!$A$166,$DL$205^A129,IF(A129='Données projet'!$A$166,'Données projet'!$B$166,DO128+DN129-DW128)))</f>
        <v>382.16666666666617</v>
      </c>
      <c r="DP129" s="17">
        <f>DO129*VLOOKUP('Données projet'!$B$14,Paramètres!$A$1:$I$89,3,0)*VLOOKUP('Données projet'!$B$14,Paramètres!$A$1:$I$89,5,0)</f>
        <v>369.63159999999954</v>
      </c>
      <c r="DQ129" s="13">
        <f t="shared" si="97"/>
        <v>85.591933036303899</v>
      </c>
      <c r="DR129" s="20">
        <f t="shared" si="70"/>
        <v>792.84765337156171</v>
      </c>
      <c r="DS129" s="59">
        <f t="shared" si="71"/>
        <v>1086.1809867048951</v>
      </c>
      <c r="DT129" s="59">
        <f ca="1">AVERAGE(OFFSET($DS$3,0,0,'Données projet'!$E$14+1,1))-AVERAGE(OFFSET($H$3,0,0,'Données projet'!$E$14+1,1))</f>
        <v>340.4659523898373</v>
      </c>
      <c r="DU129" s="59">
        <f t="shared" si="98"/>
        <v>170.54530785680572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6.0711538461538508</v>
      </c>
      <c r="EJ129" s="12">
        <f>IF('Données projet'!$A$192&gt;35,EJ128+EI129-ER128,IF(A129&lt;'Données projet'!$A$192,$EG$205^A129,IF(A129='Données projet'!$A$192,'Données projet'!$B$192,EJ128+EI129-ER128)))</f>
        <v>283.28333333333296</v>
      </c>
      <c r="EK129" s="17">
        <f>EJ129*VLOOKUP('Données projet'!$B$15,Paramètres!$A$1:$I$89,3,0)*VLOOKUP('Données projet'!$B$15,Paramètres!$A$1:$I$89,5,0)</f>
        <v>273.99163999999962</v>
      </c>
      <c r="EL129" s="13">
        <f t="shared" si="99"/>
        <v>65.695671132049611</v>
      </c>
      <c r="EM129" s="20">
        <f t="shared" si="73"/>
        <v>591.62206688831895</v>
      </c>
      <c r="EN129" s="59">
        <f t="shared" si="74"/>
        <v>884.95540022165233</v>
      </c>
      <c r="EO129" s="59">
        <f ca="1">AVERAGE(OFFSET($EN$3,0,0,'Données projet'!$E$15+1,1))-AVERAGE(OFFSET($H$3,0,0,'Données projet'!$E$15+1,1))</f>
        <v>262.20955982183017</v>
      </c>
      <c r="EP129" s="59">
        <f t="shared" si="100"/>
        <v>101.35842063036193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5.6843418860808015E-14</v>
      </c>
      <c r="FF129" s="17">
        <f>FE129*VLOOKUP('Données projet'!$B$16,Paramètres!$A$1:$I$89,3,0)*VLOOKUP('Données projet'!$B$16,Paramètres!$A$1:$I$89,5,0)</f>
        <v>4.5224624045658861E-14</v>
      </c>
      <c r="FG129" s="13">
        <f t="shared" si="101"/>
        <v>7.4514601661523691E-13</v>
      </c>
      <c r="FH129" s="20">
        <f t="shared" si="76"/>
        <v>1.3765621991510601E-12</v>
      </c>
      <c r="FI129" s="59">
        <f t="shared" si="77"/>
        <v>293.33333333333468</v>
      </c>
      <c r="FJ129" s="59">
        <f ca="1">AVERAGE(OFFSET($FI$3,0,0,'Données projet'!$E$16+1,1))-AVERAGE(OFFSET($H$3,0,0,'Données projet'!$E$16+1,1))</f>
        <v>199.58763537752952</v>
      </c>
      <c r="FK129" s="59">
        <f t="shared" si="102"/>
        <v>242.62852778451929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0.71806483439832003</v>
      </c>
      <c r="FS129" s="21">
        <f>EXP(-LN(2)/2)*FS128+(1-EXP(-LN(2)/2))/(LN(2)/2)*FM129*FP129*VLOOKUP('Données projet'!$B$16,Paramètres!$A$1:$I$89,3,0)*0.475*44/12</f>
        <v>3.8232735708803815E-14</v>
      </c>
      <c r="FT129" s="22">
        <f t="shared" si="78"/>
        <v>0.71806483439835822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5.6843418860808015E-14</v>
      </c>
      <c r="GA129" s="17">
        <f>FZ129*VLOOKUP('Données projet'!$B$17,Paramètres!$A$1:$I$89,3,0)*VLOOKUP('Données projet'!$B$17,Paramètres!$A$1:$I$89,5,0)</f>
        <v>4.1677594708744434E-14</v>
      </c>
      <c r="GB129" s="13">
        <f t="shared" si="103"/>
        <v>6.9326303456159188E-13</v>
      </c>
      <c r="GC129" s="20">
        <f t="shared" si="79"/>
        <v>1.2800215959791691E-12</v>
      </c>
      <c r="GD129" s="59">
        <f t="shared" si="80"/>
        <v>293.33333333333462</v>
      </c>
      <c r="GE129" s="59">
        <f ca="1">AVERAGE(OFFSET($GD$3,0,0,'Données projet'!$E$17+1,1))-AVERAGE(OFFSET($H$3,0,0,'Données projet'!$E$17+1,1))</f>
        <v>178.12968684094687</v>
      </c>
      <c r="GF129" s="59">
        <f t="shared" si="104"/>
        <v>219.36004077210373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0.5368882835068457</v>
      </c>
      <c r="GN129" s="21">
        <f>EXP(-LN(2)/2)*GN128+(1-EXP(-LN(2)/2))/(LN(2)/2)*GH129*GK129*VLOOKUP('Données projet'!$B$17,Paramètres!$A$1:$I$89,3,0)*0.475*44/12</f>
        <v>3.5234089770858387E-14</v>
      </c>
      <c r="GO129" s="21">
        <f t="shared" si="81"/>
        <v>0.53688828350688089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5.6843418860808015E-14</v>
      </c>
      <c r="GV129" s="17">
        <f>GU129*VLOOKUP('Données projet'!$B$18,Paramètres!$A$1:$I$89,3,0)*VLOOKUP('Données projet'!$B$18,Paramètres!$A$1:$I$89,5,0)</f>
        <v>4.5224624045658861E-14</v>
      </c>
      <c r="GW129" s="13">
        <f t="shared" si="105"/>
        <v>7.4514601661523691E-13</v>
      </c>
      <c r="GX129" s="20">
        <f t="shared" si="82"/>
        <v>1.3765621991510601E-12</v>
      </c>
      <c r="GY129" s="59">
        <f t="shared" si="83"/>
        <v>293.33333333333468</v>
      </c>
      <c r="GZ129" s="59">
        <f ca="1">AVERAGE(OFFSET($GY$3,0,0,'Données projet'!$E$18+1,1))-AVERAGE(OFFSET($H$3,0,0,'Données projet'!$E$18+1,1))</f>
        <v>199.58763537752952</v>
      </c>
      <c r="HA129" s="59">
        <f t="shared" si="106"/>
        <v>242.62852778451929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0</v>
      </c>
      <c r="HH129" s="21">
        <f>EXP(-LN(2)/25)*HH128+(1-EXP(-LN(2)/25))/(LN(2)/25)*Calculateur!HC129*Calculateur!HE129*VLOOKUP('Données projet'!$B$18,Paramètres!$A$1:$I$89,3,0)*0.475*44/12</f>
        <v>0.71806483439832003</v>
      </c>
      <c r="HI129" s="21">
        <f>EXP(-LN(2)/2)*HI128+(1-EXP(-LN(2)/2))/(LN(2)/2)*HC129*HF129*VLOOKUP('Données projet'!$B$18,Paramètres!$A$1:$I$89,3,0)*0.475*44/12</f>
        <v>3.8232735708803815E-14</v>
      </c>
      <c r="HJ129" s="22">
        <f t="shared" si="84"/>
        <v>0.71806483439835822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7.1730769230769287</v>
      </c>
      <c r="N130" s="13">
        <f>IF('Données projet'!$A$36&gt;35,N129+M130-V129,IF(A130&lt;'Données projet'!$A$36,$K$205^A130,IF(A130='Données projet'!$A$36,'Données projet'!$B$36,N129+M130-V129)))</f>
        <v>389.33974358974308</v>
      </c>
      <c r="O130" s="13">
        <f>N130*VLOOKUP('Données projet'!$B$9,Paramètres!$A$1:$I$89,3,0)*VLOOKUP('Données projet'!$B$9,Paramètres!$A$1:$I$89,5,0)</f>
        <v>352.27459999999957</v>
      </c>
      <c r="P130" s="13">
        <f t="shared" si="87"/>
        <v>82.030698277048387</v>
      </c>
      <c r="Q130" s="20">
        <f t="shared" si="107"/>
        <v>756.41506116585845</v>
      </c>
      <c r="R130" s="59">
        <f t="shared" si="55"/>
        <v>1049.7483944991918</v>
      </c>
      <c r="S130" s="59">
        <f ca="1">AVERAGE(OFFSET($R$3,0,0,'Données projet'!$E$9+1,1))-AVERAGE(OFFSET($H$3,0,0,'Données projet'!$E$9+1,1))</f>
        <v>309.07357540707869</v>
      </c>
      <c r="T130" s="59">
        <f t="shared" si="88"/>
        <v>155.9593924683299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6.0711538461538508</v>
      </c>
      <c r="AI130" s="13">
        <f>IF('Données projet'!$A$62&gt;35,AI129+AH130-AQ129,IF(A130&lt;'Données projet'!$A$62,$AF$205^A130,IF(A130='Données projet'!$A$62,'Données projet'!$B$62,AI129+AH130-AQ129)))</f>
        <v>289.3544871794868</v>
      </c>
      <c r="AJ130" s="13">
        <f>AI130*VLOOKUP('Données projet'!$B$10,Paramètres!$A$1:$I$89,3,0)*VLOOKUP('Données projet'!$B$10,Paramètres!$A$1:$I$89,5,0)</f>
        <v>261.80793999999963</v>
      </c>
      <c r="AK130" s="13">
        <f t="shared" si="89"/>
        <v>63.107602142412361</v>
      </c>
      <c r="AL130" s="20">
        <f t="shared" si="58"/>
        <v>565.89456923136754</v>
      </c>
      <c r="AM130" s="59">
        <f t="shared" si="59"/>
        <v>859.2279025647008</v>
      </c>
      <c r="AN130" s="59">
        <f ca="1">AVERAGE(OFFSET($AM$3,0,0,'Données projet'!$E$10+1,1))-AVERAGE(OFFSET($H$3,0,0,'Données projet'!$E$10+1,1))</f>
        <v>234.30804102916278</v>
      </c>
      <c r="AO130" s="59">
        <f t="shared" si="90"/>
        <v>91.137993288782411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3.4106051316484809E-13</v>
      </c>
      <c r="BE130" s="13">
        <f>BD130*VLOOKUP('Données projet'!$B$11,Paramètres!$A$1:$I$89,3,0)*VLOOKUP('Données projet'!$B$11,Paramètres!$A$1:$I$89,5,0)</f>
        <v>1.5961632016114892E-13</v>
      </c>
      <c r="BF130" s="13">
        <f t="shared" si="91"/>
        <v>2.2708641912150958E-12</v>
      </c>
      <c r="BG130" s="20">
        <f t="shared" si="61"/>
        <v>4.2330868906469593E-12</v>
      </c>
      <c r="BH130" s="59">
        <f t="shared" si="62"/>
        <v>293.33333333333752</v>
      </c>
      <c r="BI130" s="59">
        <f ca="1">AVERAGE(OFFSET($BH$3,0,0,'Données projet'!$E$11+1,1))-AVERAGE(OFFSET($H$3,0,0,'Données projet'!$E$11+1,1))</f>
        <v>158.58786357608489</v>
      </c>
      <c r="BJ130" s="59">
        <f t="shared" si="92"/>
        <v>163.20074068819849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4.9084615384615375</v>
      </c>
      <c r="BY130" s="12">
        <f>IF('Données projet'!$A$114&gt;35,BY129+BX130-CG129,IF(A130&lt;'Données projet'!$A$114,$BV$205^A130,IF(A130='Données projet'!$A$114,'Données projet'!$B$114,BY129+BX130-CG129)))</f>
        <v>239.98153846153895</v>
      </c>
      <c r="BZ130" s="13">
        <f>BY130*VLOOKUP('Données projet'!$B$12,Paramètres!$A$1:$I$89,3,0)*VLOOKUP('Données projet'!$B$12,Paramètres!$A$1:$I$89,5,0)</f>
        <v>112.31136000000022</v>
      </c>
      <c r="CA130" s="13">
        <f t="shared" si="93"/>
        <v>29.874898196104585</v>
      </c>
      <c r="CB130" s="20">
        <f t="shared" si="64"/>
        <v>247.64106635821585</v>
      </c>
      <c r="CC130" s="59">
        <f t="shared" si="65"/>
        <v>540.97439969154914</v>
      </c>
      <c r="CD130" s="59">
        <f ca="1">AVERAGE(OFFSET($CC$3,0,0,'Données projet'!$E$12+1,1))-AVERAGE(OFFSET($H$3,0,0,'Données projet'!$E$12+1,1))</f>
        <v>123.2823358462245</v>
      </c>
      <c r="CE130" s="59">
        <f t="shared" si="94"/>
        <v>92.75115399786057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-2.8421709430404007E-13</v>
      </c>
      <c r="CU130" s="17">
        <f>CT130*VLOOKUP('Données projet'!$B$13,Paramètres!$A$1:$I$89,3,0)*VLOOKUP('Données projet'!$B$13,Paramètres!$A$1:$I$89,5,0)</f>
        <v>-1.69961822393816E-13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179.32848817523677</v>
      </c>
      <c r="CZ130" s="59">
        <f t="shared" si="96"/>
        <v>131.3292389103035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0.89520317399101168</v>
      </c>
      <c r="DH130" s="21">
        <f>EXP(-LN(2)/2)*DH129+(1-EXP(-LN(2)/2))/(LN(2)/2)*DB130*DE130*VLOOKUP('Données projet'!$B$13,Paramètres!$A$1:$I$89,3,0)*0.475*44/12</f>
        <v>1.3221106432401347E-14</v>
      </c>
      <c r="DI130" s="22">
        <f t="shared" si="69"/>
        <v>0.89520317399102489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7.1730769230769287</v>
      </c>
      <c r="DO130" s="12">
        <f>IF('Données projet'!$A$166&gt;35,DO129+DN130-DW129,IF(A130&lt;'Données projet'!$A$166,$DL$205^A130,IF(A130='Données projet'!$A$166,'Données projet'!$B$166,DO129+DN130-DW129)))</f>
        <v>389.33974358974308</v>
      </c>
      <c r="DP130" s="17">
        <f>DO130*VLOOKUP('Données projet'!$B$14,Paramètres!$A$1:$I$89,3,0)*VLOOKUP('Données projet'!$B$14,Paramètres!$A$1:$I$89,5,0)</f>
        <v>376.56939999999952</v>
      </c>
      <c r="DQ130" s="13">
        <f t="shared" si="97"/>
        <v>87.009912151874218</v>
      </c>
      <c r="DR130" s="20">
        <f t="shared" si="70"/>
        <v>807.40063533118018</v>
      </c>
      <c r="DS130" s="59">
        <f t="shared" si="71"/>
        <v>1100.7339686645134</v>
      </c>
      <c r="DT130" s="59">
        <f ca="1">AVERAGE(OFFSET($DS$3,0,0,'Données projet'!$E$14+1,1))-AVERAGE(OFFSET($H$3,0,0,'Données projet'!$E$14+1,1))</f>
        <v>340.4659523898373</v>
      </c>
      <c r="DU130" s="59">
        <f t="shared" si="98"/>
        <v>170.54530785680572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6.0711538461538508</v>
      </c>
      <c r="EJ130" s="12">
        <f>IF('Données projet'!$A$192&gt;35,EJ129+EI130-ER129,IF(A130&lt;'Données projet'!$A$192,$EG$205^A130,IF(A130='Données projet'!$A$192,'Données projet'!$B$192,EJ129+EI130-ER129)))</f>
        <v>289.3544871794868</v>
      </c>
      <c r="EK130" s="17">
        <f>EJ130*VLOOKUP('Données projet'!$B$15,Paramètres!$A$1:$I$89,3,0)*VLOOKUP('Données projet'!$B$15,Paramètres!$A$1:$I$89,5,0)</f>
        <v>279.86365999999964</v>
      </c>
      <c r="EL130" s="13">
        <f t="shared" si="99"/>
        <v>66.938195503122614</v>
      </c>
      <c r="EM130" s="20">
        <f t="shared" si="73"/>
        <v>604.01323166793793</v>
      </c>
      <c r="EN130" s="59">
        <f t="shared" si="74"/>
        <v>897.3465650012713</v>
      </c>
      <c r="EO130" s="59">
        <f ca="1">AVERAGE(OFFSET($EN$3,0,0,'Données projet'!$E$15+1,1))-AVERAGE(OFFSET($H$3,0,0,'Données projet'!$E$15+1,1))</f>
        <v>262.20955982183017</v>
      </c>
      <c r="EP130" s="59">
        <f t="shared" si="100"/>
        <v>101.35842063036193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5.6843418860808015E-14</v>
      </c>
      <c r="FF130" s="17">
        <f>FE130*VLOOKUP('Données projet'!$B$16,Paramètres!$A$1:$I$89,3,0)*VLOOKUP('Données projet'!$B$16,Paramètres!$A$1:$I$89,5,0)</f>
        <v>4.5224624045658861E-14</v>
      </c>
      <c r="FG130" s="13">
        <f t="shared" si="101"/>
        <v>7.4514601661523691E-13</v>
      </c>
      <c r="FH130" s="20">
        <f t="shared" si="76"/>
        <v>1.3765621991510601E-12</v>
      </c>
      <c r="FI130" s="59">
        <f t="shared" si="77"/>
        <v>293.33333333333468</v>
      </c>
      <c r="FJ130" s="59">
        <f ca="1">AVERAGE(OFFSET($FI$3,0,0,'Données projet'!$E$16+1,1))-AVERAGE(OFFSET($H$3,0,0,'Données projet'!$E$16+1,1))</f>
        <v>199.58763537752952</v>
      </c>
      <c r="FK130" s="59">
        <f t="shared" si="102"/>
        <v>242.62852778451929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0.69842931374030948</v>
      </c>
      <c r="FS130" s="21">
        <f>EXP(-LN(2)/2)*FS129+(1-EXP(-LN(2)/2))/(LN(2)/2)*FM130*FP130*VLOOKUP('Données projet'!$B$16,Paramètres!$A$1:$I$89,3,0)*0.475*44/12</f>
        <v>2.7034626683008242E-14</v>
      </c>
      <c r="FT130" s="22">
        <f t="shared" si="78"/>
        <v>0.69842931374033657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5.6843418860808015E-14</v>
      </c>
      <c r="GA130" s="17">
        <f>FZ130*VLOOKUP('Données projet'!$B$17,Paramètres!$A$1:$I$89,3,0)*VLOOKUP('Données projet'!$B$17,Paramètres!$A$1:$I$89,5,0)</f>
        <v>4.1677594708744434E-14</v>
      </c>
      <c r="GB130" s="13">
        <f t="shared" si="103"/>
        <v>6.9326303456159188E-13</v>
      </c>
      <c r="GC130" s="20">
        <f t="shared" si="79"/>
        <v>1.2800215959791691E-12</v>
      </c>
      <c r="GD130" s="59">
        <f t="shared" si="80"/>
        <v>293.33333333333462</v>
      </c>
      <c r="GE130" s="59">
        <f ca="1">AVERAGE(OFFSET($GD$3,0,0,'Données projet'!$E$17+1,1))-AVERAGE(OFFSET($H$3,0,0,'Données projet'!$E$17+1,1))</f>
        <v>178.12968684094687</v>
      </c>
      <c r="GF130" s="59">
        <f t="shared" si="104"/>
        <v>219.36004077210373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0.52220704516062322</v>
      </c>
      <c r="GN130" s="21">
        <f>EXP(-LN(2)/2)*GN129+(1-EXP(-LN(2)/2))/(LN(2)/2)*GH130*GK130*VLOOKUP('Données projet'!$B$17,Paramètres!$A$1:$I$89,3,0)*0.475*44/12</f>
        <v>2.4914263805909534E-14</v>
      </c>
      <c r="GO130" s="21">
        <f t="shared" si="81"/>
        <v>0.52220704516064809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5.6843418860808015E-14</v>
      </c>
      <c r="GV130" s="17">
        <f>GU130*VLOOKUP('Données projet'!$B$18,Paramètres!$A$1:$I$89,3,0)*VLOOKUP('Données projet'!$B$18,Paramètres!$A$1:$I$89,5,0)</f>
        <v>4.5224624045658861E-14</v>
      </c>
      <c r="GW130" s="13">
        <f t="shared" si="105"/>
        <v>7.4514601661523691E-13</v>
      </c>
      <c r="GX130" s="20">
        <f t="shared" si="82"/>
        <v>1.3765621991510601E-12</v>
      </c>
      <c r="GY130" s="59">
        <f t="shared" si="83"/>
        <v>293.33333333333468</v>
      </c>
      <c r="GZ130" s="59">
        <f ca="1">AVERAGE(OFFSET($GY$3,0,0,'Données projet'!$E$18+1,1))-AVERAGE(OFFSET($H$3,0,0,'Données projet'!$E$18+1,1))</f>
        <v>199.58763537752952</v>
      </c>
      <c r="HA130" s="59">
        <f t="shared" si="106"/>
        <v>242.62852778451929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0</v>
      </c>
      <c r="HH130" s="21">
        <f>EXP(-LN(2)/25)*HH129+(1-EXP(-LN(2)/25))/(LN(2)/25)*Calculateur!HC130*Calculateur!HE130*VLOOKUP('Données projet'!$B$18,Paramètres!$A$1:$I$89,3,0)*0.475*44/12</f>
        <v>0.69842931374030948</v>
      </c>
      <c r="HI130" s="21">
        <f>EXP(-LN(2)/2)*HI129+(1-EXP(-LN(2)/2))/(LN(2)/2)*HC130*HF130*VLOOKUP('Données projet'!$B$18,Paramètres!$A$1:$I$89,3,0)*0.475*44/12</f>
        <v>2.7034626683008242E-14</v>
      </c>
      <c r="HJ130" s="22">
        <f t="shared" si="84"/>
        <v>0.69842931374033657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7.1730769230769287</v>
      </c>
      <c r="N131" s="13">
        <f>IF('Données projet'!$A$36&gt;35,N130+M131-V130,IF(A131&lt;'Données projet'!$A$36,$K$205^A131,IF(A131='Données projet'!$A$36,'Données projet'!$B$36,N130+M131-V130)))</f>
        <v>396.51282051281999</v>
      </c>
      <c r="O131" s="13">
        <f>N131*VLOOKUP('Données projet'!$B$9,Paramètres!$A$1:$I$89,3,0)*VLOOKUP('Données projet'!$B$9,Paramètres!$A$1:$I$89,5,0)</f>
        <v>358.76479999999952</v>
      </c>
      <c r="P131" s="13">
        <f t="shared" si="87"/>
        <v>83.364668405580957</v>
      </c>
      <c r="Q131" s="20">
        <f t="shared" ref="Q131:Q153" si="108">(O131+P131)*0.475*44/12</f>
        <v>770.04215747305261</v>
      </c>
      <c r="R131" s="59">
        <f t="shared" ref="R131:R194" si="109">Q131+(I131+J131)*44/12</f>
        <v>1063.3754908063859</v>
      </c>
      <c r="S131" s="59">
        <f ca="1">AVERAGE(OFFSET($R$3,0,0,'Données projet'!$E$9+1,1))-AVERAGE(OFFSET($H$3,0,0,'Données projet'!$E$9+1,1))</f>
        <v>309.07357540707869</v>
      </c>
      <c r="T131" s="59">
        <f t="shared" si="88"/>
        <v>155.9593924683299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6.0711538461538508</v>
      </c>
      <c r="AI131" s="13">
        <f>IF('Données projet'!$A$62&gt;35,AI130+AH131-AQ130,IF(A131&lt;'Données projet'!$A$62,$AF$205^A131,IF(A131='Données projet'!$A$62,'Données projet'!$B$62,AI130+AH131-AQ130)))</f>
        <v>295.42564102564063</v>
      </c>
      <c r="AJ131" s="13">
        <f>AI131*VLOOKUP('Données projet'!$B$10,Paramètres!$A$1:$I$89,3,0)*VLOOKUP('Données projet'!$B$10,Paramètres!$A$1:$I$89,5,0)</f>
        <v>267.30111999999963</v>
      </c>
      <c r="AK131" s="13">
        <f t="shared" si="89"/>
        <v>64.276164376472181</v>
      </c>
      <c r="AL131" s="20">
        <f t="shared" si="58"/>
        <v>577.4971036223551</v>
      </c>
      <c r="AM131" s="59">
        <f t="shared" si="59"/>
        <v>870.83043695568836</v>
      </c>
      <c r="AN131" s="59">
        <f ca="1">AVERAGE(OFFSET($AM$3,0,0,'Données projet'!$E$10+1,1))-AVERAGE(OFFSET($H$3,0,0,'Données projet'!$E$10+1,1))</f>
        <v>234.30804102916278</v>
      </c>
      <c r="AO131" s="59">
        <f t="shared" si="90"/>
        <v>91.137993288782411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3.4106051316484809E-13</v>
      </c>
      <c r="BE131" s="13">
        <f>BD131*VLOOKUP('Données projet'!$B$11,Paramètres!$A$1:$I$89,3,0)*VLOOKUP('Données projet'!$B$11,Paramètres!$A$1:$I$89,5,0)</f>
        <v>1.5961632016114892E-13</v>
      </c>
      <c r="BF131" s="13">
        <f t="shared" si="91"/>
        <v>2.2708641912150958E-12</v>
      </c>
      <c r="BG131" s="20">
        <f t="shared" si="61"/>
        <v>4.2330868906469593E-12</v>
      </c>
      <c r="BH131" s="59">
        <f t="shared" si="62"/>
        <v>293.33333333333752</v>
      </c>
      <c r="BI131" s="59">
        <f ca="1">AVERAGE(OFFSET($BH$3,0,0,'Données projet'!$E$11+1,1))-AVERAGE(OFFSET($H$3,0,0,'Données projet'!$E$11+1,1))</f>
        <v>158.58786357608489</v>
      </c>
      <c r="BJ131" s="59">
        <f t="shared" si="92"/>
        <v>163.20074068819849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4.9084615384615375</v>
      </c>
      <c r="BY131" s="12">
        <f>IF('Données projet'!$A$114&gt;35,BY130+BX131-CG130,IF(A131&lt;'Données projet'!$A$114,$BV$205^A131,IF(A131='Données projet'!$A$114,'Données projet'!$B$114,BY130+BX131-CG130)))</f>
        <v>244.8900000000005</v>
      </c>
      <c r="BZ131" s="13">
        <f>BY131*VLOOKUP('Données projet'!$B$12,Paramètres!$A$1:$I$89,3,0)*VLOOKUP('Données projet'!$B$12,Paramètres!$A$1:$I$89,5,0)</f>
        <v>114.60852000000024</v>
      </c>
      <c r="CA131" s="13">
        <f t="shared" si="93"/>
        <v>30.414180672775675</v>
      </c>
      <c r="CB131" s="20">
        <f t="shared" si="64"/>
        <v>252.58120367175138</v>
      </c>
      <c r="CC131" s="59">
        <f t="shared" si="65"/>
        <v>545.91453700508464</v>
      </c>
      <c r="CD131" s="59">
        <f ca="1">AVERAGE(OFFSET($CC$3,0,0,'Données projet'!$E$12+1,1))-AVERAGE(OFFSET($H$3,0,0,'Données projet'!$E$12+1,1))</f>
        <v>123.2823358462245</v>
      </c>
      <c r="CE131" s="59">
        <f t="shared" si="94"/>
        <v>92.75115399786057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-2.8421709430404007E-13</v>
      </c>
      <c r="CU131" s="17">
        <f>CT131*VLOOKUP('Données projet'!$B$13,Paramètres!$A$1:$I$89,3,0)*VLOOKUP('Données projet'!$B$13,Paramètres!$A$1:$I$89,5,0)</f>
        <v>-1.69961822393816E-13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179.32848817523677</v>
      </c>
      <c r="CZ131" s="59">
        <f t="shared" si="96"/>
        <v>131.3292389103035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0.87072379612153861</v>
      </c>
      <c r="DH131" s="21">
        <f>EXP(-LN(2)/2)*DH130+(1-EXP(-LN(2)/2))/(LN(2)/2)*DB131*DE131*VLOOKUP('Données projet'!$B$13,Paramètres!$A$1:$I$89,3,0)*0.475*44/12</f>
        <v>9.3487340131400751E-15</v>
      </c>
      <c r="DI131" s="22">
        <f t="shared" si="69"/>
        <v>0.87072379612154793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7.1730769230769287</v>
      </c>
      <c r="DO131" s="12">
        <f>IF('Données projet'!$A$166&gt;35,DO130+DN131-DW130,IF(A131&lt;'Données projet'!$A$166,$DL$205^A131,IF(A131='Données projet'!$A$166,'Données projet'!$B$166,DO130+DN131-DW130)))</f>
        <v>396.51282051281999</v>
      </c>
      <c r="DP131" s="17">
        <f>DO131*VLOOKUP('Données projet'!$B$14,Paramètres!$A$1:$I$89,3,0)*VLOOKUP('Données projet'!$B$14,Paramètres!$A$1:$I$89,5,0)</f>
        <v>383.5071999999995</v>
      </c>
      <c r="DQ131" s="13">
        <f t="shared" si="97"/>
        <v>88.424853462075461</v>
      </c>
      <c r="DR131" s="20">
        <f t="shared" si="70"/>
        <v>821.94832644644737</v>
      </c>
      <c r="DS131" s="59">
        <f t="shared" si="71"/>
        <v>1115.2816597797807</v>
      </c>
      <c r="DT131" s="59">
        <f ca="1">AVERAGE(OFFSET($DS$3,0,0,'Données projet'!$E$14+1,1))-AVERAGE(OFFSET($H$3,0,0,'Données projet'!$E$14+1,1))</f>
        <v>340.4659523898373</v>
      </c>
      <c r="DU131" s="59">
        <f t="shared" si="98"/>
        <v>170.54530785680572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6.0711538461538508</v>
      </c>
      <c r="EJ131" s="12">
        <f>IF('Données projet'!$A$192&gt;35,EJ130+EI131-ER130,IF(A131&lt;'Données projet'!$A$192,$EG$205^A131,IF(A131='Données projet'!$A$192,'Données projet'!$B$192,EJ130+EI131-ER130)))</f>
        <v>295.42564102564063</v>
      </c>
      <c r="EK131" s="17">
        <f>EJ131*VLOOKUP('Données projet'!$B$15,Paramètres!$A$1:$I$89,3,0)*VLOOKUP('Données projet'!$B$15,Paramètres!$A$1:$I$89,5,0)</f>
        <v>285.7356799999996</v>
      </c>
      <c r="EL131" s="13">
        <f t="shared" si="99"/>
        <v>68.177688759490351</v>
      </c>
      <c r="EM131" s="20">
        <f t="shared" si="73"/>
        <v>616.39911725611171</v>
      </c>
      <c r="EN131" s="59">
        <f t="shared" si="74"/>
        <v>909.73245058944508</v>
      </c>
      <c r="EO131" s="59">
        <f ca="1">AVERAGE(OFFSET($EN$3,0,0,'Données projet'!$E$15+1,1))-AVERAGE(OFFSET($H$3,0,0,'Données projet'!$E$15+1,1))</f>
        <v>262.20955982183017</v>
      </c>
      <c r="EP131" s="59">
        <f t="shared" si="100"/>
        <v>101.35842063036193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5.6843418860808015E-14</v>
      </c>
      <c r="FF131" s="17">
        <f>FE131*VLOOKUP('Données projet'!$B$16,Paramètres!$A$1:$I$89,3,0)*VLOOKUP('Données projet'!$B$16,Paramètres!$A$1:$I$89,5,0)</f>
        <v>4.5224624045658861E-14</v>
      </c>
      <c r="FG131" s="13">
        <f t="shared" si="101"/>
        <v>7.4514601661523691E-13</v>
      </c>
      <c r="FH131" s="20">
        <f t="shared" si="76"/>
        <v>1.3765621991510601E-12</v>
      </c>
      <c r="FI131" s="59">
        <f t="shared" si="77"/>
        <v>293.33333333333468</v>
      </c>
      <c r="FJ131" s="59">
        <f ca="1">AVERAGE(OFFSET($FI$3,0,0,'Données projet'!$E$16+1,1))-AVERAGE(OFFSET($H$3,0,0,'Données projet'!$E$16+1,1))</f>
        <v>199.58763537752952</v>
      </c>
      <c r="FK131" s="59">
        <f t="shared" si="102"/>
        <v>242.62852778451929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0.6793307274272794</v>
      </c>
      <c r="FS131" s="21">
        <f>EXP(-LN(2)/2)*FS130+(1-EXP(-LN(2)/2))/(LN(2)/2)*FM131*FP131*VLOOKUP('Données projet'!$B$16,Paramètres!$A$1:$I$89,3,0)*0.475*44/12</f>
        <v>1.9116367854401908E-14</v>
      </c>
      <c r="FT131" s="22">
        <f t="shared" si="78"/>
        <v>0.6793307274272985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5.6843418860808015E-14</v>
      </c>
      <c r="GA131" s="17">
        <f>FZ131*VLOOKUP('Données projet'!$B$17,Paramètres!$A$1:$I$89,3,0)*VLOOKUP('Données projet'!$B$17,Paramètres!$A$1:$I$89,5,0)</f>
        <v>4.1677594708744434E-14</v>
      </c>
      <c r="GB131" s="13">
        <f t="shared" si="103"/>
        <v>6.9326303456159188E-13</v>
      </c>
      <c r="GC131" s="20">
        <f t="shared" si="79"/>
        <v>1.2800215959791691E-12</v>
      </c>
      <c r="GD131" s="59">
        <f t="shared" si="80"/>
        <v>293.33333333333462</v>
      </c>
      <c r="GE131" s="59">
        <f ca="1">AVERAGE(OFFSET($GD$3,0,0,'Données projet'!$E$17+1,1))-AVERAGE(OFFSET($H$3,0,0,'Données projet'!$E$17+1,1))</f>
        <v>178.12968684094687</v>
      </c>
      <c r="GF131" s="59">
        <f t="shared" si="104"/>
        <v>219.36004077210373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0.50792726604903105</v>
      </c>
      <c r="GN131" s="21">
        <f>EXP(-LN(2)/2)*GN130+(1-EXP(-LN(2)/2))/(LN(2)/2)*GH131*GK131*VLOOKUP('Données projet'!$B$17,Paramètres!$A$1:$I$89,3,0)*0.475*44/12</f>
        <v>1.7617044885429193E-14</v>
      </c>
      <c r="GO131" s="21">
        <f t="shared" si="81"/>
        <v>0.5079272660490487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5.6843418860808015E-14</v>
      </c>
      <c r="GV131" s="17">
        <f>GU131*VLOOKUP('Données projet'!$B$18,Paramètres!$A$1:$I$89,3,0)*VLOOKUP('Données projet'!$B$18,Paramètres!$A$1:$I$89,5,0)</f>
        <v>4.5224624045658861E-14</v>
      </c>
      <c r="GW131" s="13">
        <f t="shared" si="105"/>
        <v>7.4514601661523691E-13</v>
      </c>
      <c r="GX131" s="20">
        <f t="shared" si="82"/>
        <v>1.3765621991510601E-12</v>
      </c>
      <c r="GY131" s="59">
        <f t="shared" si="83"/>
        <v>293.33333333333468</v>
      </c>
      <c r="GZ131" s="59">
        <f ca="1">AVERAGE(OFFSET($GY$3,0,0,'Données projet'!$E$18+1,1))-AVERAGE(OFFSET($H$3,0,0,'Données projet'!$E$18+1,1))</f>
        <v>199.58763537752952</v>
      </c>
      <c r="HA131" s="59">
        <f t="shared" si="106"/>
        <v>242.62852778451929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0</v>
      </c>
      <c r="HH131" s="21">
        <f>EXP(-LN(2)/25)*HH130+(1-EXP(-LN(2)/25))/(LN(2)/25)*Calculateur!HC131*Calculateur!HE131*VLOOKUP('Données projet'!$B$18,Paramètres!$A$1:$I$89,3,0)*0.475*44/12</f>
        <v>0.6793307274272794</v>
      </c>
      <c r="HI131" s="21">
        <f>EXP(-LN(2)/2)*HI130+(1-EXP(-LN(2)/2))/(LN(2)/2)*HC131*HF131*VLOOKUP('Données projet'!$B$18,Paramètres!$A$1:$I$89,3,0)*0.475*44/12</f>
        <v>1.9116367854401908E-14</v>
      </c>
      <c r="HJ131" s="22">
        <f t="shared" si="84"/>
        <v>0.6793307274272985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7.1730769230769287</v>
      </c>
      <c r="N132" s="13">
        <f>IF('Données projet'!$A$36&gt;35,N131+M132-V131,IF(A132&lt;'Données projet'!$A$36,$K$205^A132,IF(A132='Données projet'!$A$36,'Données projet'!$B$36,N131+M132-V131)))</f>
        <v>403.68589743589689</v>
      </c>
      <c r="O132" s="13">
        <f>N132*VLOOKUP('Données projet'!$B$9,Paramètres!$A$1:$I$89,3,0)*VLOOKUP('Données projet'!$B$9,Paramètres!$A$1:$I$89,5,0)</f>
        <v>365.25499999999948</v>
      </c>
      <c r="P132" s="13">
        <f t="shared" si="87"/>
        <v>84.695832356146539</v>
      </c>
      <c r="Q132" s="20">
        <f t="shared" si="108"/>
        <v>783.66436635362095</v>
      </c>
      <c r="R132" s="59">
        <f t="shared" si="109"/>
        <v>1076.9976996869543</v>
      </c>
      <c r="S132" s="59">
        <f ca="1">AVERAGE(OFFSET($R$3,0,0,'Données projet'!$E$9+1,1))-AVERAGE(OFFSET($H$3,0,0,'Données projet'!$E$9+1,1))</f>
        <v>309.07357540707869</v>
      </c>
      <c r="T132" s="59">
        <f t="shared" si="88"/>
        <v>155.9593924683299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6.0711538461538508</v>
      </c>
      <c r="AI132" s="13">
        <f>IF('Données projet'!$A$62&gt;35,AI131+AH132-AQ131,IF(A132&lt;'Données projet'!$A$62,$AF$205^A132,IF(A132='Données projet'!$A$62,'Données projet'!$B$62,AI131+AH132-AQ131)))</f>
        <v>301.49679487179446</v>
      </c>
      <c r="AJ132" s="13">
        <f>AI132*VLOOKUP('Données projet'!$B$10,Paramètres!$A$1:$I$89,3,0)*VLOOKUP('Données projet'!$B$10,Paramètres!$A$1:$I$89,5,0)</f>
        <v>272.79429999999962</v>
      </c>
      <c r="AK132" s="13">
        <f t="shared" si="89"/>
        <v>65.441934446926666</v>
      </c>
      <c r="AL132" s="20">
        <f t="shared" ref="AL132:AL153" si="112">(AJ132+AK132)*0.475*44/12</f>
        <v>589.09477499506329</v>
      </c>
      <c r="AM132" s="59">
        <f t="shared" ref="AM132:AM195" si="113">AL132+(AD132+AE132)*44/12</f>
        <v>882.42810832839655</v>
      </c>
      <c r="AN132" s="59">
        <f ca="1">AVERAGE(OFFSET($AM$3,0,0,'Données projet'!$E$10+1,1))-AVERAGE(OFFSET($H$3,0,0,'Données projet'!$E$10+1,1))</f>
        <v>234.30804102916278</v>
      </c>
      <c r="AO132" s="59">
        <f t="shared" si="90"/>
        <v>91.137993288782411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3.4106051316484809E-13</v>
      </c>
      <c r="BE132" s="13">
        <f>BD132*VLOOKUP('Données projet'!$B$11,Paramètres!$A$1:$I$89,3,0)*VLOOKUP('Données projet'!$B$11,Paramètres!$A$1:$I$89,5,0)</f>
        <v>1.5961632016114892E-13</v>
      </c>
      <c r="BF132" s="13">
        <f t="shared" si="91"/>
        <v>2.2708641912150958E-12</v>
      </c>
      <c r="BG132" s="20">
        <f t="shared" ref="BG132:BG153" si="115">(BE132+BF132)*0.475*44/12</f>
        <v>4.2330868906469593E-12</v>
      </c>
      <c r="BH132" s="59">
        <f t="shared" ref="BH132:BH195" si="116">BG132+(AY132+AZ132)*44/12</f>
        <v>293.33333333333752</v>
      </c>
      <c r="BI132" s="59">
        <f ca="1">AVERAGE(OFFSET($BH$3,0,0,'Données projet'!$E$11+1,1))-AVERAGE(OFFSET($H$3,0,0,'Données projet'!$E$11+1,1))</f>
        <v>158.58786357608489</v>
      </c>
      <c r="BJ132" s="59">
        <f t="shared" si="92"/>
        <v>163.20074068819849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4.9084615384615375</v>
      </c>
      <c r="BY132" s="12">
        <f>IF('Données projet'!$A$114&gt;35,BY131+BX132-CG131,IF(A132&lt;'Données projet'!$A$114,$BV$205^A132,IF(A132='Données projet'!$A$114,'Données projet'!$B$114,BY131+BX132-CG131)))</f>
        <v>249.79846153846205</v>
      </c>
      <c r="BZ132" s="13">
        <f>BY132*VLOOKUP('Données projet'!$B$12,Paramètres!$A$1:$I$89,3,0)*VLOOKUP('Données projet'!$B$12,Paramètres!$A$1:$I$89,5,0)</f>
        <v>116.90568000000023</v>
      </c>
      <c r="CA132" s="13">
        <f t="shared" si="93"/>
        <v>30.952206344593453</v>
      </c>
      <c r="CB132" s="20">
        <f t="shared" ref="CB132:CB153" si="118">(BZ132+CA132)*0.475*44/12</f>
        <v>257.51915205016729</v>
      </c>
      <c r="CC132" s="59">
        <f t="shared" ref="CC132:CC195" si="119">CB132+(BT132+BU132)*44/12</f>
        <v>550.85248538350061</v>
      </c>
      <c r="CD132" s="59">
        <f ca="1">AVERAGE(OFFSET($CC$3,0,0,'Données projet'!$E$12+1,1))-AVERAGE(OFFSET($H$3,0,0,'Données projet'!$E$12+1,1))</f>
        <v>123.2823358462245</v>
      </c>
      <c r="CE132" s="59">
        <f t="shared" si="94"/>
        <v>92.75115399786057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-2.8421709430404007E-13</v>
      </c>
      <c r="CU132" s="17">
        <f>CT132*VLOOKUP('Données projet'!$B$13,Paramètres!$A$1:$I$89,3,0)*VLOOKUP('Données projet'!$B$13,Paramètres!$A$1:$I$89,5,0)</f>
        <v>-1.69961822393816E-13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179.32848817523677</v>
      </c>
      <c r="CZ132" s="59">
        <f t="shared" si="96"/>
        <v>131.3292389103035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0.84691380812722072</v>
      </c>
      <c r="DH132" s="21">
        <f>EXP(-LN(2)/2)*DH131+(1-EXP(-LN(2)/2))/(LN(2)/2)*DB132*DE132*VLOOKUP('Données projet'!$B$13,Paramètres!$A$1:$I$89,3,0)*0.475*44/12</f>
        <v>6.6105532162006734E-15</v>
      </c>
      <c r="DI132" s="22">
        <f t="shared" ref="DI132:DI153" si="123">SUM(DF132:DH132)</f>
        <v>0.84691380812722739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7.1730769230769287</v>
      </c>
      <c r="DO132" s="12">
        <f>IF('Données projet'!$A$166&gt;35,DO131+DN132-DW131,IF(A132&lt;'Données projet'!$A$166,$DL$205^A132,IF(A132='Données projet'!$A$166,'Données projet'!$B$166,DO131+DN132-DW131)))</f>
        <v>403.68589743589689</v>
      </c>
      <c r="DP132" s="17">
        <f>DO132*VLOOKUP('Données projet'!$B$14,Paramètres!$A$1:$I$89,3,0)*VLOOKUP('Données projet'!$B$14,Paramètres!$A$1:$I$89,5,0)</f>
        <v>390.44499999999948</v>
      </c>
      <c r="DQ132" s="13">
        <f t="shared" si="97"/>
        <v>89.836818261000658</v>
      </c>
      <c r="DR132" s="20">
        <f t="shared" ref="DR132:DR153" si="124">(DP132+DQ132)*0.475*44/12</f>
        <v>836.49083347124179</v>
      </c>
      <c r="DS132" s="59">
        <f t="shared" ref="DS132:DS195" si="125">DR132+(DJ132+DK132)*44/12</f>
        <v>1129.824166804575</v>
      </c>
      <c r="DT132" s="59">
        <f ca="1">AVERAGE(OFFSET($DS$3,0,0,'Données projet'!$E$14+1,1))-AVERAGE(OFFSET($H$3,0,0,'Données projet'!$E$14+1,1))</f>
        <v>340.4659523898373</v>
      </c>
      <c r="DU132" s="59">
        <f t="shared" si="98"/>
        <v>170.54530785680572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6.0711538461538508</v>
      </c>
      <c r="EJ132" s="12">
        <f>IF('Données projet'!$A$192&gt;35,EJ131+EI132-ER131,IF(A132&lt;'Données projet'!$A$192,$EG$205^A132,IF(A132='Données projet'!$A$192,'Données projet'!$B$192,EJ131+EI132-ER131)))</f>
        <v>301.49679487179446</v>
      </c>
      <c r="EK132" s="17">
        <f>EJ132*VLOOKUP('Données projet'!$B$15,Paramètres!$A$1:$I$89,3,0)*VLOOKUP('Données projet'!$B$15,Paramètres!$A$1:$I$89,5,0)</f>
        <v>291.60769999999962</v>
      </c>
      <c r="EL132" s="13">
        <f t="shared" si="99"/>
        <v>69.414220369607321</v>
      </c>
      <c r="EM132" s="20">
        <f t="shared" ref="EM132:EM153" si="127">(EK132+EL132)*0.475*44/12</f>
        <v>628.77984464373219</v>
      </c>
      <c r="EN132" s="59">
        <f t="shared" ref="EN132:EN195" si="128">EM132+(EE132+EF132)*44/12</f>
        <v>922.11317797706556</v>
      </c>
      <c r="EO132" s="59">
        <f ca="1">AVERAGE(OFFSET($EN$3,0,0,'Données projet'!$E$15+1,1))-AVERAGE(OFFSET($H$3,0,0,'Données projet'!$E$15+1,1))</f>
        <v>262.20955982183017</v>
      </c>
      <c r="EP132" s="59">
        <f t="shared" si="100"/>
        <v>101.35842063036193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5.6843418860808015E-14</v>
      </c>
      <c r="FF132" s="17">
        <f>FE132*VLOOKUP('Données projet'!$B$16,Paramètres!$A$1:$I$89,3,0)*VLOOKUP('Données projet'!$B$16,Paramètres!$A$1:$I$89,5,0)</f>
        <v>4.5224624045658861E-14</v>
      </c>
      <c r="FG132" s="13">
        <f t="shared" si="101"/>
        <v>7.4514601661523691E-13</v>
      </c>
      <c r="FH132" s="20">
        <f t="shared" ref="FH132:FH153" si="130">(FF132+FG132)*0.475*44/12</f>
        <v>1.3765621991510601E-12</v>
      </c>
      <c r="FI132" s="59">
        <f t="shared" ref="FI132:FI195" si="131">FH132+(EZ132+FA132)*44/12</f>
        <v>293.33333333333468</v>
      </c>
      <c r="FJ132" s="59">
        <f ca="1">AVERAGE(OFFSET($FI$3,0,0,'Données projet'!$E$16+1,1))-AVERAGE(OFFSET($H$3,0,0,'Données projet'!$E$16+1,1))</f>
        <v>199.58763537752952</v>
      </c>
      <c r="FK132" s="59">
        <f t="shared" si="102"/>
        <v>242.62852778451929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0.66075439296133009</v>
      </c>
      <c r="FS132" s="21">
        <f>EXP(-LN(2)/2)*FS131+(1-EXP(-LN(2)/2))/(LN(2)/2)*FM132*FP132*VLOOKUP('Données projet'!$B$16,Paramètres!$A$1:$I$89,3,0)*0.475*44/12</f>
        <v>1.3517313341504121E-14</v>
      </c>
      <c r="FT132" s="22">
        <f t="shared" ref="FT132:FT153" si="132">SUM(FQ132:FS132)</f>
        <v>0.66075439296134364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5.6843418860808015E-14</v>
      </c>
      <c r="GA132" s="17">
        <f>FZ132*VLOOKUP('Données projet'!$B$17,Paramètres!$A$1:$I$89,3,0)*VLOOKUP('Données projet'!$B$17,Paramètres!$A$1:$I$89,5,0)</f>
        <v>4.1677594708744434E-14</v>
      </c>
      <c r="GB132" s="13">
        <f t="shared" si="103"/>
        <v>6.9326303456159188E-13</v>
      </c>
      <c r="GC132" s="20">
        <f t="shared" ref="GC132:GC153" si="133">(GA132+GB132)*0.475*44/12</f>
        <v>1.2800215959791691E-12</v>
      </c>
      <c r="GD132" s="59">
        <f t="shared" ref="GD132:GD195" si="134">GC132+(FU132+FV132)*44/12</f>
        <v>293.33333333333462</v>
      </c>
      <c r="GE132" s="59">
        <f ca="1">AVERAGE(OFFSET($GD$3,0,0,'Données projet'!$E$17+1,1))-AVERAGE(OFFSET($H$3,0,0,'Données projet'!$E$17+1,1))</f>
        <v>178.12968684094687</v>
      </c>
      <c r="GF132" s="59">
        <f t="shared" si="104"/>
        <v>219.36004077210373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0.49403796824818624</v>
      </c>
      <c r="GN132" s="21">
        <f>EXP(-LN(2)/2)*GN131+(1-EXP(-LN(2)/2))/(LN(2)/2)*GH132*GK132*VLOOKUP('Données projet'!$B$17,Paramètres!$A$1:$I$89,3,0)*0.475*44/12</f>
        <v>1.2457131902954767E-14</v>
      </c>
      <c r="GO132" s="21">
        <f t="shared" ref="GO132:GO153" si="135">SUM(GL132:GN132)</f>
        <v>0.49403796824819868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5.6843418860808015E-14</v>
      </c>
      <c r="GV132" s="17">
        <f>GU132*VLOOKUP('Données projet'!$B$18,Paramètres!$A$1:$I$89,3,0)*VLOOKUP('Données projet'!$B$18,Paramètres!$A$1:$I$89,5,0)</f>
        <v>4.5224624045658861E-14</v>
      </c>
      <c r="GW132" s="13">
        <f t="shared" si="105"/>
        <v>7.4514601661523691E-13</v>
      </c>
      <c r="GX132" s="20">
        <f t="shared" ref="GX132:GX153" si="136">(GV132+GW132)*0.475*44/12</f>
        <v>1.3765621991510601E-12</v>
      </c>
      <c r="GY132" s="59">
        <f t="shared" ref="GY132:GY195" si="137">GX132+(GP132+GQ132)*44/12</f>
        <v>293.33333333333468</v>
      </c>
      <c r="GZ132" s="59">
        <f ca="1">AVERAGE(OFFSET($GY$3,0,0,'Données projet'!$E$18+1,1))-AVERAGE(OFFSET($H$3,0,0,'Données projet'!$E$18+1,1))</f>
        <v>199.58763537752952</v>
      </c>
      <c r="HA132" s="59">
        <f t="shared" si="106"/>
        <v>242.62852778451929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0</v>
      </c>
      <c r="HH132" s="21">
        <f>EXP(-LN(2)/25)*HH131+(1-EXP(-LN(2)/25))/(LN(2)/25)*Calculateur!HC132*Calculateur!HE132*VLOOKUP('Données projet'!$B$18,Paramètres!$A$1:$I$89,3,0)*0.475*44/12</f>
        <v>0.66075439296133009</v>
      </c>
      <c r="HI132" s="21">
        <f>EXP(-LN(2)/2)*HI131+(1-EXP(-LN(2)/2))/(LN(2)/2)*HC132*HF132*VLOOKUP('Données projet'!$B$18,Paramètres!$A$1:$I$89,3,0)*0.475*44/12</f>
        <v>1.3517313341504121E-14</v>
      </c>
      <c r="HJ132" s="22">
        <f t="shared" ref="HJ132:HJ153" si="138">SUM(HG132:HI132)</f>
        <v>0.66075439296134364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410.85897435897436</v>
      </c>
      <c r="L133" s="12">
        <f>VLOOKUP(A133,'Données projet'!$A$35:$I$55,9,0)</f>
        <v>7.1730769230769287</v>
      </c>
      <c r="M133" s="12">
        <f t="array" ref="M133">INDEX(L:L,MIN(IF(ISNUMBER(L133:L329),ROW(L133:L329),"")))</f>
        <v>7.1730769230769287</v>
      </c>
      <c r="N133" s="13">
        <f>IF('Données projet'!$A$36&gt;35,N132+M133-V132,IF(A133&lt;'Données projet'!$A$36,$K$205^A133,IF(A133='Données projet'!$A$36,'Données projet'!$B$36,N132+M133-V132)))</f>
        <v>410.8589743589738</v>
      </c>
      <c r="O133" s="13">
        <f>N133*VLOOKUP('Données projet'!$B$9,Paramètres!$A$1:$I$89,3,0)*VLOOKUP('Données projet'!$B$9,Paramètres!$A$1:$I$89,5,0)</f>
        <v>371.7451999999995</v>
      </c>
      <c r="P133" s="13">
        <f t="shared" ref="P133:P196" si="141">EXP(-1.0587+0.8836*LN(O133)+0.284)</f>
        <v>86.024245744005782</v>
      </c>
      <c r="Q133" s="20">
        <f t="shared" si="108"/>
        <v>797.28178467080909</v>
      </c>
      <c r="R133" s="59">
        <f t="shared" si="109"/>
        <v>1090.6151180041425</v>
      </c>
      <c r="S133" s="59">
        <f ca="1">AVERAGE(OFFSET($R$3,0,0,'Données projet'!$E$9+1,1))-AVERAGE(OFFSET($H$3,0,0,'Données projet'!$E$9+1,1))</f>
        <v>309.07357540707869</v>
      </c>
      <c r="T133" s="59">
        <f t="shared" ref="T133:T196" si="142">$T$3</f>
        <v>155.9593924683299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51.378205128205131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6.0711538461538508</v>
      </c>
      <c r="AI133" s="13">
        <f>IF('Données projet'!$A$62&gt;35,AI132+AH133-AQ132,IF(A133&lt;'Données projet'!$A$62,$AF$205^A133,IF(A133='Données projet'!$A$62,'Données projet'!$B$62,AI132+AH133-AQ132)))</f>
        <v>307.5679487179483</v>
      </c>
      <c r="AJ133" s="13">
        <f>AI133*VLOOKUP('Données projet'!$B$10,Paramètres!$A$1:$I$89,3,0)*VLOOKUP('Données projet'!$B$10,Paramètres!$A$1:$I$89,5,0)</f>
        <v>278.28747999999962</v>
      </c>
      <c r="AK133" s="13">
        <f t="shared" ref="AK133:AK153" si="143">EXP(-1.0587+0.8836*LN(AJ133)+0.284)</f>
        <v>66.604975058404179</v>
      </c>
      <c r="AL133" s="20">
        <f t="shared" si="112"/>
        <v>600.68769256005328</v>
      </c>
      <c r="AM133" s="59">
        <f t="shared" si="113"/>
        <v>894.02102589338665</v>
      </c>
      <c r="AN133" s="59">
        <f ca="1">AVERAGE(OFFSET($AM$3,0,0,'Données projet'!$E$10+1,1))-AVERAGE(OFFSET($H$3,0,0,'Données projet'!$E$10+1,1))</f>
        <v>234.30804102916278</v>
      </c>
      <c r="AO133" s="59">
        <f t="shared" ref="AO133:AO196" si="144">$AO$3</f>
        <v>91.137993288782411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3.4106051316484809E-13</v>
      </c>
      <c r="BE133" s="13">
        <f>BD133*VLOOKUP('Données projet'!$B$11,Paramètres!$A$1:$I$89,3,0)*VLOOKUP('Données projet'!$B$11,Paramètres!$A$1:$I$89,5,0)</f>
        <v>1.5961632016114892E-13</v>
      </c>
      <c r="BF133" s="13">
        <f t="shared" ref="BF133:BF153" si="145">EXP(-1.0587+0.8836*LN(BE133)+0.284)</f>
        <v>2.2708641912150958E-12</v>
      </c>
      <c r="BG133" s="20">
        <f t="shared" si="115"/>
        <v>4.2330868906469593E-12</v>
      </c>
      <c r="BH133" s="59">
        <f t="shared" si="116"/>
        <v>293.33333333333752</v>
      </c>
      <c r="BI133" s="59">
        <f ca="1">AVERAGE(OFFSET($BH$3,0,0,'Données projet'!$E$11+1,1))-AVERAGE(OFFSET($H$3,0,0,'Données projet'!$E$11+1,1))</f>
        <v>158.58786357608489</v>
      </c>
      <c r="BJ133" s="59">
        <f t="shared" ref="BJ133:BJ196" si="146">$BJ$3</f>
        <v>163.20074068819849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4.9084615384615375</v>
      </c>
      <c r="BY133" s="12">
        <f>IF('Données projet'!$A$114&gt;35,BY132+BX133-CG132,IF(A133&lt;'Données projet'!$A$114,$BV$205^A133,IF(A133='Données projet'!$A$114,'Données projet'!$B$114,BY132+BX133-CG132)))</f>
        <v>254.7069230769236</v>
      </c>
      <c r="BZ133" s="13">
        <f>BY133*VLOOKUP('Données projet'!$B$12,Paramètres!$A$1:$I$89,3,0)*VLOOKUP('Données projet'!$B$12,Paramètres!$A$1:$I$89,5,0)</f>
        <v>119.20284000000025</v>
      </c>
      <c r="CA133" s="13">
        <f t="shared" ref="CA133:CA153" si="147">EXP(-1.0587+0.8836*LN(BZ133)+0.284)</f>
        <v>31.489002754044058</v>
      </c>
      <c r="CB133" s="20">
        <f t="shared" si="118"/>
        <v>262.45495946329385</v>
      </c>
      <c r="CC133" s="59">
        <f t="shared" si="119"/>
        <v>555.78829279662716</v>
      </c>
      <c r="CD133" s="59">
        <f ca="1">AVERAGE(OFFSET($CC$3,0,0,'Données projet'!$E$12+1,1))-AVERAGE(OFFSET($H$3,0,0,'Données projet'!$E$12+1,1))</f>
        <v>123.2823358462245</v>
      </c>
      <c r="CE133" s="59">
        <f t="shared" ref="CE133:CE196" si="148">$CE$3</f>
        <v>92.75115399786057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-2.8421709430404007E-13</v>
      </c>
      <c r="CU133" s="17">
        <f>CT133*VLOOKUP('Données projet'!$B$13,Paramètres!$A$1:$I$89,3,0)*VLOOKUP('Données projet'!$B$13,Paramètres!$A$1:$I$89,5,0)</f>
        <v>-1.69961822393816E-13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179.32848817523677</v>
      </c>
      <c r="CZ133" s="59">
        <f t="shared" ref="CZ133:CZ196" si="150">$CZ$3</f>
        <v>131.3292389103035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0.82375490550672037</v>
      </c>
      <c r="DH133" s="21">
        <f>EXP(-LN(2)/2)*DH132+(1-EXP(-LN(2)/2))/(LN(2)/2)*DB133*DE133*VLOOKUP('Données projet'!$B$13,Paramètres!$A$1:$I$89,3,0)*0.475*44/12</f>
        <v>4.6743670065700375E-15</v>
      </c>
      <c r="DI133" s="22">
        <f t="shared" si="123"/>
        <v>0.82375490550672503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>
        <f>VLOOKUP(A133,'Données projet'!$A$165:$I$185,2,0)</f>
        <v>410.85897435897436</v>
      </c>
      <c r="DM133" s="12">
        <f>VLOOKUP(A133,'Données projet'!$A$165:$I$185,9,0)</f>
        <v>7.1730769230769287</v>
      </c>
      <c r="DN133" s="12">
        <f t="array" ref="DN133">INDEX(DM:DM,MIN(IF(ISNUMBER(DM133:DM329),ROW(DM133:DM329),"")))</f>
        <v>7.1730769230769287</v>
      </c>
      <c r="DO133" s="12">
        <f>IF('Données projet'!$A$166&gt;35,DO132+DN133-DW132,IF(A133&lt;'Données projet'!$A$166,$DL$205^A133,IF(A133='Données projet'!$A$166,'Données projet'!$B$166,DO132+DN133-DW132)))</f>
        <v>410.8589743589738</v>
      </c>
      <c r="DP133" s="17">
        <f>DO133*VLOOKUP('Données projet'!$B$14,Paramètres!$A$1:$I$89,3,0)*VLOOKUP('Données projet'!$B$14,Paramètres!$A$1:$I$89,5,0)</f>
        <v>397.38279999999946</v>
      </c>
      <c r="DQ133" s="13">
        <f t="shared" ref="DQ133:DQ153" si="151">EXP(-1.0587+0.8836*LN(DP133)+0.284)</f>
        <v>91.245865539723368</v>
      </c>
      <c r="DR133" s="20">
        <f t="shared" si="124"/>
        <v>851.02825914835046</v>
      </c>
      <c r="DS133" s="59">
        <f t="shared" si="125"/>
        <v>1144.3615924816838</v>
      </c>
      <c r="DT133" s="59">
        <f ca="1">AVERAGE(OFFSET($DS$3,0,0,'Données projet'!$E$14+1,1))-AVERAGE(OFFSET($H$3,0,0,'Données projet'!$E$14+1,1))</f>
        <v>340.4659523898373</v>
      </c>
      <c r="DU133" s="59">
        <f t="shared" ref="DU133:DU196" si="152">$DU$3</f>
        <v>170.54530785680572</v>
      </c>
      <c r="DV133" s="15">
        <f>IF(ISNA(VLOOKUP(A133,'Données projet'!$A$165:$I$185,3,0)),0,VLOOKUP(A133,'Données projet'!$A$165:$I$185,3,0))</f>
        <v>12</v>
      </c>
      <c r="DW133" s="15">
        <f>IF(ISNA(VLOOKUP(A133,'Données projet'!$A$165:$I$185,4,0)),0,VLOOKUP(A133,'Données projet'!$A$165:$I$185,4,0))</f>
        <v>51.378205128205131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6.0711538461538508</v>
      </c>
      <c r="EJ133" s="12">
        <f>IF('Données projet'!$A$192&gt;35,EJ132+EI133-ER132,IF(A133&lt;'Données projet'!$A$192,$EG$205^A133,IF(A133='Données projet'!$A$192,'Données projet'!$B$192,EJ132+EI133-ER132)))</f>
        <v>307.5679487179483</v>
      </c>
      <c r="EK133" s="17">
        <f>EJ133*VLOOKUP('Données projet'!$B$15,Paramètres!$A$1:$I$89,3,0)*VLOOKUP('Données projet'!$B$15,Paramètres!$A$1:$I$89,5,0)</f>
        <v>297.47971999999959</v>
      </c>
      <c r="EL133" s="13">
        <f t="shared" ref="EL133:EL153" si="153">EXP(-1.0587+0.8836*LN(EK133)+0.284)</f>
        <v>70.647856844234653</v>
      </c>
      <c r="EM133" s="20">
        <f t="shared" si="127"/>
        <v>641.15552967037456</v>
      </c>
      <c r="EN133" s="59">
        <f t="shared" si="128"/>
        <v>934.48886300370782</v>
      </c>
      <c r="EO133" s="59">
        <f ca="1">AVERAGE(OFFSET($EN$3,0,0,'Données projet'!$E$15+1,1))-AVERAGE(OFFSET($H$3,0,0,'Données projet'!$E$15+1,1))</f>
        <v>262.20955982183017</v>
      </c>
      <c r="EP133" s="59">
        <f t="shared" ref="EP133:EP196" si="154">$EP$3</f>
        <v>101.35842063036193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5.6843418860808015E-14</v>
      </c>
      <c r="FF133" s="17">
        <f>FE133*VLOOKUP('Données projet'!$B$16,Paramètres!$A$1:$I$89,3,0)*VLOOKUP('Données projet'!$B$16,Paramètres!$A$1:$I$89,5,0)</f>
        <v>4.5224624045658861E-14</v>
      </c>
      <c r="FG133" s="13">
        <f t="shared" ref="FG133:FG153" si="155">EXP(-1.0587+0.8836*LN(FF133)+0.284)</f>
        <v>7.4514601661523691E-13</v>
      </c>
      <c r="FH133" s="20">
        <f t="shared" si="130"/>
        <v>1.3765621991510601E-12</v>
      </c>
      <c r="FI133" s="59">
        <f t="shared" si="131"/>
        <v>293.33333333333468</v>
      </c>
      <c r="FJ133" s="59">
        <f ca="1">AVERAGE(OFFSET($FI$3,0,0,'Données projet'!$E$16+1,1))-AVERAGE(OFFSET($H$3,0,0,'Données projet'!$E$16+1,1))</f>
        <v>199.58763537752952</v>
      </c>
      <c r="FK133" s="59">
        <f t="shared" ref="FK133:FK196" si="156">$FK$3</f>
        <v>242.62852778451929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0.64268602933823915</v>
      </c>
      <c r="FS133" s="21">
        <f>EXP(-LN(2)/2)*FS132+(1-EXP(-LN(2)/2))/(LN(2)/2)*FM133*FP133*VLOOKUP('Données projet'!$B$16,Paramètres!$A$1:$I$89,3,0)*0.475*44/12</f>
        <v>9.5581839272009538E-15</v>
      </c>
      <c r="FT133" s="22">
        <f t="shared" si="132"/>
        <v>0.6426860293382487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5.6843418860808015E-14</v>
      </c>
      <c r="GA133" s="17">
        <f>FZ133*VLOOKUP('Données projet'!$B$17,Paramètres!$A$1:$I$89,3,0)*VLOOKUP('Données projet'!$B$17,Paramètres!$A$1:$I$89,5,0)</f>
        <v>4.1677594708744434E-14</v>
      </c>
      <c r="GB133" s="13">
        <f t="shared" ref="GB133:GB153" si="157">EXP(-1.0587+0.8836*LN(GA133)+0.284)</f>
        <v>6.9326303456159188E-13</v>
      </c>
      <c r="GC133" s="20">
        <f t="shared" si="133"/>
        <v>1.2800215959791691E-12</v>
      </c>
      <c r="GD133" s="59">
        <f t="shared" si="134"/>
        <v>293.33333333333462</v>
      </c>
      <c r="GE133" s="59">
        <f ca="1">AVERAGE(OFFSET($GD$3,0,0,'Données projet'!$E$17+1,1))-AVERAGE(OFFSET($H$3,0,0,'Données projet'!$E$17+1,1))</f>
        <v>178.12968684094687</v>
      </c>
      <c r="GF133" s="59">
        <f t="shared" ref="GF133:GF196" si="158">$GF$3</f>
        <v>219.36004077210373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0.48052847402611198</v>
      </c>
      <c r="GN133" s="21">
        <f>EXP(-LN(2)/2)*GN132+(1-EXP(-LN(2)/2))/(LN(2)/2)*GH133*GK133*VLOOKUP('Données projet'!$B$17,Paramètres!$A$1:$I$89,3,0)*0.475*44/12</f>
        <v>8.8085224427145967E-15</v>
      </c>
      <c r="GO133" s="21">
        <f t="shared" si="135"/>
        <v>0.48052847402612081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5.6843418860808015E-14</v>
      </c>
      <c r="GV133" s="17">
        <f>GU133*VLOOKUP('Données projet'!$B$18,Paramètres!$A$1:$I$89,3,0)*VLOOKUP('Données projet'!$B$18,Paramètres!$A$1:$I$89,5,0)</f>
        <v>4.5224624045658861E-14</v>
      </c>
      <c r="GW133" s="13">
        <f t="shared" ref="GW133:GW153" si="159">EXP(-1.0587+0.8836*LN(GV133)+0.284)</f>
        <v>7.4514601661523691E-13</v>
      </c>
      <c r="GX133" s="20">
        <f t="shared" si="136"/>
        <v>1.3765621991510601E-12</v>
      </c>
      <c r="GY133" s="59">
        <f t="shared" si="137"/>
        <v>293.33333333333468</v>
      </c>
      <c r="GZ133" s="59">
        <f ca="1">AVERAGE(OFFSET($GY$3,0,0,'Données projet'!$E$18+1,1))-AVERAGE(OFFSET($H$3,0,0,'Données projet'!$E$18+1,1))</f>
        <v>199.58763537752952</v>
      </c>
      <c r="HA133" s="59">
        <f t="shared" ref="HA133:HA196" si="160">$HA$3</f>
        <v>242.62852778451929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0</v>
      </c>
      <c r="HH133" s="21">
        <f>EXP(-LN(2)/25)*HH132+(1-EXP(-LN(2)/25))/(LN(2)/25)*Calculateur!HC133*Calculateur!HE133*VLOOKUP('Données projet'!$B$18,Paramètres!$A$1:$I$89,3,0)*0.475*44/12</f>
        <v>0.64268602933823915</v>
      </c>
      <c r="HI133" s="21">
        <f>EXP(-LN(2)/2)*HI132+(1-EXP(-LN(2)/2))/(LN(2)/2)*HC133*HF133*VLOOKUP('Données projet'!$B$18,Paramètres!$A$1:$I$89,3,0)*0.475*44/12</f>
        <v>9.5581839272009538E-15</v>
      </c>
      <c r="HJ133" s="22">
        <f t="shared" si="138"/>
        <v>0.6426860293382487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7.2230769230769223</v>
      </c>
      <c r="N134" s="13">
        <f>IF('Données projet'!$A$36&gt;35,N133+M134-V133,IF(A134&lt;'Données projet'!$A$36,$K$205^A134,IF(A134='Données projet'!$A$36,'Données projet'!$B$36,N133+M134-V133)))</f>
        <v>366.70384615384557</v>
      </c>
      <c r="O134" s="13">
        <f>N134*VLOOKUP('Données projet'!$B$9,Paramètres!$A$1:$I$89,3,0)*VLOOKUP('Données projet'!$B$9,Paramètres!$A$1:$I$89,5,0)</f>
        <v>331.79363999999947</v>
      </c>
      <c r="P134" s="13">
        <f t="shared" si="141"/>
        <v>77.802057109037236</v>
      </c>
      <c r="Q134" s="20">
        <f t="shared" si="108"/>
        <v>713.37917246490554</v>
      </c>
      <c r="R134" s="59">
        <f t="shared" si="109"/>
        <v>1006.7125057982389</v>
      </c>
      <c r="S134" s="59">
        <f ca="1">AVERAGE(OFFSET($R$3,0,0,'Données projet'!$E$9+1,1))-AVERAGE(OFFSET($H$3,0,0,'Données projet'!$E$9+1,1))</f>
        <v>309.07357540707869</v>
      </c>
      <c r="T134" s="59">
        <f t="shared" si="142"/>
        <v>155.9593924683299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6.0711538461538508</v>
      </c>
      <c r="AI134" s="13">
        <f>IF('Données projet'!$A$62&gt;35,AI133+AH134-AQ133,IF(A134&lt;'Données projet'!$A$62,$AF$205^A134,IF(A134='Données projet'!$A$62,'Données projet'!$B$62,AI133+AH134-AQ133)))</f>
        <v>313.63910256410213</v>
      </c>
      <c r="AJ134" s="13">
        <f>AI134*VLOOKUP('Données projet'!$B$10,Paramètres!$A$1:$I$89,3,0)*VLOOKUP('Données projet'!$B$10,Paramètres!$A$1:$I$89,5,0)</f>
        <v>283.78065999999961</v>
      </c>
      <c r="AK134" s="13">
        <f t="shared" si="143"/>
        <v>67.76534629847545</v>
      </c>
      <c r="AL134" s="20">
        <f t="shared" si="112"/>
        <v>612.27596096984405</v>
      </c>
      <c r="AM134" s="59">
        <f t="shared" si="113"/>
        <v>905.60929430317742</v>
      </c>
      <c r="AN134" s="59">
        <f ca="1">AVERAGE(OFFSET($AM$3,0,0,'Données projet'!$E$10+1,1))-AVERAGE(OFFSET($H$3,0,0,'Données projet'!$E$10+1,1))</f>
        <v>234.30804102916278</v>
      </c>
      <c r="AO134" s="59">
        <f t="shared" si="144"/>
        <v>91.137993288782411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3.4106051316484809E-13</v>
      </c>
      <c r="BE134" s="13">
        <f>BD134*VLOOKUP('Données projet'!$B$11,Paramètres!$A$1:$I$89,3,0)*VLOOKUP('Données projet'!$B$11,Paramètres!$A$1:$I$89,5,0)</f>
        <v>1.5961632016114892E-13</v>
      </c>
      <c r="BF134" s="13">
        <f t="shared" si="145"/>
        <v>2.2708641912150958E-12</v>
      </c>
      <c r="BG134" s="20">
        <f t="shared" si="115"/>
        <v>4.2330868906469593E-12</v>
      </c>
      <c r="BH134" s="59">
        <f t="shared" si="116"/>
        <v>293.33333333333752</v>
      </c>
      <c r="BI134" s="59">
        <f ca="1">AVERAGE(OFFSET($BH$3,0,0,'Données projet'!$E$11+1,1))-AVERAGE(OFFSET($H$3,0,0,'Données projet'!$E$11+1,1))</f>
        <v>158.58786357608489</v>
      </c>
      <c r="BJ134" s="59">
        <f t="shared" si="146"/>
        <v>163.20074068819849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>
        <f>VLOOKUP(A134,'Données projet'!$A$113:$I$133,2,0)</f>
        <v>259.61538461538458</v>
      </c>
      <c r="BW134" s="12">
        <f>VLOOKUP(A134,'Données projet'!$A$113:$I$133,9,0)</f>
        <v>4.9084615384615375</v>
      </c>
      <c r="BX134" s="12">
        <f t="array" ref="BX134">INDEX(BW:BW,MIN(IF(ISNUMBER(BW134:BW330),ROW(BW134:BW330),"")))</f>
        <v>4.9084615384615375</v>
      </c>
      <c r="BY134" s="12">
        <f>IF('Données projet'!$A$114&gt;35,BY133+BX134-CG133,IF(A134&lt;'Données projet'!$A$114,$BV$205^A134,IF(A134='Données projet'!$A$114,'Données projet'!$B$114,BY133+BX134-CG133)))</f>
        <v>259.61538461538515</v>
      </c>
      <c r="BZ134" s="13">
        <f>BY134*VLOOKUP('Données projet'!$B$12,Paramètres!$A$1:$I$89,3,0)*VLOOKUP('Données projet'!$B$12,Paramètres!$A$1:$I$89,5,0)</f>
        <v>121.50000000000026</v>
      </c>
      <c r="CA134" s="13">
        <f t="shared" si="147"/>
        <v>32.024596321339139</v>
      </c>
      <c r="CB134" s="20">
        <f t="shared" si="118"/>
        <v>267.38867192633279</v>
      </c>
      <c r="CC134" s="59">
        <f t="shared" si="119"/>
        <v>560.72200525966605</v>
      </c>
      <c r="CD134" s="59">
        <f ca="1">AVERAGE(OFFSET($CC$3,0,0,'Données projet'!$E$12+1,1))-AVERAGE(OFFSET($H$3,0,0,'Données projet'!$E$12+1,1))</f>
        <v>123.2823358462245</v>
      </c>
      <c r="CE134" s="59">
        <f t="shared" si="148"/>
        <v>92.75115399786057</v>
      </c>
      <c r="CF134" s="15">
        <f>IF(ISNA(VLOOKUP(A134,'Données projet'!$A$113:$I$133,3,0)),0,VLOOKUP(A134,'Données projet'!$A$113:$I$133,3,0))</f>
        <v>8</v>
      </c>
      <c r="CG134" s="15">
        <f>IF(ISNA(VLOOKUP(A134,'Données projet'!$A$113:$I$133,4,0)),0,VLOOKUP(A134,'Données projet'!$A$113:$I$133,4,0))</f>
        <v>259.61538461538458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-2.8421709430404007E-13</v>
      </c>
      <c r="CU134" s="17">
        <f>CT134*VLOOKUP('Données projet'!$B$13,Paramètres!$A$1:$I$89,3,0)*VLOOKUP('Données projet'!$B$13,Paramètres!$A$1:$I$89,5,0)</f>
        <v>-1.69961822393816E-13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179.32848817523677</v>
      </c>
      <c r="CZ134" s="59">
        <f t="shared" si="150"/>
        <v>131.3292389103035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0.80122928429625129</v>
      </c>
      <c r="DH134" s="21">
        <f>EXP(-LN(2)/2)*DH133+(1-EXP(-LN(2)/2))/(LN(2)/2)*DB134*DE134*VLOOKUP('Données projet'!$B$13,Paramètres!$A$1:$I$89,3,0)*0.475*44/12</f>
        <v>3.3052766081003367E-15</v>
      </c>
      <c r="DI134" s="22">
        <f t="shared" si="123"/>
        <v>0.80122928429625462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7.2230769230769223</v>
      </c>
      <c r="DO134" s="12">
        <f>IF('Données projet'!$A$166&gt;35,DO133+DN134-DW133,IF(A134&lt;'Données projet'!$A$166,$DL$205^A134,IF(A134='Données projet'!$A$166,'Données projet'!$B$166,DO133+DN134-DW133)))</f>
        <v>366.70384615384557</v>
      </c>
      <c r="DP134" s="17">
        <f>DO134*VLOOKUP('Données projet'!$B$14,Paramètres!$A$1:$I$89,3,0)*VLOOKUP('Données projet'!$B$14,Paramètres!$A$1:$I$89,5,0)</f>
        <v>354.67595999999946</v>
      </c>
      <c r="DQ134" s="13">
        <f t="shared" si="151"/>
        <v>82.524595017210814</v>
      </c>
      <c r="DR134" s="20">
        <f t="shared" si="124"/>
        <v>761.45763332164108</v>
      </c>
      <c r="DS134" s="59">
        <f t="shared" si="125"/>
        <v>1054.7909666549745</v>
      </c>
      <c r="DT134" s="59">
        <f ca="1">AVERAGE(OFFSET($DS$3,0,0,'Données projet'!$E$14+1,1))-AVERAGE(OFFSET($H$3,0,0,'Données projet'!$E$14+1,1))</f>
        <v>340.4659523898373</v>
      </c>
      <c r="DU134" s="59">
        <f t="shared" si="152"/>
        <v>170.54530785680572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6.0711538461538508</v>
      </c>
      <c r="EJ134" s="12">
        <f>IF('Données projet'!$A$192&gt;35,EJ133+EI134-ER133,IF(A134&lt;'Données projet'!$A$192,$EG$205^A134,IF(A134='Données projet'!$A$192,'Données projet'!$B$192,EJ133+EI134-ER133)))</f>
        <v>313.63910256410213</v>
      </c>
      <c r="EK134" s="17">
        <f>EJ134*VLOOKUP('Données projet'!$B$15,Paramètres!$A$1:$I$89,3,0)*VLOOKUP('Données projet'!$B$15,Paramètres!$A$1:$I$89,5,0)</f>
        <v>303.35173999999955</v>
      </c>
      <c r="EL134" s="13">
        <f t="shared" si="153"/>
        <v>71.878661918222491</v>
      </c>
      <c r="EM134" s="20">
        <f t="shared" si="127"/>
        <v>653.52628334090332</v>
      </c>
      <c r="EN134" s="59">
        <f t="shared" si="128"/>
        <v>946.85961667423658</v>
      </c>
      <c r="EO134" s="59">
        <f ca="1">AVERAGE(OFFSET($EN$3,0,0,'Données projet'!$E$15+1,1))-AVERAGE(OFFSET($H$3,0,0,'Données projet'!$E$15+1,1))</f>
        <v>262.20955982183017</v>
      </c>
      <c r="EP134" s="59">
        <f t="shared" si="154"/>
        <v>101.35842063036193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5.6843418860808015E-14</v>
      </c>
      <c r="FF134" s="17">
        <f>FE134*VLOOKUP('Données projet'!$B$16,Paramètres!$A$1:$I$89,3,0)*VLOOKUP('Données projet'!$B$16,Paramètres!$A$1:$I$89,5,0)</f>
        <v>4.5224624045658861E-14</v>
      </c>
      <c r="FG134" s="13">
        <f t="shared" si="155"/>
        <v>7.4514601661523691E-13</v>
      </c>
      <c r="FH134" s="20">
        <f t="shared" si="130"/>
        <v>1.3765621991510601E-12</v>
      </c>
      <c r="FI134" s="59">
        <f t="shared" si="131"/>
        <v>293.33333333333468</v>
      </c>
      <c r="FJ134" s="59">
        <f ca="1">AVERAGE(OFFSET($FI$3,0,0,'Données projet'!$E$16+1,1))-AVERAGE(OFFSET($H$3,0,0,'Données projet'!$E$16+1,1))</f>
        <v>199.58763537752952</v>
      </c>
      <c r="FK134" s="59">
        <f t="shared" si="156"/>
        <v>242.62852778451929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0.62511174606859554</v>
      </c>
      <c r="FS134" s="21">
        <f>EXP(-LN(2)/2)*FS133+(1-EXP(-LN(2)/2))/(LN(2)/2)*FM134*FP134*VLOOKUP('Données projet'!$B$16,Paramètres!$A$1:$I$89,3,0)*0.475*44/12</f>
        <v>6.7586566707520604E-15</v>
      </c>
      <c r="FT134" s="22">
        <f t="shared" si="132"/>
        <v>0.62511174606860231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5.6843418860808015E-14</v>
      </c>
      <c r="GA134" s="17">
        <f>FZ134*VLOOKUP('Données projet'!$B$17,Paramètres!$A$1:$I$89,3,0)*VLOOKUP('Données projet'!$B$17,Paramètres!$A$1:$I$89,5,0)</f>
        <v>4.1677594708744434E-14</v>
      </c>
      <c r="GB134" s="13">
        <f t="shared" si="157"/>
        <v>6.9326303456159188E-13</v>
      </c>
      <c r="GC134" s="20">
        <f t="shared" si="133"/>
        <v>1.2800215959791691E-12</v>
      </c>
      <c r="GD134" s="59">
        <f t="shared" si="134"/>
        <v>293.33333333333462</v>
      </c>
      <c r="GE134" s="59">
        <f ca="1">AVERAGE(OFFSET($GD$3,0,0,'Données projet'!$E$17+1,1))-AVERAGE(OFFSET($H$3,0,0,'Données projet'!$E$17+1,1))</f>
        <v>178.12968684094687</v>
      </c>
      <c r="GF134" s="59">
        <f t="shared" si="158"/>
        <v>219.36004077210373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0.46738839763397377</v>
      </c>
      <c r="GN134" s="21">
        <f>EXP(-LN(2)/2)*GN133+(1-EXP(-LN(2)/2))/(LN(2)/2)*GH134*GK134*VLOOKUP('Données projet'!$B$17,Paramètres!$A$1:$I$89,3,0)*0.475*44/12</f>
        <v>6.2285659514773835E-15</v>
      </c>
      <c r="GO134" s="21">
        <f t="shared" si="135"/>
        <v>0.46738839763397999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5.6843418860808015E-14</v>
      </c>
      <c r="GV134" s="17">
        <f>GU134*VLOOKUP('Données projet'!$B$18,Paramètres!$A$1:$I$89,3,0)*VLOOKUP('Données projet'!$B$18,Paramètres!$A$1:$I$89,5,0)</f>
        <v>4.5224624045658861E-14</v>
      </c>
      <c r="GW134" s="13">
        <f t="shared" si="159"/>
        <v>7.4514601661523691E-13</v>
      </c>
      <c r="GX134" s="20">
        <f t="shared" si="136"/>
        <v>1.3765621991510601E-12</v>
      </c>
      <c r="GY134" s="59">
        <f t="shared" si="137"/>
        <v>293.33333333333468</v>
      </c>
      <c r="GZ134" s="59">
        <f ca="1">AVERAGE(OFFSET($GY$3,0,0,'Données projet'!$E$18+1,1))-AVERAGE(OFFSET($H$3,0,0,'Données projet'!$E$18+1,1))</f>
        <v>199.58763537752952</v>
      </c>
      <c r="HA134" s="59">
        <f t="shared" si="160"/>
        <v>242.62852778451929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0</v>
      </c>
      <c r="HH134" s="21">
        <f>EXP(-LN(2)/25)*HH133+(1-EXP(-LN(2)/25))/(LN(2)/25)*Calculateur!HC134*Calculateur!HE134*VLOOKUP('Données projet'!$B$18,Paramètres!$A$1:$I$89,3,0)*0.475*44/12</f>
        <v>0.62511174606859554</v>
      </c>
      <c r="HI134" s="21">
        <f>EXP(-LN(2)/2)*HI133+(1-EXP(-LN(2)/2))/(LN(2)/2)*HC134*HF134*VLOOKUP('Données projet'!$B$18,Paramètres!$A$1:$I$89,3,0)*0.475*44/12</f>
        <v>6.7586566707520604E-15</v>
      </c>
      <c r="HJ134" s="22">
        <f t="shared" si="138"/>
        <v>0.62511174606860231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7.2230769230769223</v>
      </c>
      <c r="N135" s="13">
        <f>IF('Données projet'!$A$36&gt;35,N134+M135-V134,IF(A135&lt;'Données projet'!$A$36,$K$205^A135,IF(A135='Données projet'!$A$36,'Données projet'!$B$36,N134+M135-V134)))</f>
        <v>373.92692307692249</v>
      </c>
      <c r="O135" s="13">
        <f>N135*VLOOKUP('Données projet'!$B$9,Paramètres!$A$1:$I$89,3,0)*VLOOKUP('Données projet'!$B$9,Paramètres!$A$1:$I$89,5,0)</f>
        <v>338.32907999999946</v>
      </c>
      <c r="P135" s="13">
        <f t="shared" si="141"/>
        <v>79.154624848228366</v>
      </c>
      <c r="Q135" s="20">
        <f t="shared" si="108"/>
        <v>727.11745261066346</v>
      </c>
      <c r="R135" s="59">
        <f t="shared" si="109"/>
        <v>1020.4507859439968</v>
      </c>
      <c r="S135" s="59">
        <f ca="1">AVERAGE(OFFSET($R$3,0,0,'Données projet'!$E$9+1,1))-AVERAGE(OFFSET($H$3,0,0,'Données projet'!$E$9+1,1))</f>
        <v>309.07357540707869</v>
      </c>
      <c r="T135" s="59">
        <f t="shared" si="142"/>
        <v>155.9593924683299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6.0711538461538508</v>
      </c>
      <c r="AI135" s="13">
        <f>IF('Données projet'!$A$62&gt;35,AI134+AH135-AQ134,IF(A135&lt;'Données projet'!$A$62,$AF$205^A135,IF(A135='Données projet'!$A$62,'Données projet'!$B$62,AI134+AH135-AQ134)))</f>
        <v>319.71025641025597</v>
      </c>
      <c r="AJ135" s="13">
        <f>AI135*VLOOKUP('Données projet'!$B$10,Paramètres!$A$1:$I$89,3,0)*VLOOKUP('Données projet'!$B$10,Paramètres!$A$1:$I$89,5,0)</f>
        <v>289.27383999999961</v>
      </c>
      <c r="AK135" s="13">
        <f t="shared" si="143"/>
        <v>68.923105795388125</v>
      </c>
      <c r="AL135" s="20">
        <f t="shared" si="112"/>
        <v>623.85968059363358</v>
      </c>
      <c r="AM135" s="59">
        <f t="shared" si="113"/>
        <v>917.19301392696684</v>
      </c>
      <c r="AN135" s="59">
        <f ca="1">AVERAGE(OFFSET($AM$3,0,0,'Données projet'!$E$10+1,1))-AVERAGE(OFFSET($H$3,0,0,'Données projet'!$E$10+1,1))</f>
        <v>234.30804102916278</v>
      </c>
      <c r="AO135" s="59">
        <f t="shared" si="144"/>
        <v>91.137993288782411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3.4106051316484809E-13</v>
      </c>
      <c r="BE135" s="13">
        <f>BD135*VLOOKUP('Données projet'!$B$11,Paramètres!$A$1:$I$89,3,0)*VLOOKUP('Données projet'!$B$11,Paramètres!$A$1:$I$89,5,0)</f>
        <v>1.5961632016114892E-13</v>
      </c>
      <c r="BF135" s="13">
        <f t="shared" si="145"/>
        <v>2.2708641912150958E-12</v>
      </c>
      <c r="BG135" s="20">
        <f t="shared" si="115"/>
        <v>4.2330868906469593E-12</v>
      </c>
      <c r="BH135" s="59">
        <f t="shared" si="116"/>
        <v>293.33333333333752</v>
      </c>
      <c r="BI135" s="59">
        <f ca="1">AVERAGE(OFFSET($BH$3,0,0,'Données projet'!$E$11+1,1))-AVERAGE(OFFSET($H$3,0,0,'Données projet'!$E$11+1,1))</f>
        <v>158.58786357608489</v>
      </c>
      <c r="BJ135" s="59">
        <f t="shared" si="146"/>
        <v>163.20074068819849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5.6843418860808015E-13</v>
      </c>
      <c r="BZ135" s="13">
        <f>BY135*VLOOKUP('Données projet'!$B$12,Paramètres!$A$1:$I$89,3,0)*VLOOKUP('Données projet'!$B$12,Paramètres!$A$1:$I$89,5,0)</f>
        <v>2.6602720026858149E-13</v>
      </c>
      <c r="CA135" s="13">
        <f t="shared" si="147"/>
        <v>3.5662905043956649E-12</v>
      </c>
      <c r="CB135" s="20">
        <f t="shared" si="118"/>
        <v>6.6746200022902298E-12</v>
      </c>
      <c r="CC135" s="59">
        <f t="shared" si="119"/>
        <v>293.33333333333997</v>
      </c>
      <c r="CD135" s="59">
        <f ca="1">AVERAGE(OFFSET($CC$3,0,0,'Données projet'!$E$12+1,1))-AVERAGE(OFFSET($H$3,0,0,'Données projet'!$E$12+1,1))</f>
        <v>123.2823358462245</v>
      </c>
      <c r="CE135" s="59">
        <f t="shared" si="148"/>
        <v>92.75115399786057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-2.8421709430404007E-13</v>
      </c>
      <c r="CU135" s="17">
        <f>CT135*VLOOKUP('Données projet'!$B$13,Paramètres!$A$1:$I$89,3,0)*VLOOKUP('Données projet'!$B$13,Paramètres!$A$1:$I$89,5,0)</f>
        <v>-1.69961822393816E-13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179.32848817523677</v>
      </c>
      <c r="CZ135" s="59">
        <f t="shared" si="150"/>
        <v>131.3292389103035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0.7793196273823535</v>
      </c>
      <c r="DH135" s="21">
        <f>EXP(-LN(2)/2)*DH134+(1-EXP(-LN(2)/2))/(LN(2)/2)*DB135*DE135*VLOOKUP('Données projet'!$B$13,Paramètres!$A$1:$I$89,3,0)*0.475*44/12</f>
        <v>2.3371835032850188E-15</v>
      </c>
      <c r="DI135" s="22">
        <f t="shared" si="123"/>
        <v>0.77931962738235583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7.2230769230769223</v>
      </c>
      <c r="DO135" s="12">
        <f>IF('Données projet'!$A$166&gt;35,DO134+DN135-DW134,IF(A135&lt;'Données projet'!$A$166,$DL$205^A135,IF(A135='Données projet'!$A$166,'Données projet'!$B$166,DO134+DN135-DW134)))</f>
        <v>373.92692307692249</v>
      </c>
      <c r="DP135" s="17">
        <f>DO135*VLOOKUP('Données projet'!$B$14,Paramètres!$A$1:$I$89,3,0)*VLOOKUP('Données projet'!$B$14,Paramètres!$A$1:$I$89,5,0)</f>
        <v>361.66211999999945</v>
      </c>
      <c r="DQ135" s="13">
        <f t="shared" si="151"/>
        <v>83.959262801812699</v>
      </c>
      <c r="DR135" s="20">
        <f t="shared" si="124"/>
        <v>776.12390837982286</v>
      </c>
      <c r="DS135" s="59">
        <f t="shared" si="125"/>
        <v>1069.4572417131562</v>
      </c>
      <c r="DT135" s="59">
        <f ca="1">AVERAGE(OFFSET($DS$3,0,0,'Données projet'!$E$14+1,1))-AVERAGE(OFFSET($H$3,0,0,'Données projet'!$E$14+1,1))</f>
        <v>340.4659523898373</v>
      </c>
      <c r="DU135" s="59">
        <f t="shared" si="152"/>
        <v>170.54530785680572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6.0711538461538508</v>
      </c>
      <c r="EJ135" s="12">
        <f>IF('Données projet'!$A$192&gt;35,EJ134+EI135-ER134,IF(A135&lt;'Données projet'!$A$192,$EG$205^A135,IF(A135='Données projet'!$A$192,'Données projet'!$B$192,EJ134+EI135-ER134)))</f>
        <v>319.71025641025597</v>
      </c>
      <c r="EK135" s="17">
        <f>EJ135*VLOOKUP('Données projet'!$B$15,Paramètres!$A$1:$I$89,3,0)*VLOOKUP('Données projet'!$B$15,Paramètres!$A$1:$I$89,5,0)</f>
        <v>309.22375999999957</v>
      </c>
      <c r="EL135" s="13">
        <f t="shared" si="153"/>
        <v>73.106696717818565</v>
      </c>
      <c r="EM135" s="20">
        <f t="shared" si="127"/>
        <v>665.89221211686663</v>
      </c>
      <c r="EN135" s="59">
        <f t="shared" si="128"/>
        <v>959.22554545019989</v>
      </c>
      <c r="EO135" s="59">
        <f ca="1">AVERAGE(OFFSET($EN$3,0,0,'Données projet'!$E$15+1,1))-AVERAGE(OFFSET($H$3,0,0,'Données projet'!$E$15+1,1))</f>
        <v>262.20955982183017</v>
      </c>
      <c r="EP135" s="59">
        <f t="shared" si="154"/>
        <v>101.35842063036193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5.6843418860808015E-14</v>
      </c>
      <c r="FF135" s="17">
        <f>FE135*VLOOKUP('Données projet'!$B$16,Paramètres!$A$1:$I$89,3,0)*VLOOKUP('Données projet'!$B$16,Paramètres!$A$1:$I$89,5,0)</f>
        <v>4.5224624045658861E-14</v>
      </c>
      <c r="FG135" s="13">
        <f t="shared" si="155"/>
        <v>7.4514601661523691E-13</v>
      </c>
      <c r="FH135" s="20">
        <f t="shared" si="130"/>
        <v>1.3765621991510601E-12</v>
      </c>
      <c r="FI135" s="59">
        <f t="shared" si="131"/>
        <v>293.33333333333468</v>
      </c>
      <c r="FJ135" s="59">
        <f ca="1">AVERAGE(OFFSET($FI$3,0,0,'Données projet'!$E$16+1,1))-AVERAGE(OFFSET($H$3,0,0,'Données projet'!$E$16+1,1))</f>
        <v>199.58763537752952</v>
      </c>
      <c r="FK135" s="59">
        <f t="shared" si="156"/>
        <v>242.62852778451929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0.60801803249915176</v>
      </c>
      <c r="FS135" s="21">
        <f>EXP(-LN(2)/2)*FS134+(1-EXP(-LN(2)/2))/(LN(2)/2)*FM135*FP135*VLOOKUP('Données projet'!$B$16,Paramètres!$A$1:$I$89,3,0)*0.475*44/12</f>
        <v>4.7790919636004769E-15</v>
      </c>
      <c r="FT135" s="22">
        <f t="shared" si="132"/>
        <v>0.60801803249915654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5.6843418860808015E-14</v>
      </c>
      <c r="GA135" s="17">
        <f>FZ135*VLOOKUP('Données projet'!$B$17,Paramètres!$A$1:$I$89,3,0)*VLOOKUP('Données projet'!$B$17,Paramètres!$A$1:$I$89,5,0)</f>
        <v>4.1677594708744434E-14</v>
      </c>
      <c r="GB135" s="13">
        <f t="shared" si="157"/>
        <v>6.9326303456159188E-13</v>
      </c>
      <c r="GC135" s="20">
        <f t="shared" si="133"/>
        <v>1.2800215959791691E-12</v>
      </c>
      <c r="GD135" s="59">
        <f t="shared" si="134"/>
        <v>293.33333333333462</v>
      </c>
      <c r="GE135" s="59">
        <f ca="1">AVERAGE(OFFSET($GD$3,0,0,'Données projet'!$E$17+1,1))-AVERAGE(OFFSET($H$3,0,0,'Données projet'!$E$17+1,1))</f>
        <v>178.12968684094687</v>
      </c>
      <c r="GF135" s="59">
        <f t="shared" si="158"/>
        <v>219.36004077210373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0.45460763732178516</v>
      </c>
      <c r="GN135" s="21">
        <f>EXP(-LN(2)/2)*GN134+(1-EXP(-LN(2)/2))/(LN(2)/2)*GH135*GK135*VLOOKUP('Données projet'!$B$17,Paramètres!$A$1:$I$89,3,0)*0.475*44/12</f>
        <v>4.4042612213572984E-15</v>
      </c>
      <c r="GO135" s="21">
        <f t="shared" si="135"/>
        <v>0.45460763732178955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5.6843418860808015E-14</v>
      </c>
      <c r="GV135" s="17">
        <f>GU135*VLOOKUP('Données projet'!$B$18,Paramètres!$A$1:$I$89,3,0)*VLOOKUP('Données projet'!$B$18,Paramètres!$A$1:$I$89,5,0)</f>
        <v>4.5224624045658861E-14</v>
      </c>
      <c r="GW135" s="13">
        <f t="shared" si="159"/>
        <v>7.4514601661523691E-13</v>
      </c>
      <c r="GX135" s="20">
        <f t="shared" si="136"/>
        <v>1.3765621991510601E-12</v>
      </c>
      <c r="GY135" s="59">
        <f t="shared" si="137"/>
        <v>293.33333333333468</v>
      </c>
      <c r="GZ135" s="59">
        <f ca="1">AVERAGE(OFFSET($GY$3,0,0,'Données projet'!$E$18+1,1))-AVERAGE(OFFSET($H$3,0,0,'Données projet'!$E$18+1,1))</f>
        <v>199.58763537752952</v>
      </c>
      <c r="HA135" s="59">
        <f t="shared" si="160"/>
        <v>242.62852778451929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0</v>
      </c>
      <c r="HH135" s="21">
        <f>EXP(-LN(2)/25)*HH134+(1-EXP(-LN(2)/25))/(LN(2)/25)*Calculateur!HC135*Calculateur!HE135*VLOOKUP('Données projet'!$B$18,Paramètres!$A$1:$I$89,3,0)*0.475*44/12</f>
        <v>0.60801803249915176</v>
      </c>
      <c r="HI135" s="21">
        <f>EXP(-LN(2)/2)*HI134+(1-EXP(-LN(2)/2))/(LN(2)/2)*HC135*HF135*VLOOKUP('Données projet'!$B$18,Paramètres!$A$1:$I$89,3,0)*0.475*44/12</f>
        <v>4.7790919636004769E-15</v>
      </c>
      <c r="HJ135" s="22">
        <f t="shared" si="138"/>
        <v>0.60801803249915654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7.2230769230769223</v>
      </c>
      <c r="N136" s="13">
        <f>IF('Données projet'!$A$36&gt;35,N135+M136-V135,IF(A136&lt;'Données projet'!$A$36,$K$205^A136,IF(A136='Données projet'!$A$36,'Données projet'!$B$36,N135+M136-V135)))</f>
        <v>381.14999999999941</v>
      </c>
      <c r="O136" s="13">
        <f>N136*VLOOKUP('Données projet'!$B$9,Paramètres!$A$1:$I$89,3,0)*VLOOKUP('Données projet'!$B$9,Paramètres!$A$1:$I$89,5,0)</f>
        <v>344.86451999999946</v>
      </c>
      <c r="P136" s="13">
        <f t="shared" si="141"/>
        <v>80.504154586493371</v>
      </c>
      <c r="Q136" s="20">
        <f t="shared" si="108"/>
        <v>740.85044157147502</v>
      </c>
      <c r="R136" s="59">
        <f t="shared" si="109"/>
        <v>1034.1837749048084</v>
      </c>
      <c r="S136" s="59">
        <f ca="1">AVERAGE(OFFSET($R$3,0,0,'Données projet'!$E$9+1,1))-AVERAGE(OFFSET($H$3,0,0,'Données projet'!$E$9+1,1))</f>
        <v>309.07357540707869</v>
      </c>
      <c r="T136" s="59">
        <f t="shared" si="142"/>
        <v>155.9593924683299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6.0711538461538508</v>
      </c>
      <c r="AI136" s="13">
        <f>IF('Données projet'!$A$62&gt;35,AI135+AH136-AQ135,IF(A136&lt;'Données projet'!$A$62,$AF$205^A136,IF(A136='Données projet'!$A$62,'Données projet'!$B$62,AI135+AH136-AQ135)))</f>
        <v>325.7814102564098</v>
      </c>
      <c r="AJ136" s="13">
        <f>AI136*VLOOKUP('Données projet'!$B$10,Paramètres!$A$1:$I$89,3,0)*VLOOKUP('Données projet'!$B$10,Paramètres!$A$1:$I$89,5,0)</f>
        <v>294.7670199999996</v>
      </c>
      <c r="AK136" s="13">
        <f t="shared" si="143"/>
        <v>70.078308863481737</v>
      </c>
      <c r="AL136" s="20">
        <f t="shared" si="112"/>
        <v>635.43894777056323</v>
      </c>
      <c r="AM136" s="59">
        <f t="shared" si="113"/>
        <v>928.7722811038966</v>
      </c>
      <c r="AN136" s="59">
        <f ca="1">AVERAGE(OFFSET($AM$3,0,0,'Données projet'!$E$10+1,1))-AVERAGE(OFFSET($H$3,0,0,'Données projet'!$E$10+1,1))</f>
        <v>234.30804102916278</v>
      </c>
      <c r="AO136" s="59">
        <f t="shared" si="144"/>
        <v>91.137993288782411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3.4106051316484809E-13</v>
      </c>
      <c r="BE136" s="13">
        <f>BD136*VLOOKUP('Données projet'!$B$11,Paramètres!$A$1:$I$89,3,0)*VLOOKUP('Données projet'!$B$11,Paramètres!$A$1:$I$89,5,0)</f>
        <v>1.5961632016114892E-13</v>
      </c>
      <c r="BF136" s="13">
        <f t="shared" si="145"/>
        <v>2.2708641912150958E-12</v>
      </c>
      <c r="BG136" s="20">
        <f t="shared" si="115"/>
        <v>4.2330868906469593E-12</v>
      </c>
      <c r="BH136" s="59">
        <f t="shared" si="116"/>
        <v>293.33333333333752</v>
      </c>
      <c r="BI136" s="59">
        <f ca="1">AVERAGE(OFFSET($BH$3,0,0,'Données projet'!$E$11+1,1))-AVERAGE(OFFSET($H$3,0,0,'Données projet'!$E$11+1,1))</f>
        <v>158.58786357608489</v>
      </c>
      <c r="BJ136" s="59">
        <f t="shared" si="146"/>
        <v>163.20074068819849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5.6843418860808015E-13</v>
      </c>
      <c r="BZ136" s="13">
        <f>BY136*VLOOKUP('Données projet'!$B$12,Paramètres!$A$1:$I$89,3,0)*VLOOKUP('Données projet'!$B$12,Paramètres!$A$1:$I$89,5,0)</f>
        <v>2.6602720026858149E-13</v>
      </c>
      <c r="CA136" s="13">
        <f t="shared" si="147"/>
        <v>3.5662905043956649E-12</v>
      </c>
      <c r="CB136" s="20">
        <f t="shared" si="118"/>
        <v>6.6746200022902298E-12</v>
      </c>
      <c r="CC136" s="59">
        <f t="shared" si="119"/>
        <v>293.33333333333997</v>
      </c>
      <c r="CD136" s="59">
        <f ca="1">AVERAGE(OFFSET($CC$3,0,0,'Données projet'!$E$12+1,1))-AVERAGE(OFFSET($H$3,0,0,'Données projet'!$E$12+1,1))</f>
        <v>123.2823358462245</v>
      </c>
      <c r="CE136" s="59">
        <f t="shared" si="148"/>
        <v>92.75115399786057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-2.8421709430404007E-13</v>
      </c>
      <c r="CU136" s="17">
        <f>CT136*VLOOKUP('Données projet'!$B$13,Paramètres!$A$1:$I$89,3,0)*VLOOKUP('Données projet'!$B$13,Paramètres!$A$1:$I$89,5,0)</f>
        <v>-1.69961822393816E-13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179.32848817523677</v>
      </c>
      <c r="CZ136" s="59">
        <f t="shared" si="150"/>
        <v>131.3292389103035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0.75800909118894499</v>
      </c>
      <c r="DH136" s="21">
        <f>EXP(-LN(2)/2)*DH135+(1-EXP(-LN(2)/2))/(LN(2)/2)*DB136*DE136*VLOOKUP('Données projet'!$B$13,Paramètres!$A$1:$I$89,3,0)*0.475*44/12</f>
        <v>1.6526383040501684E-15</v>
      </c>
      <c r="DI136" s="22">
        <f t="shared" si="123"/>
        <v>0.75800909118894666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7.2230769230769223</v>
      </c>
      <c r="DO136" s="12">
        <f>IF('Données projet'!$A$166&gt;35,DO135+DN136-DW135,IF(A136&lt;'Données projet'!$A$166,$DL$205^A136,IF(A136='Données projet'!$A$166,'Données projet'!$B$166,DO135+DN136-DW135)))</f>
        <v>381.14999999999941</v>
      </c>
      <c r="DP136" s="17">
        <f>DO136*VLOOKUP('Données projet'!$B$14,Paramètres!$A$1:$I$89,3,0)*VLOOKUP('Données projet'!$B$14,Paramètres!$A$1:$I$89,5,0)</f>
        <v>368.64827999999943</v>
      </c>
      <c r="DQ136" s="13">
        <f t="shared" si="151"/>
        <v>85.390708180665868</v>
      </c>
      <c r="DR136" s="20">
        <f t="shared" si="124"/>
        <v>790.78457108132534</v>
      </c>
      <c r="DS136" s="59">
        <f t="shared" si="125"/>
        <v>1084.1179044146586</v>
      </c>
      <c r="DT136" s="59">
        <f ca="1">AVERAGE(OFFSET($DS$3,0,0,'Données projet'!$E$14+1,1))-AVERAGE(OFFSET($H$3,0,0,'Données projet'!$E$14+1,1))</f>
        <v>340.4659523898373</v>
      </c>
      <c r="DU136" s="59">
        <f t="shared" si="152"/>
        <v>170.54530785680572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6.0711538461538508</v>
      </c>
      <c r="EJ136" s="12">
        <f>IF('Données projet'!$A$192&gt;35,EJ135+EI136-ER135,IF(A136&lt;'Données projet'!$A$192,$EG$205^A136,IF(A136='Données projet'!$A$192,'Données projet'!$B$192,EJ135+EI136-ER135)))</f>
        <v>325.7814102564098</v>
      </c>
      <c r="EK136" s="17">
        <f>EJ136*VLOOKUP('Données projet'!$B$15,Paramètres!$A$1:$I$89,3,0)*VLOOKUP('Données projet'!$B$15,Paramètres!$A$1:$I$89,5,0)</f>
        <v>315.09577999999954</v>
      </c>
      <c r="EL136" s="13">
        <f t="shared" si="153"/>
        <v>74.332019914909026</v>
      </c>
      <c r="EM136" s="20">
        <f t="shared" si="127"/>
        <v>678.25341818513243</v>
      </c>
      <c r="EN136" s="59">
        <f t="shared" si="128"/>
        <v>971.58675151846569</v>
      </c>
      <c r="EO136" s="59">
        <f ca="1">AVERAGE(OFFSET($EN$3,0,0,'Données projet'!$E$15+1,1))-AVERAGE(OFFSET($H$3,0,0,'Données projet'!$E$15+1,1))</f>
        <v>262.20955982183017</v>
      </c>
      <c r="EP136" s="59">
        <f t="shared" si="154"/>
        <v>101.35842063036193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5.6843418860808015E-14</v>
      </c>
      <c r="FF136" s="17">
        <f>FE136*VLOOKUP('Données projet'!$B$16,Paramètres!$A$1:$I$89,3,0)*VLOOKUP('Données projet'!$B$16,Paramètres!$A$1:$I$89,5,0)</f>
        <v>4.5224624045658861E-14</v>
      </c>
      <c r="FG136" s="13">
        <f t="shared" si="155"/>
        <v>7.4514601661523691E-13</v>
      </c>
      <c r="FH136" s="20">
        <f t="shared" si="130"/>
        <v>1.3765621991510601E-12</v>
      </c>
      <c r="FI136" s="59">
        <f t="shared" si="131"/>
        <v>293.33333333333468</v>
      </c>
      <c r="FJ136" s="59">
        <f ca="1">AVERAGE(OFFSET($FI$3,0,0,'Données projet'!$E$16+1,1))-AVERAGE(OFFSET($H$3,0,0,'Données projet'!$E$16+1,1))</f>
        <v>199.58763537752952</v>
      </c>
      <c r="FK136" s="59">
        <f t="shared" si="156"/>
        <v>242.62852778451929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0.59139174742618372</v>
      </c>
      <c r="FS136" s="21">
        <f>EXP(-LN(2)/2)*FS135+(1-EXP(-LN(2)/2))/(LN(2)/2)*FM136*FP136*VLOOKUP('Données projet'!$B$16,Paramètres!$A$1:$I$89,3,0)*0.475*44/12</f>
        <v>3.3793283353760302E-15</v>
      </c>
      <c r="FT136" s="22">
        <f t="shared" si="132"/>
        <v>0.59139174742618705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5.6843418860808015E-14</v>
      </c>
      <c r="GA136" s="17">
        <f>FZ136*VLOOKUP('Données projet'!$B$17,Paramètres!$A$1:$I$89,3,0)*VLOOKUP('Données projet'!$B$17,Paramètres!$A$1:$I$89,5,0)</f>
        <v>4.1677594708744434E-14</v>
      </c>
      <c r="GB136" s="13">
        <f t="shared" si="157"/>
        <v>6.9326303456159188E-13</v>
      </c>
      <c r="GC136" s="20">
        <f t="shared" si="133"/>
        <v>1.2800215959791691E-12</v>
      </c>
      <c r="GD136" s="59">
        <f t="shared" si="134"/>
        <v>293.33333333333462</v>
      </c>
      <c r="GE136" s="59">
        <f ca="1">AVERAGE(OFFSET($GD$3,0,0,'Données projet'!$E$17+1,1))-AVERAGE(OFFSET($H$3,0,0,'Données projet'!$E$17+1,1))</f>
        <v>178.12968684094687</v>
      </c>
      <c r="GF136" s="59">
        <f t="shared" si="158"/>
        <v>219.36004077210373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0.44217636757244433</v>
      </c>
      <c r="GN136" s="21">
        <f>EXP(-LN(2)/2)*GN135+(1-EXP(-LN(2)/2))/(LN(2)/2)*GH136*GK136*VLOOKUP('Données projet'!$B$17,Paramètres!$A$1:$I$89,3,0)*0.475*44/12</f>
        <v>3.1142829757386918E-15</v>
      </c>
      <c r="GO136" s="21">
        <f t="shared" si="135"/>
        <v>0.44217636757244744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5.6843418860808015E-14</v>
      </c>
      <c r="GV136" s="17">
        <f>GU136*VLOOKUP('Données projet'!$B$18,Paramètres!$A$1:$I$89,3,0)*VLOOKUP('Données projet'!$B$18,Paramètres!$A$1:$I$89,5,0)</f>
        <v>4.5224624045658861E-14</v>
      </c>
      <c r="GW136" s="13">
        <f t="shared" si="159"/>
        <v>7.4514601661523691E-13</v>
      </c>
      <c r="GX136" s="20">
        <f t="shared" si="136"/>
        <v>1.3765621991510601E-12</v>
      </c>
      <c r="GY136" s="59">
        <f t="shared" si="137"/>
        <v>293.33333333333468</v>
      </c>
      <c r="GZ136" s="59">
        <f ca="1">AVERAGE(OFFSET($GY$3,0,0,'Données projet'!$E$18+1,1))-AVERAGE(OFFSET($H$3,0,0,'Données projet'!$E$18+1,1))</f>
        <v>199.58763537752952</v>
      </c>
      <c r="HA136" s="59">
        <f t="shared" si="160"/>
        <v>242.62852778451929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0</v>
      </c>
      <c r="HH136" s="21">
        <f>EXP(-LN(2)/25)*HH135+(1-EXP(-LN(2)/25))/(LN(2)/25)*Calculateur!HC136*Calculateur!HE136*VLOOKUP('Données projet'!$B$18,Paramètres!$A$1:$I$89,3,0)*0.475*44/12</f>
        <v>0.59139174742618372</v>
      </c>
      <c r="HI136" s="21">
        <f>EXP(-LN(2)/2)*HI135+(1-EXP(-LN(2)/2))/(LN(2)/2)*HC136*HF136*VLOOKUP('Données projet'!$B$18,Paramètres!$A$1:$I$89,3,0)*0.475*44/12</f>
        <v>3.3793283353760302E-15</v>
      </c>
      <c r="HJ136" s="22">
        <f t="shared" si="138"/>
        <v>0.59139174742618705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7.2230769230769223</v>
      </c>
      <c r="N137" s="13">
        <f>IF('Données projet'!$A$36&gt;35,N136+M137-V136,IF(A137&lt;'Données projet'!$A$36,$K$205^A137,IF(A137='Données projet'!$A$36,'Données projet'!$B$36,N136+M137-V136)))</f>
        <v>388.37307692307633</v>
      </c>
      <c r="O137" s="13">
        <f>N137*VLOOKUP('Données projet'!$B$9,Paramètres!$A$1:$I$89,3,0)*VLOOKUP('Données projet'!$B$9,Paramètres!$A$1:$I$89,5,0)</f>
        <v>351.39995999999945</v>
      </c>
      <c r="P137" s="13">
        <f t="shared" si="141"/>
        <v>81.85071053455772</v>
      </c>
      <c r="Q137" s="20">
        <f t="shared" si="108"/>
        <v>754.57825118102039</v>
      </c>
      <c r="R137" s="59">
        <f t="shared" si="109"/>
        <v>1047.9115845143538</v>
      </c>
      <c r="S137" s="59">
        <f ca="1">AVERAGE(OFFSET($R$3,0,0,'Données projet'!$E$9+1,1))-AVERAGE(OFFSET($H$3,0,0,'Données projet'!$E$9+1,1))</f>
        <v>309.07357540707869</v>
      </c>
      <c r="T137" s="59">
        <f t="shared" si="142"/>
        <v>155.9593924683299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331.85256410256414</v>
      </c>
      <c r="AG137" s="12">
        <f>VLOOKUP(A137,'Données projet'!$A$61:$I$81,9,0)</f>
        <v>6.0711538461538508</v>
      </c>
      <c r="AH137" s="12">
        <f t="array" ref="AH137">INDEX(AG:AG,MIN(IF(ISNUMBER(AG137:AG333),ROW(AG137:AG333),"")))</f>
        <v>6.0711538461538508</v>
      </c>
      <c r="AI137" s="13">
        <f>IF('Données projet'!$A$62&gt;35,AI136+AH137-AQ136,IF(A137&lt;'Données projet'!$A$62,$AF$205^A137,IF(A137='Données projet'!$A$62,'Données projet'!$B$62,AI136+AH137-AQ136)))</f>
        <v>331.85256410256363</v>
      </c>
      <c r="AJ137" s="13">
        <f>AI137*VLOOKUP('Données projet'!$B$10,Paramètres!$A$1:$I$89,3,0)*VLOOKUP('Données projet'!$B$10,Paramètres!$A$1:$I$89,5,0)</f>
        <v>300.26019999999954</v>
      </c>
      <c r="AK137" s="13">
        <f t="shared" si="143"/>
        <v>71.231008637455531</v>
      </c>
      <c r="AL137" s="20">
        <f t="shared" si="112"/>
        <v>647.01385504356756</v>
      </c>
      <c r="AM137" s="59">
        <f t="shared" si="113"/>
        <v>940.34718837690093</v>
      </c>
      <c r="AN137" s="59">
        <f ca="1">AVERAGE(OFFSET($AM$3,0,0,'Données projet'!$E$10+1,1))-AVERAGE(OFFSET($H$3,0,0,'Données projet'!$E$10+1,1))</f>
        <v>234.30804102916278</v>
      </c>
      <c r="AO137" s="59">
        <f t="shared" si="144"/>
        <v>91.137993288782411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41.666666666666664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3.4106051316484809E-13</v>
      </c>
      <c r="BE137" s="13">
        <f>BD137*VLOOKUP('Données projet'!$B$11,Paramètres!$A$1:$I$89,3,0)*VLOOKUP('Données projet'!$B$11,Paramètres!$A$1:$I$89,5,0)</f>
        <v>1.5961632016114892E-13</v>
      </c>
      <c r="BF137" s="13">
        <f t="shared" si="145"/>
        <v>2.2708641912150958E-12</v>
      </c>
      <c r="BG137" s="20">
        <f t="shared" si="115"/>
        <v>4.2330868906469593E-12</v>
      </c>
      <c r="BH137" s="59">
        <f t="shared" si="116"/>
        <v>293.33333333333752</v>
      </c>
      <c r="BI137" s="59">
        <f ca="1">AVERAGE(OFFSET($BH$3,0,0,'Données projet'!$E$11+1,1))-AVERAGE(OFFSET($H$3,0,0,'Données projet'!$E$11+1,1))</f>
        <v>158.58786357608489</v>
      </c>
      <c r="BJ137" s="59">
        <f t="shared" si="146"/>
        <v>163.20074068819849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5.6843418860808015E-13</v>
      </c>
      <c r="BZ137" s="13">
        <f>BY137*VLOOKUP('Données projet'!$B$12,Paramètres!$A$1:$I$89,3,0)*VLOOKUP('Données projet'!$B$12,Paramètres!$A$1:$I$89,5,0)</f>
        <v>2.6602720026858149E-13</v>
      </c>
      <c r="CA137" s="13">
        <f t="shared" si="147"/>
        <v>3.5662905043956649E-12</v>
      </c>
      <c r="CB137" s="20">
        <f t="shared" si="118"/>
        <v>6.6746200022902298E-12</v>
      </c>
      <c r="CC137" s="59">
        <f t="shared" si="119"/>
        <v>293.33333333333997</v>
      </c>
      <c r="CD137" s="59">
        <f ca="1">AVERAGE(OFFSET($CC$3,0,0,'Données projet'!$E$12+1,1))-AVERAGE(OFFSET($H$3,0,0,'Données projet'!$E$12+1,1))</f>
        <v>123.2823358462245</v>
      </c>
      <c r="CE137" s="59">
        <f t="shared" si="148"/>
        <v>92.75115399786057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-2.8421709430404007E-13</v>
      </c>
      <c r="CU137" s="17">
        <f>CT137*VLOOKUP('Données projet'!$B$13,Paramètres!$A$1:$I$89,3,0)*VLOOKUP('Données projet'!$B$13,Paramètres!$A$1:$I$89,5,0)</f>
        <v>-1.69961822393816E-13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179.32848817523677</v>
      </c>
      <c r="CZ137" s="59">
        <f t="shared" si="150"/>
        <v>131.3292389103035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0.73728129272841769</v>
      </c>
      <c r="DH137" s="21">
        <f>EXP(-LN(2)/2)*DH136+(1-EXP(-LN(2)/2))/(LN(2)/2)*DB137*DE137*VLOOKUP('Données projet'!$B$13,Paramètres!$A$1:$I$89,3,0)*0.475*44/12</f>
        <v>1.1685917516425094E-15</v>
      </c>
      <c r="DI137" s="22">
        <f t="shared" si="123"/>
        <v>0.73728129272841891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7.2230769230769223</v>
      </c>
      <c r="DO137" s="12">
        <f>IF('Données projet'!$A$166&gt;35,DO136+DN137-DW136,IF(A137&lt;'Données projet'!$A$166,$DL$205^A137,IF(A137='Données projet'!$A$166,'Données projet'!$B$166,DO136+DN137-DW136)))</f>
        <v>388.37307692307633</v>
      </c>
      <c r="DP137" s="17">
        <f>DO137*VLOOKUP('Données projet'!$B$14,Paramètres!$A$1:$I$89,3,0)*VLOOKUP('Données projet'!$B$14,Paramètres!$A$1:$I$89,5,0)</f>
        <v>375.63443999999947</v>
      </c>
      <c r="DQ137" s="13">
        <f t="shared" si="151"/>
        <v>86.818999262048067</v>
      </c>
      <c r="DR137" s="20">
        <f t="shared" si="124"/>
        <v>805.43974004806614</v>
      </c>
      <c r="DS137" s="59">
        <f t="shared" si="125"/>
        <v>1098.7730733813994</v>
      </c>
      <c r="DT137" s="59">
        <f ca="1">AVERAGE(OFFSET($DS$3,0,0,'Données projet'!$E$14+1,1))-AVERAGE(OFFSET($H$3,0,0,'Données projet'!$E$14+1,1))</f>
        <v>340.4659523898373</v>
      </c>
      <c r="DU137" s="59">
        <f t="shared" si="152"/>
        <v>170.54530785680572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>
        <f>VLOOKUP(A137,'Données projet'!$A$191:$I$211,2,0)</f>
        <v>331.85256410256414</v>
      </c>
      <c r="EH137" s="12">
        <f>VLOOKUP(A137,'Données projet'!$A$191:$I$211,9,0)</f>
        <v>6.0711538461538508</v>
      </c>
      <c r="EI137" s="12">
        <f t="array" ref="EI137">INDEX(EH:EH,MIN(IF(ISNUMBER(EH137:EH333),ROW(EH137:EH333),"")))</f>
        <v>6.0711538461538508</v>
      </c>
      <c r="EJ137" s="12">
        <f>IF('Données projet'!$A$192&gt;35,EJ136+EI137-ER136,IF(A137&lt;'Données projet'!$A$192,$EG$205^A137,IF(A137='Données projet'!$A$192,'Données projet'!$B$192,EJ136+EI137-ER136)))</f>
        <v>331.85256410256363</v>
      </c>
      <c r="EK137" s="17">
        <f>EJ137*VLOOKUP('Données projet'!$B$15,Paramètres!$A$1:$I$89,3,0)*VLOOKUP('Données projet'!$B$15,Paramètres!$A$1:$I$89,5,0)</f>
        <v>320.96779999999956</v>
      </c>
      <c r="EL137" s="13">
        <f t="shared" si="153"/>
        <v>75.554687869437544</v>
      </c>
      <c r="EM137" s="20">
        <f t="shared" si="127"/>
        <v>690.60999970593627</v>
      </c>
      <c r="EN137" s="59">
        <f t="shared" si="128"/>
        <v>983.94333303926965</v>
      </c>
      <c r="EO137" s="59">
        <f ca="1">AVERAGE(OFFSET($EN$3,0,0,'Données projet'!$E$15+1,1))-AVERAGE(OFFSET($H$3,0,0,'Données projet'!$E$15+1,1))</f>
        <v>262.20955982183017</v>
      </c>
      <c r="EP137" s="59">
        <f t="shared" si="154"/>
        <v>101.35842063036193</v>
      </c>
      <c r="EQ137" s="15">
        <f>IF(ISNA(VLOOKUP(A137,'Données projet'!$A$191:$I$211,3,0)),0,VLOOKUP(A137,'Données projet'!$A$191:$I$211,3,0))</f>
        <v>11</v>
      </c>
      <c r="ER137" s="15">
        <f>IF(ISNA(VLOOKUP(A137,'Données projet'!$A$191:$I$211,4,0)),0,VLOOKUP(A137,'Données projet'!$A$191:$I$211,4,0))</f>
        <v>41.666666666666664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5.6843418860808015E-14</v>
      </c>
      <c r="FF137" s="17">
        <f>FE137*VLOOKUP('Données projet'!$B$16,Paramètres!$A$1:$I$89,3,0)*VLOOKUP('Données projet'!$B$16,Paramètres!$A$1:$I$89,5,0)</f>
        <v>4.5224624045658861E-14</v>
      </c>
      <c r="FG137" s="13">
        <f t="shared" si="155"/>
        <v>7.4514601661523691E-13</v>
      </c>
      <c r="FH137" s="20">
        <f t="shared" si="130"/>
        <v>1.3765621991510601E-12</v>
      </c>
      <c r="FI137" s="59">
        <f t="shared" si="131"/>
        <v>293.33333333333468</v>
      </c>
      <c r="FJ137" s="59">
        <f ca="1">AVERAGE(OFFSET($FI$3,0,0,'Données projet'!$E$16+1,1))-AVERAGE(OFFSET($H$3,0,0,'Données projet'!$E$16+1,1))</f>
        <v>199.58763537752952</v>
      </c>
      <c r="FK137" s="59">
        <f t="shared" si="156"/>
        <v>242.62852778451929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0.57522010899287435</v>
      </c>
      <c r="FS137" s="21">
        <f>EXP(-LN(2)/2)*FS136+(1-EXP(-LN(2)/2))/(LN(2)/2)*FM137*FP137*VLOOKUP('Données projet'!$B$16,Paramètres!$A$1:$I$89,3,0)*0.475*44/12</f>
        <v>2.3895459818002384E-15</v>
      </c>
      <c r="FT137" s="22">
        <f t="shared" si="132"/>
        <v>0.57522010899287679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5.6843418860808015E-14</v>
      </c>
      <c r="GA137" s="17">
        <f>FZ137*VLOOKUP('Données projet'!$B$17,Paramètres!$A$1:$I$89,3,0)*VLOOKUP('Données projet'!$B$17,Paramètres!$A$1:$I$89,5,0)</f>
        <v>4.1677594708744434E-14</v>
      </c>
      <c r="GB137" s="13">
        <f t="shared" si="157"/>
        <v>6.9326303456159188E-13</v>
      </c>
      <c r="GC137" s="20">
        <f t="shared" si="133"/>
        <v>1.2800215959791691E-12</v>
      </c>
      <c r="GD137" s="59">
        <f t="shared" si="134"/>
        <v>293.33333333333462</v>
      </c>
      <c r="GE137" s="59">
        <f ca="1">AVERAGE(OFFSET($GD$3,0,0,'Données projet'!$E$17+1,1))-AVERAGE(OFFSET($H$3,0,0,'Données projet'!$E$17+1,1))</f>
        <v>178.12968684094687</v>
      </c>
      <c r="GF137" s="59">
        <f t="shared" si="158"/>
        <v>219.36004077210373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0.43008503154813127</v>
      </c>
      <c r="GN137" s="21">
        <f>EXP(-LN(2)/2)*GN136+(1-EXP(-LN(2)/2))/(LN(2)/2)*GH137*GK137*VLOOKUP('Données projet'!$B$17,Paramètres!$A$1:$I$89,3,0)*0.475*44/12</f>
        <v>2.2021306106786492E-15</v>
      </c>
      <c r="GO137" s="21">
        <f t="shared" si="135"/>
        <v>0.43008503154813349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5.6843418860808015E-14</v>
      </c>
      <c r="GV137" s="17">
        <f>GU137*VLOOKUP('Données projet'!$B$18,Paramètres!$A$1:$I$89,3,0)*VLOOKUP('Données projet'!$B$18,Paramètres!$A$1:$I$89,5,0)</f>
        <v>4.5224624045658861E-14</v>
      </c>
      <c r="GW137" s="13">
        <f t="shared" si="159"/>
        <v>7.4514601661523691E-13</v>
      </c>
      <c r="GX137" s="20">
        <f t="shared" si="136"/>
        <v>1.3765621991510601E-12</v>
      </c>
      <c r="GY137" s="59">
        <f t="shared" si="137"/>
        <v>293.33333333333468</v>
      </c>
      <c r="GZ137" s="59">
        <f ca="1">AVERAGE(OFFSET($GY$3,0,0,'Données projet'!$E$18+1,1))-AVERAGE(OFFSET($H$3,0,0,'Données projet'!$E$18+1,1))</f>
        <v>199.58763537752952</v>
      </c>
      <c r="HA137" s="59">
        <f t="shared" si="160"/>
        <v>242.62852778451929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0</v>
      </c>
      <c r="HH137" s="21">
        <f>EXP(-LN(2)/25)*HH136+(1-EXP(-LN(2)/25))/(LN(2)/25)*Calculateur!HC137*Calculateur!HE137*VLOOKUP('Données projet'!$B$18,Paramètres!$A$1:$I$89,3,0)*0.475*44/12</f>
        <v>0.57522010899287435</v>
      </c>
      <c r="HI137" s="21">
        <f>EXP(-LN(2)/2)*HI136+(1-EXP(-LN(2)/2))/(LN(2)/2)*HC137*HF137*VLOOKUP('Données projet'!$B$18,Paramètres!$A$1:$I$89,3,0)*0.475*44/12</f>
        <v>2.3895459818002384E-15</v>
      </c>
      <c r="HJ137" s="22">
        <f t="shared" si="138"/>
        <v>0.57522010899287679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7.2230769230769223</v>
      </c>
      <c r="N138" s="13">
        <f>IF('Données projet'!$A$36&gt;35,N137+M138-V137,IF(A138&lt;'Données projet'!$A$36,$K$205^A138,IF(A138='Données projet'!$A$36,'Données projet'!$B$36,N137+M138-V137)))</f>
        <v>395.59615384615324</v>
      </c>
      <c r="O138" s="13">
        <f>N138*VLOOKUP('Données projet'!$B$9,Paramètres!$A$1:$I$89,3,0)*VLOOKUP('Données projet'!$B$9,Paramètres!$A$1:$I$89,5,0)</f>
        <v>357.93539999999945</v>
      </c>
      <c r="P138" s="13">
        <f t="shared" si="141"/>
        <v>83.194354378018602</v>
      </c>
      <c r="Q138" s="20">
        <f t="shared" si="108"/>
        <v>768.30098887504801</v>
      </c>
      <c r="R138" s="59">
        <f t="shared" si="109"/>
        <v>1061.6343222083813</v>
      </c>
      <c r="S138" s="59">
        <f ca="1">AVERAGE(OFFSET($R$3,0,0,'Données projet'!$E$9+1,1))-AVERAGE(OFFSET($H$3,0,0,'Données projet'!$E$9+1,1))</f>
        <v>309.07357540707869</v>
      </c>
      <c r="T138" s="59">
        <f t="shared" si="142"/>
        <v>155.9593924683299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6.1378205128205137</v>
      </c>
      <c r="AI138" s="13">
        <f>IF('Données projet'!$A$62&gt;35,AI137+AH138-AQ137,IF(A138&lt;'Données projet'!$A$62,$AF$205^A138,IF(A138='Données projet'!$A$62,'Données projet'!$B$62,AI137+AH138-AQ137)))</f>
        <v>296.32371794871744</v>
      </c>
      <c r="AJ138" s="13">
        <f>AI138*VLOOKUP('Données projet'!$B$10,Paramètres!$A$1:$I$89,3,0)*VLOOKUP('Données projet'!$B$10,Paramètres!$A$1:$I$89,5,0)</f>
        <v>268.11369999999954</v>
      </c>
      <c r="AK138" s="13">
        <f t="shared" si="143"/>
        <v>64.448785624791412</v>
      </c>
      <c r="AL138" s="20">
        <f t="shared" si="112"/>
        <v>579.21299579651088</v>
      </c>
      <c r="AM138" s="59">
        <f t="shared" si="113"/>
        <v>872.54632912984425</v>
      </c>
      <c r="AN138" s="59">
        <f ca="1">AVERAGE(OFFSET($AM$3,0,0,'Données projet'!$E$10+1,1))-AVERAGE(OFFSET($H$3,0,0,'Données projet'!$E$10+1,1))</f>
        <v>234.30804102916278</v>
      </c>
      <c r="AO138" s="59">
        <f t="shared" si="144"/>
        <v>91.137993288782411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3.4106051316484809E-13</v>
      </c>
      <c r="BE138" s="13">
        <f>BD138*VLOOKUP('Données projet'!$B$11,Paramètres!$A$1:$I$89,3,0)*VLOOKUP('Données projet'!$B$11,Paramètres!$A$1:$I$89,5,0)</f>
        <v>1.5961632016114892E-13</v>
      </c>
      <c r="BF138" s="13">
        <f t="shared" si="145"/>
        <v>2.2708641912150958E-12</v>
      </c>
      <c r="BG138" s="20">
        <f t="shared" si="115"/>
        <v>4.2330868906469593E-12</v>
      </c>
      <c r="BH138" s="59">
        <f t="shared" si="116"/>
        <v>293.33333333333752</v>
      </c>
      <c r="BI138" s="59">
        <f ca="1">AVERAGE(OFFSET($BH$3,0,0,'Données projet'!$E$11+1,1))-AVERAGE(OFFSET($H$3,0,0,'Données projet'!$E$11+1,1))</f>
        <v>158.58786357608489</v>
      </c>
      <c r="BJ138" s="59">
        <f t="shared" si="146"/>
        <v>163.20074068819849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5.6843418860808015E-13</v>
      </c>
      <c r="BZ138" s="13">
        <f>BY138*VLOOKUP('Données projet'!$B$12,Paramètres!$A$1:$I$89,3,0)*VLOOKUP('Données projet'!$B$12,Paramètres!$A$1:$I$89,5,0)</f>
        <v>2.6602720026858149E-13</v>
      </c>
      <c r="CA138" s="13">
        <f t="shared" si="147"/>
        <v>3.5662905043956649E-12</v>
      </c>
      <c r="CB138" s="20">
        <f t="shared" si="118"/>
        <v>6.6746200022902298E-12</v>
      </c>
      <c r="CC138" s="59">
        <f t="shared" si="119"/>
        <v>293.33333333333997</v>
      </c>
      <c r="CD138" s="59">
        <f ca="1">AVERAGE(OFFSET($CC$3,0,0,'Données projet'!$E$12+1,1))-AVERAGE(OFFSET($H$3,0,0,'Données projet'!$E$12+1,1))</f>
        <v>123.2823358462245</v>
      </c>
      <c r="CE138" s="59">
        <f t="shared" si="148"/>
        <v>92.75115399786057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-2.8421709430404007E-13</v>
      </c>
      <c r="CU138" s="17">
        <f>CT138*VLOOKUP('Données projet'!$B$13,Paramètres!$A$1:$I$89,3,0)*VLOOKUP('Données projet'!$B$13,Paramètres!$A$1:$I$89,5,0)</f>
        <v>-1.69961822393816E-13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179.32848817523677</v>
      </c>
      <c r="CZ138" s="59">
        <f t="shared" si="150"/>
        <v>131.3292389103035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0.71712029700682101</v>
      </c>
      <c r="DH138" s="21">
        <f>EXP(-LN(2)/2)*DH137+(1-EXP(-LN(2)/2))/(LN(2)/2)*DB138*DE138*VLOOKUP('Données projet'!$B$13,Paramètres!$A$1:$I$89,3,0)*0.475*44/12</f>
        <v>8.2631915202508418E-16</v>
      </c>
      <c r="DI138" s="22">
        <f t="shared" si="123"/>
        <v>0.71712029700682178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7.2230769230769223</v>
      </c>
      <c r="DO138" s="12">
        <f>IF('Données projet'!$A$166&gt;35,DO137+DN138-DW137,IF(A138&lt;'Données projet'!$A$166,$DL$205^A138,IF(A138='Données projet'!$A$166,'Données projet'!$B$166,DO137+DN138-DW137)))</f>
        <v>395.59615384615324</v>
      </c>
      <c r="DP138" s="17">
        <f>DO138*VLOOKUP('Données projet'!$B$14,Paramètres!$A$1:$I$89,3,0)*VLOOKUP('Données projet'!$B$14,Paramètres!$A$1:$I$89,5,0)</f>
        <v>382.6205999999994</v>
      </c>
      <c r="DQ138" s="13">
        <f t="shared" si="151"/>
        <v>88.244201475835013</v>
      </c>
      <c r="DR138" s="20">
        <f t="shared" si="124"/>
        <v>820.08952923707818</v>
      </c>
      <c r="DS138" s="59">
        <f t="shared" si="125"/>
        <v>1113.4228625704116</v>
      </c>
      <c r="DT138" s="59">
        <f ca="1">AVERAGE(OFFSET($DS$3,0,0,'Données projet'!$E$14+1,1))-AVERAGE(OFFSET($H$3,0,0,'Données projet'!$E$14+1,1))</f>
        <v>340.4659523898373</v>
      </c>
      <c r="DU138" s="59">
        <f t="shared" si="152"/>
        <v>170.54530785680572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6.1378205128205137</v>
      </c>
      <c r="EJ138" s="12">
        <f>IF('Données projet'!$A$192&gt;35,EJ137+EI138-ER137,IF(A138&lt;'Données projet'!$A$192,$EG$205^A138,IF(A138='Données projet'!$A$192,'Données projet'!$B$192,EJ137+EI138-ER137)))</f>
        <v>296.32371794871744</v>
      </c>
      <c r="EK138" s="17">
        <f>EJ138*VLOOKUP('Données projet'!$B$15,Paramètres!$A$1:$I$89,3,0)*VLOOKUP('Données projet'!$B$15,Paramètres!$A$1:$I$89,5,0)</f>
        <v>286.60429999999951</v>
      </c>
      <c r="EL138" s="13">
        <f t="shared" si="153"/>
        <v>68.360788013395037</v>
      </c>
      <c r="EM138" s="20">
        <f t="shared" si="127"/>
        <v>618.23086162332891</v>
      </c>
      <c r="EN138" s="59">
        <f t="shared" si="128"/>
        <v>911.56419495666228</v>
      </c>
      <c r="EO138" s="59">
        <f ca="1">AVERAGE(OFFSET($EN$3,0,0,'Données projet'!$E$15+1,1))-AVERAGE(OFFSET($H$3,0,0,'Données projet'!$E$15+1,1))</f>
        <v>262.20955982183017</v>
      </c>
      <c r="EP138" s="59">
        <f t="shared" si="154"/>
        <v>101.35842063036193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5.6843418860808015E-14</v>
      </c>
      <c r="FF138" s="17">
        <f>FE138*VLOOKUP('Données projet'!$B$16,Paramètres!$A$1:$I$89,3,0)*VLOOKUP('Données projet'!$B$16,Paramètres!$A$1:$I$89,5,0)</f>
        <v>4.5224624045658861E-14</v>
      </c>
      <c r="FG138" s="13">
        <f t="shared" si="155"/>
        <v>7.4514601661523691E-13</v>
      </c>
      <c r="FH138" s="20">
        <f t="shared" si="130"/>
        <v>1.3765621991510601E-12</v>
      </c>
      <c r="FI138" s="59">
        <f t="shared" si="131"/>
        <v>293.33333333333468</v>
      </c>
      <c r="FJ138" s="59">
        <f ca="1">AVERAGE(OFFSET($FI$3,0,0,'Données projet'!$E$16+1,1))-AVERAGE(OFFSET($H$3,0,0,'Données projet'!$E$16+1,1))</f>
        <v>199.58763537752952</v>
      </c>
      <c r="FK138" s="59">
        <f t="shared" si="156"/>
        <v>242.62852778451929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0.55949068486295339</v>
      </c>
      <c r="FS138" s="21">
        <f>EXP(-LN(2)/2)*FS137+(1-EXP(-LN(2)/2))/(LN(2)/2)*FM138*FP138*VLOOKUP('Données projet'!$B$16,Paramètres!$A$1:$I$89,3,0)*0.475*44/12</f>
        <v>1.6896641676880151E-15</v>
      </c>
      <c r="FT138" s="22">
        <f t="shared" si="132"/>
        <v>0.55949068486295506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5.6843418860808015E-14</v>
      </c>
      <c r="GA138" s="17">
        <f>FZ138*VLOOKUP('Données projet'!$B$17,Paramètres!$A$1:$I$89,3,0)*VLOOKUP('Données projet'!$B$17,Paramètres!$A$1:$I$89,5,0)</f>
        <v>4.1677594708744434E-14</v>
      </c>
      <c r="GB138" s="13">
        <f t="shared" si="157"/>
        <v>6.9326303456159188E-13</v>
      </c>
      <c r="GC138" s="20">
        <f t="shared" si="133"/>
        <v>1.2800215959791691E-12</v>
      </c>
      <c r="GD138" s="59">
        <f t="shared" si="134"/>
        <v>293.33333333333462</v>
      </c>
      <c r="GE138" s="59">
        <f ca="1">AVERAGE(OFFSET($GD$3,0,0,'Données projet'!$E$17+1,1))-AVERAGE(OFFSET($H$3,0,0,'Données projet'!$E$17+1,1))</f>
        <v>178.12968684094687</v>
      </c>
      <c r="GF138" s="59">
        <f t="shared" si="158"/>
        <v>219.36004077210373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0.41832433374325878</v>
      </c>
      <c r="GN138" s="21">
        <f>EXP(-LN(2)/2)*GN137+(1-EXP(-LN(2)/2))/(LN(2)/2)*GH138*GK138*VLOOKUP('Données projet'!$B$17,Paramètres!$A$1:$I$89,3,0)*0.475*44/12</f>
        <v>1.5571414878693459E-15</v>
      </c>
      <c r="GO138" s="21">
        <f t="shared" si="135"/>
        <v>0.41832433374326033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5.6843418860808015E-14</v>
      </c>
      <c r="GV138" s="17">
        <f>GU138*VLOOKUP('Données projet'!$B$18,Paramètres!$A$1:$I$89,3,0)*VLOOKUP('Données projet'!$B$18,Paramètres!$A$1:$I$89,5,0)</f>
        <v>4.5224624045658861E-14</v>
      </c>
      <c r="GW138" s="13">
        <f t="shared" si="159"/>
        <v>7.4514601661523691E-13</v>
      </c>
      <c r="GX138" s="20">
        <f t="shared" si="136"/>
        <v>1.3765621991510601E-12</v>
      </c>
      <c r="GY138" s="59">
        <f t="shared" si="137"/>
        <v>293.33333333333468</v>
      </c>
      <c r="GZ138" s="59">
        <f ca="1">AVERAGE(OFFSET($GY$3,0,0,'Données projet'!$E$18+1,1))-AVERAGE(OFFSET($H$3,0,0,'Données projet'!$E$18+1,1))</f>
        <v>199.58763537752952</v>
      </c>
      <c r="HA138" s="59">
        <f t="shared" si="160"/>
        <v>242.62852778451929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0</v>
      </c>
      <c r="HH138" s="21">
        <f>EXP(-LN(2)/25)*HH137+(1-EXP(-LN(2)/25))/(LN(2)/25)*Calculateur!HC138*Calculateur!HE138*VLOOKUP('Données projet'!$B$18,Paramètres!$A$1:$I$89,3,0)*0.475*44/12</f>
        <v>0.55949068486295339</v>
      </c>
      <c r="HI138" s="21">
        <f>EXP(-LN(2)/2)*HI137+(1-EXP(-LN(2)/2))/(LN(2)/2)*HC138*HF138*VLOOKUP('Données projet'!$B$18,Paramètres!$A$1:$I$89,3,0)*0.475*44/12</f>
        <v>1.6896641676880151E-15</v>
      </c>
      <c r="HJ138" s="22">
        <f t="shared" si="138"/>
        <v>0.55949068486295506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7.2230769230769223</v>
      </c>
      <c r="N139" s="13">
        <f>IF('Données projet'!$A$36&gt;35,N138+M139-V138,IF(A139&lt;'Données projet'!$A$36,$K$205^A139,IF(A139='Données projet'!$A$36,'Données projet'!$B$36,N138+M139-V138)))</f>
        <v>402.81923076923016</v>
      </c>
      <c r="O139" s="13">
        <f>N139*VLOOKUP('Données projet'!$B$9,Paramètres!$A$1:$I$89,3,0)*VLOOKUP('Données projet'!$B$9,Paramètres!$A$1:$I$89,5,0)</f>
        <v>364.47083999999944</v>
      </c>
      <c r="P139" s="13">
        <f t="shared" si="141"/>
        <v>84.535145420907739</v>
      </c>
      <c r="Q139" s="20">
        <f t="shared" si="108"/>
        <v>782.01875794141324</v>
      </c>
      <c r="R139" s="59">
        <f t="shared" si="109"/>
        <v>1075.3520912747465</v>
      </c>
      <c r="S139" s="59">
        <f ca="1">AVERAGE(OFFSET($R$3,0,0,'Données projet'!$E$9+1,1))-AVERAGE(OFFSET($H$3,0,0,'Données projet'!$E$9+1,1))</f>
        <v>309.07357540707869</v>
      </c>
      <c r="T139" s="59">
        <f t="shared" si="142"/>
        <v>155.9593924683299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6.1378205128205137</v>
      </c>
      <c r="AI139" s="13">
        <f>IF('Données projet'!$A$62&gt;35,AI138+AH139-AQ138,IF(A139&lt;'Données projet'!$A$62,$AF$205^A139,IF(A139='Données projet'!$A$62,'Données projet'!$B$62,AI138+AH139-AQ138)))</f>
        <v>302.46153846153794</v>
      </c>
      <c r="AJ139" s="13">
        <f>AI139*VLOOKUP('Données projet'!$B$10,Paramètres!$A$1:$I$89,3,0)*VLOOKUP('Données projet'!$B$10,Paramètres!$A$1:$I$89,5,0)</f>
        <v>273.66719999999953</v>
      </c>
      <c r="AK139" s="13">
        <f t="shared" si="143"/>
        <v>65.62692955621516</v>
      </c>
      <c r="AL139" s="20">
        <f t="shared" si="112"/>
        <v>590.93727564374046</v>
      </c>
      <c r="AM139" s="59">
        <f t="shared" si="113"/>
        <v>884.27060897707383</v>
      </c>
      <c r="AN139" s="59">
        <f ca="1">AVERAGE(OFFSET($AM$3,0,0,'Données projet'!$E$10+1,1))-AVERAGE(OFFSET($H$3,0,0,'Données projet'!$E$10+1,1))</f>
        <v>234.30804102916278</v>
      </c>
      <c r="AO139" s="59">
        <f t="shared" si="144"/>
        <v>91.137993288782411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3.4106051316484809E-13</v>
      </c>
      <c r="BE139" s="13">
        <f>BD139*VLOOKUP('Données projet'!$B$11,Paramètres!$A$1:$I$89,3,0)*VLOOKUP('Données projet'!$B$11,Paramètres!$A$1:$I$89,5,0)</f>
        <v>1.5961632016114892E-13</v>
      </c>
      <c r="BF139" s="13">
        <f t="shared" si="145"/>
        <v>2.2708641912150958E-12</v>
      </c>
      <c r="BG139" s="20">
        <f t="shared" si="115"/>
        <v>4.2330868906469593E-12</v>
      </c>
      <c r="BH139" s="59">
        <f t="shared" si="116"/>
        <v>293.33333333333752</v>
      </c>
      <c r="BI139" s="59">
        <f ca="1">AVERAGE(OFFSET($BH$3,0,0,'Données projet'!$E$11+1,1))-AVERAGE(OFFSET($H$3,0,0,'Données projet'!$E$11+1,1))</f>
        <v>158.58786357608489</v>
      </c>
      <c r="BJ139" s="59">
        <f t="shared" si="146"/>
        <v>163.20074068819849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5.6843418860808015E-13</v>
      </c>
      <c r="BZ139" s="13">
        <f>BY139*VLOOKUP('Données projet'!$B$12,Paramètres!$A$1:$I$89,3,0)*VLOOKUP('Données projet'!$B$12,Paramètres!$A$1:$I$89,5,0)</f>
        <v>2.6602720026858149E-13</v>
      </c>
      <c r="CA139" s="13">
        <f t="shared" si="147"/>
        <v>3.5662905043956649E-12</v>
      </c>
      <c r="CB139" s="20">
        <f t="shared" si="118"/>
        <v>6.6746200022902298E-12</v>
      </c>
      <c r="CC139" s="59">
        <f t="shared" si="119"/>
        <v>293.33333333333997</v>
      </c>
      <c r="CD139" s="59">
        <f ca="1">AVERAGE(OFFSET($CC$3,0,0,'Données projet'!$E$12+1,1))-AVERAGE(OFFSET($H$3,0,0,'Données projet'!$E$12+1,1))</f>
        <v>123.2823358462245</v>
      </c>
      <c r="CE139" s="59">
        <f t="shared" si="148"/>
        <v>92.75115399786057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-2.8421709430404007E-13</v>
      </c>
      <c r="CU139" s="17">
        <f>CT139*VLOOKUP('Données projet'!$B$13,Paramètres!$A$1:$I$89,3,0)*VLOOKUP('Données projet'!$B$13,Paramètres!$A$1:$I$89,5,0)</f>
        <v>-1.69961822393816E-13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179.32848817523677</v>
      </c>
      <c r="CZ139" s="59">
        <f t="shared" si="150"/>
        <v>131.3292389103035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0.69751060477345206</v>
      </c>
      <c r="DH139" s="21">
        <f>EXP(-LN(2)/2)*DH138+(1-EXP(-LN(2)/2))/(LN(2)/2)*DB139*DE139*VLOOKUP('Données projet'!$B$13,Paramètres!$A$1:$I$89,3,0)*0.475*44/12</f>
        <v>5.8429587582125469E-16</v>
      </c>
      <c r="DI139" s="22">
        <f t="shared" si="123"/>
        <v>0.69751060477345261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7.2230769230769223</v>
      </c>
      <c r="DO139" s="12">
        <f>IF('Données projet'!$A$166&gt;35,DO138+DN139-DW138,IF(A139&lt;'Données projet'!$A$166,$DL$205^A139,IF(A139='Données projet'!$A$166,'Données projet'!$B$166,DO138+DN139-DW138)))</f>
        <v>402.81923076923016</v>
      </c>
      <c r="DP139" s="17">
        <f>DO139*VLOOKUP('Données projet'!$B$14,Paramètres!$A$1:$I$89,3,0)*VLOOKUP('Données projet'!$B$14,Paramètres!$A$1:$I$89,5,0)</f>
        <v>389.60675999999938</v>
      </c>
      <c r="DQ139" s="13">
        <f t="shared" si="151"/>
        <v>89.666377725777423</v>
      </c>
      <c r="DR139" s="20">
        <f t="shared" si="124"/>
        <v>834.73404820572796</v>
      </c>
      <c r="DS139" s="59">
        <f t="shared" si="125"/>
        <v>1128.0673815390612</v>
      </c>
      <c r="DT139" s="59">
        <f ca="1">AVERAGE(OFFSET($DS$3,0,0,'Données projet'!$E$14+1,1))-AVERAGE(OFFSET($H$3,0,0,'Données projet'!$E$14+1,1))</f>
        <v>340.4659523898373</v>
      </c>
      <c r="DU139" s="59">
        <f t="shared" si="152"/>
        <v>170.54530785680572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6.1378205128205137</v>
      </c>
      <c r="EJ139" s="12">
        <f>IF('Données projet'!$A$192&gt;35,EJ138+EI139-ER138,IF(A139&lt;'Données projet'!$A$192,$EG$205^A139,IF(A139='Données projet'!$A$192,'Données projet'!$B$192,EJ138+EI139-ER138)))</f>
        <v>302.46153846153794</v>
      </c>
      <c r="EK139" s="17">
        <f>EJ139*VLOOKUP('Données projet'!$B$15,Paramètres!$A$1:$I$89,3,0)*VLOOKUP('Données projet'!$B$15,Paramètres!$A$1:$I$89,5,0)</f>
        <v>292.54079999999954</v>
      </c>
      <c r="EL139" s="13">
        <f t="shared" si="153"/>
        <v>69.610444570373545</v>
      </c>
      <c r="EM139" s="20">
        <f t="shared" si="127"/>
        <v>630.74675096006649</v>
      </c>
      <c r="EN139" s="59">
        <f t="shared" si="128"/>
        <v>924.08008429339975</v>
      </c>
      <c r="EO139" s="59">
        <f ca="1">AVERAGE(OFFSET($EN$3,0,0,'Données projet'!$E$15+1,1))-AVERAGE(OFFSET($H$3,0,0,'Données projet'!$E$15+1,1))</f>
        <v>262.20955982183017</v>
      </c>
      <c r="EP139" s="59">
        <f t="shared" si="154"/>
        <v>101.35842063036193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5.6843418860808015E-14</v>
      </c>
      <c r="FF139" s="17">
        <f>FE139*VLOOKUP('Données projet'!$B$16,Paramètres!$A$1:$I$89,3,0)*VLOOKUP('Données projet'!$B$16,Paramètres!$A$1:$I$89,5,0)</f>
        <v>4.5224624045658861E-14</v>
      </c>
      <c r="FG139" s="13">
        <f t="shared" si="155"/>
        <v>7.4514601661523691E-13</v>
      </c>
      <c r="FH139" s="20">
        <f t="shared" si="130"/>
        <v>1.3765621991510601E-12</v>
      </c>
      <c r="FI139" s="59">
        <f t="shared" si="131"/>
        <v>293.33333333333468</v>
      </c>
      <c r="FJ139" s="59">
        <f ca="1">AVERAGE(OFFSET($FI$3,0,0,'Données projet'!$E$16+1,1))-AVERAGE(OFFSET($H$3,0,0,'Données projet'!$E$16+1,1))</f>
        <v>199.58763537752952</v>
      </c>
      <c r="FK139" s="59">
        <f t="shared" si="156"/>
        <v>242.62852778451929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0.54419138266303957</v>
      </c>
      <c r="FS139" s="21">
        <f>EXP(-LN(2)/2)*FS138+(1-EXP(-LN(2)/2))/(LN(2)/2)*FM139*FP139*VLOOKUP('Données projet'!$B$16,Paramètres!$A$1:$I$89,3,0)*0.475*44/12</f>
        <v>1.1947729909001192E-15</v>
      </c>
      <c r="FT139" s="22">
        <f t="shared" si="132"/>
        <v>0.54419138266304079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5.6843418860808015E-14</v>
      </c>
      <c r="GA139" s="17">
        <f>FZ139*VLOOKUP('Données projet'!$B$17,Paramètres!$A$1:$I$89,3,0)*VLOOKUP('Données projet'!$B$17,Paramètres!$A$1:$I$89,5,0)</f>
        <v>4.1677594708744434E-14</v>
      </c>
      <c r="GB139" s="13">
        <f t="shared" si="157"/>
        <v>6.9326303456159188E-13</v>
      </c>
      <c r="GC139" s="20">
        <f t="shared" si="133"/>
        <v>1.2800215959791691E-12</v>
      </c>
      <c r="GD139" s="59">
        <f t="shared" si="134"/>
        <v>293.33333333333462</v>
      </c>
      <c r="GE139" s="59">
        <f ca="1">AVERAGE(OFFSET($GD$3,0,0,'Données projet'!$E$17+1,1))-AVERAGE(OFFSET($H$3,0,0,'Données projet'!$E$17+1,1))</f>
        <v>178.12968684094687</v>
      </c>
      <c r="GF139" s="59">
        <f t="shared" si="158"/>
        <v>219.36004077210373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0.40688523283832873</v>
      </c>
      <c r="GN139" s="21">
        <f>EXP(-LN(2)/2)*GN138+(1-EXP(-LN(2)/2))/(LN(2)/2)*GH139*GK139*VLOOKUP('Données projet'!$B$17,Paramètres!$A$1:$I$89,3,0)*0.475*44/12</f>
        <v>1.1010653053393246E-15</v>
      </c>
      <c r="GO139" s="21">
        <f t="shared" si="135"/>
        <v>0.40688523283832984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5.6843418860808015E-14</v>
      </c>
      <c r="GV139" s="17">
        <f>GU139*VLOOKUP('Données projet'!$B$18,Paramètres!$A$1:$I$89,3,0)*VLOOKUP('Données projet'!$B$18,Paramètres!$A$1:$I$89,5,0)</f>
        <v>4.5224624045658861E-14</v>
      </c>
      <c r="GW139" s="13">
        <f t="shared" si="159"/>
        <v>7.4514601661523691E-13</v>
      </c>
      <c r="GX139" s="20">
        <f t="shared" si="136"/>
        <v>1.3765621991510601E-12</v>
      </c>
      <c r="GY139" s="59">
        <f t="shared" si="137"/>
        <v>293.33333333333468</v>
      </c>
      <c r="GZ139" s="59">
        <f ca="1">AVERAGE(OFFSET($GY$3,0,0,'Données projet'!$E$18+1,1))-AVERAGE(OFFSET($H$3,0,0,'Données projet'!$E$18+1,1))</f>
        <v>199.58763537752952</v>
      </c>
      <c r="HA139" s="59">
        <f t="shared" si="160"/>
        <v>242.62852778451929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0</v>
      </c>
      <c r="HH139" s="21">
        <f>EXP(-LN(2)/25)*HH138+(1-EXP(-LN(2)/25))/(LN(2)/25)*Calculateur!HC139*Calculateur!HE139*VLOOKUP('Données projet'!$B$18,Paramètres!$A$1:$I$89,3,0)*0.475*44/12</f>
        <v>0.54419138266303957</v>
      </c>
      <c r="HI139" s="21">
        <f>EXP(-LN(2)/2)*HI138+(1-EXP(-LN(2)/2))/(LN(2)/2)*HC139*HF139*VLOOKUP('Données projet'!$B$18,Paramètres!$A$1:$I$89,3,0)*0.475*44/12</f>
        <v>1.1947729909001192E-15</v>
      </c>
      <c r="HJ139" s="22">
        <f t="shared" si="138"/>
        <v>0.54419138266304079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7.2230769230769223</v>
      </c>
      <c r="N140" s="13">
        <f>IF('Données projet'!$A$36&gt;35,N139+M140-V139,IF(A140&lt;'Données projet'!$A$36,$K$205^A140,IF(A140='Données projet'!$A$36,'Données projet'!$B$36,N139+M140-V139)))</f>
        <v>410.04230769230708</v>
      </c>
      <c r="O140" s="13">
        <f>N140*VLOOKUP('Données projet'!$B$9,Paramètres!$A$1:$I$89,3,0)*VLOOKUP('Données projet'!$B$9,Paramètres!$A$1:$I$89,5,0)</f>
        <v>371.00627999999944</v>
      </c>
      <c r="P140" s="13">
        <f t="shared" si="141"/>
        <v>85.873140718665468</v>
      </c>
      <c r="Q140" s="20">
        <f t="shared" si="108"/>
        <v>795.73165775167456</v>
      </c>
      <c r="R140" s="59">
        <f t="shared" si="109"/>
        <v>1089.0649910850079</v>
      </c>
      <c r="S140" s="59">
        <f ca="1">AVERAGE(OFFSET($R$3,0,0,'Données projet'!$E$9+1,1))-AVERAGE(OFFSET($H$3,0,0,'Données projet'!$E$9+1,1))</f>
        <v>309.07357540707869</v>
      </c>
      <c r="T140" s="59">
        <f t="shared" si="142"/>
        <v>155.9593924683299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6.1378205128205137</v>
      </c>
      <c r="AI140" s="13">
        <f>IF('Données projet'!$A$62&gt;35,AI139+AH140-AQ139,IF(A140&lt;'Données projet'!$A$62,$AF$205^A140,IF(A140='Données projet'!$A$62,'Données projet'!$B$62,AI139+AH140-AQ139)))</f>
        <v>308.59935897435844</v>
      </c>
      <c r="AJ140" s="13">
        <f>AI140*VLOOKUP('Données projet'!$B$10,Paramètres!$A$1:$I$89,3,0)*VLOOKUP('Données projet'!$B$10,Paramètres!$A$1:$I$89,5,0)</f>
        <v>279.22069999999951</v>
      </c>
      <c r="AK140" s="13">
        <f t="shared" si="143"/>
        <v>66.80229368446598</v>
      </c>
      <c r="AL140" s="20">
        <f t="shared" si="112"/>
        <v>602.65671400044414</v>
      </c>
      <c r="AM140" s="59">
        <f t="shared" si="113"/>
        <v>895.99004733377751</v>
      </c>
      <c r="AN140" s="59">
        <f ca="1">AVERAGE(OFFSET($AM$3,0,0,'Données projet'!$E$10+1,1))-AVERAGE(OFFSET($H$3,0,0,'Données projet'!$E$10+1,1))</f>
        <v>234.30804102916278</v>
      </c>
      <c r="AO140" s="59">
        <f t="shared" si="144"/>
        <v>91.137993288782411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3.4106051316484809E-13</v>
      </c>
      <c r="BE140" s="13">
        <f>BD140*VLOOKUP('Données projet'!$B$11,Paramètres!$A$1:$I$89,3,0)*VLOOKUP('Données projet'!$B$11,Paramètres!$A$1:$I$89,5,0)</f>
        <v>1.5961632016114892E-13</v>
      </c>
      <c r="BF140" s="13">
        <f t="shared" si="145"/>
        <v>2.2708641912150958E-12</v>
      </c>
      <c r="BG140" s="20">
        <f t="shared" si="115"/>
        <v>4.2330868906469593E-12</v>
      </c>
      <c r="BH140" s="59">
        <f t="shared" si="116"/>
        <v>293.33333333333752</v>
      </c>
      <c r="BI140" s="59">
        <f ca="1">AVERAGE(OFFSET($BH$3,0,0,'Données projet'!$E$11+1,1))-AVERAGE(OFFSET($H$3,0,0,'Données projet'!$E$11+1,1))</f>
        <v>158.58786357608489</v>
      </c>
      <c r="BJ140" s="59">
        <f t="shared" si="146"/>
        <v>163.20074068819849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5.6843418860808015E-13</v>
      </c>
      <c r="BZ140" s="13">
        <f>BY140*VLOOKUP('Données projet'!$B$12,Paramètres!$A$1:$I$89,3,0)*VLOOKUP('Données projet'!$B$12,Paramètres!$A$1:$I$89,5,0)</f>
        <v>2.6602720026858149E-13</v>
      </c>
      <c r="CA140" s="13">
        <f t="shared" si="147"/>
        <v>3.5662905043956649E-12</v>
      </c>
      <c r="CB140" s="20">
        <f t="shared" si="118"/>
        <v>6.6746200022902298E-12</v>
      </c>
      <c r="CC140" s="59">
        <f t="shared" si="119"/>
        <v>293.33333333333997</v>
      </c>
      <c r="CD140" s="59">
        <f ca="1">AVERAGE(OFFSET($CC$3,0,0,'Données projet'!$E$12+1,1))-AVERAGE(OFFSET($H$3,0,0,'Données projet'!$E$12+1,1))</f>
        <v>123.2823358462245</v>
      </c>
      <c r="CE140" s="59">
        <f t="shared" si="148"/>
        <v>92.75115399786057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-2.8421709430404007E-13</v>
      </c>
      <c r="CU140" s="17">
        <f>CT140*VLOOKUP('Données projet'!$B$13,Paramètres!$A$1:$I$89,3,0)*VLOOKUP('Données projet'!$B$13,Paramètres!$A$1:$I$89,5,0)</f>
        <v>-1.69961822393816E-13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179.32848817523677</v>
      </c>
      <c r="CZ140" s="59">
        <f t="shared" si="150"/>
        <v>131.3292389103035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0.67843714060543348</v>
      </c>
      <c r="DH140" s="21">
        <f>EXP(-LN(2)/2)*DH139+(1-EXP(-LN(2)/2))/(LN(2)/2)*DB140*DE140*VLOOKUP('Données projet'!$B$13,Paramètres!$A$1:$I$89,3,0)*0.475*44/12</f>
        <v>4.1315957601254209E-16</v>
      </c>
      <c r="DI140" s="22">
        <f t="shared" si="123"/>
        <v>0.67843714060543392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7.2230769230769223</v>
      </c>
      <c r="DO140" s="12">
        <f>IF('Données projet'!$A$166&gt;35,DO139+DN140-DW139,IF(A140&lt;'Données projet'!$A$166,$DL$205^A140,IF(A140='Données projet'!$A$166,'Données projet'!$B$166,DO139+DN140-DW139)))</f>
        <v>410.04230769230708</v>
      </c>
      <c r="DP140" s="17">
        <f>DO140*VLOOKUP('Données projet'!$B$14,Paramètres!$A$1:$I$89,3,0)*VLOOKUP('Données projet'!$B$14,Paramètres!$A$1:$I$89,5,0)</f>
        <v>396.59291999999942</v>
      </c>
      <c r="DQ140" s="13">
        <f t="shared" si="151"/>
        <v>91.08558853054619</v>
      </c>
      <c r="DR140" s="20">
        <f t="shared" si="124"/>
        <v>849.37340235736701</v>
      </c>
      <c r="DS140" s="59">
        <f t="shared" si="125"/>
        <v>1142.7067356907003</v>
      </c>
      <c r="DT140" s="59">
        <f ca="1">AVERAGE(OFFSET($DS$3,0,0,'Données projet'!$E$14+1,1))-AVERAGE(OFFSET($H$3,0,0,'Données projet'!$E$14+1,1))</f>
        <v>340.4659523898373</v>
      </c>
      <c r="DU140" s="59">
        <f t="shared" si="152"/>
        <v>170.54530785680572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6.1378205128205137</v>
      </c>
      <c r="EJ140" s="12">
        <f>IF('Données projet'!$A$192&gt;35,EJ139+EI140-ER139,IF(A140&lt;'Données projet'!$A$192,$EG$205^A140,IF(A140='Données projet'!$A$192,'Données projet'!$B$192,EJ139+EI140-ER139)))</f>
        <v>308.59935897435844</v>
      </c>
      <c r="EK140" s="17">
        <f>EJ140*VLOOKUP('Données projet'!$B$15,Paramètres!$A$1:$I$89,3,0)*VLOOKUP('Données projet'!$B$15,Paramètres!$A$1:$I$89,5,0)</f>
        <v>298.4772999999995</v>
      </c>
      <c r="EL140" s="13">
        <f t="shared" si="153"/>
        <v>70.857152591804422</v>
      </c>
      <c r="EM140" s="20">
        <f t="shared" si="127"/>
        <v>643.25750493072519</v>
      </c>
      <c r="EN140" s="59">
        <f t="shared" si="128"/>
        <v>936.59083826405845</v>
      </c>
      <c r="EO140" s="59">
        <f ca="1">AVERAGE(OFFSET($EN$3,0,0,'Données projet'!$E$15+1,1))-AVERAGE(OFFSET($H$3,0,0,'Données projet'!$E$15+1,1))</f>
        <v>262.20955982183017</v>
      </c>
      <c r="EP140" s="59">
        <f t="shared" si="154"/>
        <v>101.35842063036193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5.6843418860808015E-14</v>
      </c>
      <c r="FF140" s="17">
        <f>FE140*VLOOKUP('Données projet'!$B$16,Paramètres!$A$1:$I$89,3,0)*VLOOKUP('Données projet'!$B$16,Paramètres!$A$1:$I$89,5,0)</f>
        <v>4.5224624045658861E-14</v>
      </c>
      <c r="FG140" s="13">
        <f t="shared" si="155"/>
        <v>7.4514601661523691E-13</v>
      </c>
      <c r="FH140" s="20">
        <f t="shared" si="130"/>
        <v>1.3765621991510601E-12</v>
      </c>
      <c r="FI140" s="59">
        <f t="shared" si="131"/>
        <v>293.33333333333468</v>
      </c>
      <c r="FJ140" s="59">
        <f ca="1">AVERAGE(OFFSET($FI$3,0,0,'Données projet'!$E$16+1,1))-AVERAGE(OFFSET($H$3,0,0,'Données projet'!$E$16+1,1))</f>
        <v>199.58763537752952</v>
      </c>
      <c r="FK140" s="59">
        <f t="shared" si="156"/>
        <v>242.62852778451929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0.5293104406863377</v>
      </c>
      <c r="FS140" s="21">
        <f>EXP(-LN(2)/2)*FS139+(1-EXP(-LN(2)/2))/(LN(2)/2)*FM140*FP140*VLOOKUP('Données projet'!$B$16,Paramètres!$A$1:$I$89,3,0)*0.475*44/12</f>
        <v>8.4483208384400755E-16</v>
      </c>
      <c r="FT140" s="22">
        <f t="shared" si="132"/>
        <v>0.52931044068633859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5.6843418860808015E-14</v>
      </c>
      <c r="GA140" s="17">
        <f>FZ140*VLOOKUP('Données projet'!$B$17,Paramètres!$A$1:$I$89,3,0)*VLOOKUP('Données projet'!$B$17,Paramètres!$A$1:$I$89,5,0)</f>
        <v>4.1677594708744434E-14</v>
      </c>
      <c r="GB140" s="13">
        <f t="shared" si="157"/>
        <v>6.9326303456159188E-13</v>
      </c>
      <c r="GC140" s="20">
        <f t="shared" si="133"/>
        <v>1.2800215959791691E-12</v>
      </c>
      <c r="GD140" s="59">
        <f t="shared" si="134"/>
        <v>293.33333333333462</v>
      </c>
      <c r="GE140" s="59">
        <f ca="1">AVERAGE(OFFSET($GD$3,0,0,'Données projet'!$E$17+1,1))-AVERAGE(OFFSET($H$3,0,0,'Données projet'!$E$17+1,1))</f>
        <v>178.12968684094687</v>
      </c>
      <c r="GF140" s="59">
        <f t="shared" si="158"/>
        <v>219.36004077210373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0.39575893474920015</v>
      </c>
      <c r="GN140" s="21">
        <f>EXP(-LN(2)/2)*GN139+(1-EXP(-LN(2)/2))/(LN(2)/2)*GH140*GK140*VLOOKUP('Données projet'!$B$17,Paramètres!$A$1:$I$89,3,0)*0.475*44/12</f>
        <v>7.7857074393467294E-16</v>
      </c>
      <c r="GO140" s="21">
        <f t="shared" si="135"/>
        <v>0.39575893474920093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5.6843418860808015E-14</v>
      </c>
      <c r="GV140" s="17">
        <f>GU140*VLOOKUP('Données projet'!$B$18,Paramètres!$A$1:$I$89,3,0)*VLOOKUP('Données projet'!$B$18,Paramètres!$A$1:$I$89,5,0)</f>
        <v>4.5224624045658861E-14</v>
      </c>
      <c r="GW140" s="13">
        <f t="shared" si="159"/>
        <v>7.4514601661523691E-13</v>
      </c>
      <c r="GX140" s="20">
        <f t="shared" si="136"/>
        <v>1.3765621991510601E-12</v>
      </c>
      <c r="GY140" s="59">
        <f t="shared" si="137"/>
        <v>293.33333333333468</v>
      </c>
      <c r="GZ140" s="59">
        <f ca="1">AVERAGE(OFFSET($GY$3,0,0,'Données projet'!$E$18+1,1))-AVERAGE(OFFSET($H$3,0,0,'Données projet'!$E$18+1,1))</f>
        <v>199.58763537752952</v>
      </c>
      <c r="HA140" s="59">
        <f t="shared" si="160"/>
        <v>242.62852778451929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0</v>
      </c>
      <c r="HH140" s="21">
        <f>EXP(-LN(2)/25)*HH139+(1-EXP(-LN(2)/25))/(LN(2)/25)*Calculateur!HC140*Calculateur!HE140*VLOOKUP('Données projet'!$B$18,Paramètres!$A$1:$I$89,3,0)*0.475*44/12</f>
        <v>0.5293104406863377</v>
      </c>
      <c r="HI140" s="21">
        <f>EXP(-LN(2)/2)*HI139+(1-EXP(-LN(2)/2))/(LN(2)/2)*HC140*HF140*VLOOKUP('Données projet'!$B$18,Paramètres!$A$1:$I$89,3,0)*0.475*44/12</f>
        <v>8.4483208384400755E-16</v>
      </c>
      <c r="HJ140" s="22">
        <f t="shared" si="138"/>
        <v>0.52931044068633859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7.2230769230769223</v>
      </c>
      <c r="N141" s="13">
        <f>IF('Données projet'!$A$36&gt;35,N140+M141-V140,IF(A141&lt;'Données projet'!$A$36,$K$205^A141,IF(A141='Données projet'!$A$36,'Données projet'!$B$36,N140+M141-V140)))</f>
        <v>417.26538461538399</v>
      </c>
      <c r="O141" s="13">
        <f>N141*VLOOKUP('Données projet'!$B$9,Paramètres!$A$1:$I$89,3,0)*VLOOKUP('Données projet'!$B$9,Paramètres!$A$1:$I$89,5,0)</f>
        <v>377.54171999999943</v>
      </c>
      <c r="P141" s="13">
        <f t="shared" si="141"/>
        <v>87.208395201480016</v>
      </c>
      <c r="Q141" s="20">
        <f t="shared" si="108"/>
        <v>809.43978397591002</v>
      </c>
      <c r="R141" s="59">
        <f t="shared" si="109"/>
        <v>1102.7731173092434</v>
      </c>
      <c r="S141" s="59">
        <f ca="1">AVERAGE(OFFSET($R$3,0,0,'Données projet'!$E$9+1,1))-AVERAGE(OFFSET($H$3,0,0,'Données projet'!$E$9+1,1))</f>
        <v>309.07357540707869</v>
      </c>
      <c r="T141" s="59">
        <f t="shared" si="142"/>
        <v>155.9593924683299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6.1378205128205137</v>
      </c>
      <c r="AI141" s="13">
        <f>IF('Données projet'!$A$62&gt;35,AI140+AH141-AQ140,IF(A141&lt;'Données projet'!$A$62,$AF$205^A141,IF(A141='Données projet'!$A$62,'Données projet'!$B$62,AI140+AH141-AQ140)))</f>
        <v>314.73717948717893</v>
      </c>
      <c r="AJ141" s="13">
        <f>AI141*VLOOKUP('Données projet'!$B$10,Paramètres!$A$1:$I$89,3,0)*VLOOKUP('Données projet'!$B$10,Paramètres!$A$1:$I$89,5,0)</f>
        <v>284.7741999999995</v>
      </c>
      <c r="AK141" s="13">
        <f t="shared" si="143"/>
        <v>67.974939670209011</v>
      </c>
      <c r="AL141" s="20">
        <f t="shared" si="112"/>
        <v>614.37141825894639</v>
      </c>
      <c r="AM141" s="59">
        <f t="shared" si="113"/>
        <v>907.70475159227976</v>
      </c>
      <c r="AN141" s="59">
        <f ca="1">AVERAGE(OFFSET($AM$3,0,0,'Données projet'!$E$10+1,1))-AVERAGE(OFFSET($H$3,0,0,'Données projet'!$E$10+1,1))</f>
        <v>234.30804102916278</v>
      </c>
      <c r="AO141" s="59">
        <f t="shared" si="144"/>
        <v>91.137993288782411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3.4106051316484809E-13</v>
      </c>
      <c r="BE141" s="13">
        <f>BD141*VLOOKUP('Données projet'!$B$11,Paramètres!$A$1:$I$89,3,0)*VLOOKUP('Données projet'!$B$11,Paramètres!$A$1:$I$89,5,0)</f>
        <v>1.5961632016114892E-13</v>
      </c>
      <c r="BF141" s="13">
        <f t="shared" si="145"/>
        <v>2.2708641912150958E-12</v>
      </c>
      <c r="BG141" s="20">
        <f t="shared" si="115"/>
        <v>4.2330868906469593E-12</v>
      </c>
      <c r="BH141" s="59">
        <f t="shared" si="116"/>
        <v>293.33333333333752</v>
      </c>
      <c r="BI141" s="59">
        <f ca="1">AVERAGE(OFFSET($BH$3,0,0,'Données projet'!$E$11+1,1))-AVERAGE(OFFSET($H$3,0,0,'Données projet'!$E$11+1,1))</f>
        <v>158.58786357608489</v>
      </c>
      <c r="BJ141" s="59">
        <f t="shared" si="146"/>
        <v>163.20074068819849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5.6843418860808015E-13</v>
      </c>
      <c r="BZ141" s="13">
        <f>BY141*VLOOKUP('Données projet'!$B$12,Paramètres!$A$1:$I$89,3,0)*VLOOKUP('Données projet'!$B$12,Paramètres!$A$1:$I$89,5,0)</f>
        <v>2.6602720026858149E-13</v>
      </c>
      <c r="CA141" s="13">
        <f t="shared" si="147"/>
        <v>3.5662905043956649E-12</v>
      </c>
      <c r="CB141" s="20">
        <f t="shared" si="118"/>
        <v>6.6746200022902298E-12</v>
      </c>
      <c r="CC141" s="59">
        <f t="shared" si="119"/>
        <v>293.33333333333997</v>
      </c>
      <c r="CD141" s="59">
        <f ca="1">AVERAGE(OFFSET($CC$3,0,0,'Données projet'!$E$12+1,1))-AVERAGE(OFFSET($H$3,0,0,'Données projet'!$E$12+1,1))</f>
        <v>123.2823358462245</v>
      </c>
      <c r="CE141" s="59">
        <f t="shared" si="148"/>
        <v>92.75115399786057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-2.8421709430404007E-13</v>
      </c>
      <c r="CU141" s="17">
        <f>CT141*VLOOKUP('Données projet'!$B$13,Paramètres!$A$1:$I$89,3,0)*VLOOKUP('Données projet'!$B$13,Paramètres!$A$1:$I$89,5,0)</f>
        <v>-1.69961822393816E-13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179.32848817523677</v>
      </c>
      <c r="CZ141" s="59">
        <f t="shared" si="150"/>
        <v>131.3292389103035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0.65988524131811921</v>
      </c>
      <c r="DH141" s="21">
        <f>EXP(-LN(2)/2)*DH140+(1-EXP(-LN(2)/2))/(LN(2)/2)*DB141*DE141*VLOOKUP('Données projet'!$B$13,Paramètres!$A$1:$I$89,3,0)*0.475*44/12</f>
        <v>2.9214793791062735E-16</v>
      </c>
      <c r="DI141" s="22">
        <f t="shared" si="123"/>
        <v>0.65988524131811954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7.2230769230769223</v>
      </c>
      <c r="DO141" s="12">
        <f>IF('Données projet'!$A$166&gt;35,DO140+DN141-DW140,IF(A141&lt;'Données projet'!$A$166,$DL$205^A141,IF(A141='Données projet'!$A$166,'Données projet'!$B$166,DO140+DN141-DW140)))</f>
        <v>417.26538461538399</v>
      </c>
      <c r="DP141" s="17">
        <f>DO141*VLOOKUP('Données projet'!$B$14,Paramètres!$A$1:$I$89,3,0)*VLOOKUP('Données projet'!$B$14,Paramètres!$A$1:$I$89,5,0)</f>
        <v>403.57907999999935</v>
      </c>
      <c r="DQ141" s="13">
        <f t="shared" si="151"/>
        <v>92.501892154559158</v>
      </c>
      <c r="DR141" s="20">
        <f t="shared" si="124"/>
        <v>864.00769316918922</v>
      </c>
      <c r="DS141" s="59">
        <f t="shared" si="125"/>
        <v>1157.3410265025225</v>
      </c>
      <c r="DT141" s="59">
        <f ca="1">AVERAGE(OFFSET($DS$3,0,0,'Données projet'!$E$14+1,1))-AVERAGE(OFFSET($H$3,0,0,'Données projet'!$E$14+1,1))</f>
        <v>340.4659523898373</v>
      </c>
      <c r="DU141" s="59">
        <f t="shared" si="152"/>
        <v>170.54530785680572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6.1378205128205137</v>
      </c>
      <c r="EJ141" s="12">
        <f>IF('Données projet'!$A$192&gt;35,EJ140+EI141-ER140,IF(A141&lt;'Données projet'!$A$192,$EG$205^A141,IF(A141='Données projet'!$A$192,'Données projet'!$B$192,EJ140+EI141-ER140)))</f>
        <v>314.73717948717893</v>
      </c>
      <c r="EK141" s="17">
        <f>EJ141*VLOOKUP('Données projet'!$B$15,Paramètres!$A$1:$I$89,3,0)*VLOOKUP('Données projet'!$B$15,Paramètres!$A$1:$I$89,5,0)</f>
        <v>304.41379999999947</v>
      </c>
      <c r="EL141" s="13">
        <f t="shared" si="153"/>
        <v>72.100977481117866</v>
      </c>
      <c r="EM141" s="20">
        <f t="shared" si="127"/>
        <v>655.76323744627928</v>
      </c>
      <c r="EN141" s="59">
        <f t="shared" si="128"/>
        <v>949.09657077961265</v>
      </c>
      <c r="EO141" s="59">
        <f ca="1">AVERAGE(OFFSET($EN$3,0,0,'Données projet'!$E$15+1,1))-AVERAGE(OFFSET($H$3,0,0,'Données projet'!$E$15+1,1))</f>
        <v>262.20955982183017</v>
      </c>
      <c r="EP141" s="59">
        <f t="shared" si="154"/>
        <v>101.35842063036193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5.6843418860808015E-14</v>
      </c>
      <c r="FF141" s="17">
        <f>FE141*VLOOKUP('Données projet'!$B$16,Paramètres!$A$1:$I$89,3,0)*VLOOKUP('Données projet'!$B$16,Paramètres!$A$1:$I$89,5,0)</f>
        <v>4.5224624045658861E-14</v>
      </c>
      <c r="FG141" s="13">
        <f t="shared" si="155"/>
        <v>7.4514601661523691E-13</v>
      </c>
      <c r="FH141" s="20">
        <f t="shared" si="130"/>
        <v>1.3765621991510601E-12</v>
      </c>
      <c r="FI141" s="59">
        <f t="shared" si="131"/>
        <v>293.33333333333468</v>
      </c>
      <c r="FJ141" s="59">
        <f ca="1">AVERAGE(OFFSET($FI$3,0,0,'Données projet'!$E$16+1,1))-AVERAGE(OFFSET($H$3,0,0,'Données projet'!$E$16+1,1))</f>
        <v>199.58763537752952</v>
      </c>
      <c r="FK141" s="59">
        <f t="shared" si="156"/>
        <v>242.62852778451929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0.51483641885054343</v>
      </c>
      <c r="FS141" s="21">
        <f>EXP(-LN(2)/2)*FS140+(1-EXP(-LN(2)/2))/(LN(2)/2)*FM141*FP141*VLOOKUP('Données projet'!$B$16,Paramètres!$A$1:$I$89,3,0)*0.475*44/12</f>
        <v>5.9738649545005961E-16</v>
      </c>
      <c r="FT141" s="22">
        <f t="shared" si="132"/>
        <v>0.51483641885054399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5.6843418860808015E-14</v>
      </c>
      <c r="GA141" s="17">
        <f>FZ141*VLOOKUP('Données projet'!$B$17,Paramètres!$A$1:$I$89,3,0)*VLOOKUP('Données projet'!$B$17,Paramètres!$A$1:$I$89,5,0)</f>
        <v>4.1677594708744434E-14</v>
      </c>
      <c r="GB141" s="13">
        <f t="shared" si="157"/>
        <v>6.9326303456159188E-13</v>
      </c>
      <c r="GC141" s="20">
        <f t="shared" si="133"/>
        <v>1.2800215959791691E-12</v>
      </c>
      <c r="GD141" s="59">
        <f t="shared" si="134"/>
        <v>293.33333333333462</v>
      </c>
      <c r="GE141" s="59">
        <f ca="1">AVERAGE(OFFSET($GD$3,0,0,'Données projet'!$E$17+1,1))-AVERAGE(OFFSET($H$3,0,0,'Données projet'!$E$17+1,1))</f>
        <v>178.12968684094687</v>
      </c>
      <c r="GF141" s="59">
        <f t="shared" si="158"/>
        <v>219.36004077210373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0.38493688586642544</v>
      </c>
      <c r="GN141" s="21">
        <f>EXP(-LN(2)/2)*GN140+(1-EXP(-LN(2)/2))/(LN(2)/2)*GH141*GK141*VLOOKUP('Données projet'!$B$17,Paramètres!$A$1:$I$89,3,0)*0.475*44/12</f>
        <v>5.505326526696623E-16</v>
      </c>
      <c r="GO141" s="21">
        <f t="shared" si="135"/>
        <v>0.38493688586642599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5.6843418860808015E-14</v>
      </c>
      <c r="GV141" s="17">
        <f>GU141*VLOOKUP('Données projet'!$B$18,Paramètres!$A$1:$I$89,3,0)*VLOOKUP('Données projet'!$B$18,Paramètres!$A$1:$I$89,5,0)</f>
        <v>4.5224624045658861E-14</v>
      </c>
      <c r="GW141" s="13">
        <f t="shared" si="159"/>
        <v>7.4514601661523691E-13</v>
      </c>
      <c r="GX141" s="20">
        <f t="shared" si="136"/>
        <v>1.3765621991510601E-12</v>
      </c>
      <c r="GY141" s="59">
        <f t="shared" si="137"/>
        <v>293.33333333333468</v>
      </c>
      <c r="GZ141" s="59">
        <f ca="1">AVERAGE(OFFSET($GY$3,0,0,'Données projet'!$E$18+1,1))-AVERAGE(OFFSET($H$3,0,0,'Données projet'!$E$18+1,1))</f>
        <v>199.58763537752952</v>
      </c>
      <c r="HA141" s="59">
        <f t="shared" si="160"/>
        <v>242.62852778451929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0</v>
      </c>
      <c r="HH141" s="21">
        <f>EXP(-LN(2)/25)*HH140+(1-EXP(-LN(2)/25))/(LN(2)/25)*Calculateur!HC141*Calculateur!HE141*VLOOKUP('Données projet'!$B$18,Paramètres!$A$1:$I$89,3,0)*0.475*44/12</f>
        <v>0.51483641885054343</v>
      </c>
      <c r="HI141" s="21">
        <f>EXP(-LN(2)/2)*HI140+(1-EXP(-LN(2)/2))/(LN(2)/2)*HC141*HF141*VLOOKUP('Données projet'!$B$18,Paramètres!$A$1:$I$89,3,0)*0.475*44/12</f>
        <v>5.9738649545005961E-16</v>
      </c>
      <c r="HJ141" s="22">
        <f t="shared" si="138"/>
        <v>0.51483641885054399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7.2230769230769223</v>
      </c>
      <c r="N142" s="13">
        <f>IF('Données projet'!$A$36&gt;35,N141+M142-V141,IF(A142&lt;'Données projet'!$A$36,$K$205^A142,IF(A142='Données projet'!$A$36,'Données projet'!$B$36,N141+M142-V141)))</f>
        <v>424.48846153846091</v>
      </c>
      <c r="O142" s="13">
        <f>N142*VLOOKUP('Données projet'!$B$9,Paramètres!$A$1:$I$89,3,0)*VLOOKUP('Données projet'!$B$9,Paramètres!$A$1:$I$89,5,0)</f>
        <v>384.07715999999942</v>
      </c>
      <c r="P142" s="13">
        <f t="shared" si="141"/>
        <v>88.540961788845209</v>
      </c>
      <c r="Q142" s="20">
        <f t="shared" si="108"/>
        <v>823.14322878223766</v>
      </c>
      <c r="R142" s="59">
        <f t="shared" si="109"/>
        <v>1116.4765621155709</v>
      </c>
      <c r="S142" s="59">
        <f ca="1">AVERAGE(OFFSET($R$3,0,0,'Données projet'!$E$9+1,1))-AVERAGE(OFFSET($H$3,0,0,'Données projet'!$E$9+1,1))</f>
        <v>309.07357540707869</v>
      </c>
      <c r="T142" s="59">
        <f t="shared" si="142"/>
        <v>155.9593924683299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6.1378205128205137</v>
      </c>
      <c r="AI142" s="13">
        <f>IF('Données projet'!$A$62&gt;35,AI141+AH142-AQ141,IF(A142&lt;'Données projet'!$A$62,$AF$205^A142,IF(A142='Données projet'!$A$62,'Données projet'!$B$62,AI141+AH142-AQ141)))</f>
        <v>320.87499999999943</v>
      </c>
      <c r="AJ142" s="13">
        <f>AI142*VLOOKUP('Données projet'!$B$10,Paramètres!$A$1:$I$89,3,0)*VLOOKUP('Données projet'!$B$10,Paramètres!$A$1:$I$89,5,0)</f>
        <v>290.32769999999948</v>
      </c>
      <c r="AK142" s="13">
        <f t="shared" si="143"/>
        <v>69.144926631604577</v>
      </c>
      <c r="AL142" s="20">
        <f t="shared" si="112"/>
        <v>626.08149138337694</v>
      </c>
      <c r="AM142" s="59">
        <f t="shared" si="113"/>
        <v>919.4148247167102</v>
      </c>
      <c r="AN142" s="59">
        <f ca="1">AVERAGE(OFFSET($AM$3,0,0,'Données projet'!$E$10+1,1))-AVERAGE(OFFSET($H$3,0,0,'Données projet'!$E$10+1,1))</f>
        <v>234.30804102916278</v>
      </c>
      <c r="AO142" s="59">
        <f t="shared" si="144"/>
        <v>91.137993288782411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3.4106051316484809E-13</v>
      </c>
      <c r="BE142" s="13">
        <f>BD142*VLOOKUP('Données projet'!$B$11,Paramètres!$A$1:$I$89,3,0)*VLOOKUP('Données projet'!$B$11,Paramètres!$A$1:$I$89,5,0)</f>
        <v>1.5961632016114892E-13</v>
      </c>
      <c r="BF142" s="13">
        <f t="shared" si="145"/>
        <v>2.2708641912150958E-12</v>
      </c>
      <c r="BG142" s="20">
        <f t="shared" si="115"/>
        <v>4.2330868906469593E-12</v>
      </c>
      <c r="BH142" s="59">
        <f t="shared" si="116"/>
        <v>293.33333333333752</v>
      </c>
      <c r="BI142" s="59">
        <f ca="1">AVERAGE(OFFSET($BH$3,0,0,'Données projet'!$E$11+1,1))-AVERAGE(OFFSET($H$3,0,0,'Données projet'!$E$11+1,1))</f>
        <v>158.58786357608489</v>
      </c>
      <c r="BJ142" s="59">
        <f t="shared" si="146"/>
        <v>163.20074068819849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5.6843418860808015E-13</v>
      </c>
      <c r="BZ142" s="13">
        <f>BY142*VLOOKUP('Données projet'!$B$12,Paramètres!$A$1:$I$89,3,0)*VLOOKUP('Données projet'!$B$12,Paramètres!$A$1:$I$89,5,0)</f>
        <v>2.6602720026858149E-13</v>
      </c>
      <c r="CA142" s="13">
        <f t="shared" si="147"/>
        <v>3.5662905043956649E-12</v>
      </c>
      <c r="CB142" s="20">
        <f t="shared" si="118"/>
        <v>6.6746200022902298E-12</v>
      </c>
      <c r="CC142" s="59">
        <f t="shared" si="119"/>
        <v>293.33333333333997</v>
      </c>
      <c r="CD142" s="59">
        <f ca="1">AVERAGE(OFFSET($CC$3,0,0,'Données projet'!$E$12+1,1))-AVERAGE(OFFSET($H$3,0,0,'Données projet'!$E$12+1,1))</f>
        <v>123.2823358462245</v>
      </c>
      <c r="CE142" s="59">
        <f t="shared" si="148"/>
        <v>92.75115399786057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-2.8421709430404007E-13</v>
      </c>
      <c r="CU142" s="17">
        <f>CT142*VLOOKUP('Données projet'!$B$13,Paramètres!$A$1:$I$89,3,0)*VLOOKUP('Données projet'!$B$13,Paramètres!$A$1:$I$89,5,0)</f>
        <v>-1.69961822393816E-13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179.32848817523677</v>
      </c>
      <c r="CZ142" s="59">
        <f t="shared" si="150"/>
        <v>131.3292389103035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0.64184064469241864</v>
      </c>
      <c r="DH142" s="21">
        <f>EXP(-LN(2)/2)*DH141+(1-EXP(-LN(2)/2))/(LN(2)/2)*DB142*DE142*VLOOKUP('Données projet'!$B$13,Paramètres!$A$1:$I$89,3,0)*0.475*44/12</f>
        <v>2.0657978800627104E-16</v>
      </c>
      <c r="DI142" s="22">
        <f t="shared" si="123"/>
        <v>0.64184064469241886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7.2230769230769223</v>
      </c>
      <c r="DO142" s="12">
        <f>IF('Données projet'!$A$166&gt;35,DO141+DN142-DW141,IF(A142&lt;'Données projet'!$A$166,$DL$205^A142,IF(A142='Données projet'!$A$166,'Données projet'!$B$166,DO141+DN142-DW141)))</f>
        <v>424.48846153846091</v>
      </c>
      <c r="DP142" s="17">
        <f>DO142*VLOOKUP('Données projet'!$B$14,Paramètres!$A$1:$I$89,3,0)*VLOOKUP('Données projet'!$B$14,Paramètres!$A$1:$I$89,5,0)</f>
        <v>410.56523999999945</v>
      </c>
      <c r="DQ142" s="13">
        <f t="shared" si="151"/>
        <v>93.915344729491125</v>
      </c>
      <c r="DR142" s="20">
        <f t="shared" si="124"/>
        <v>878.63701840386273</v>
      </c>
      <c r="DS142" s="59">
        <f t="shared" si="125"/>
        <v>1171.9703517371961</v>
      </c>
      <c r="DT142" s="59">
        <f ca="1">AVERAGE(OFFSET($DS$3,0,0,'Données projet'!$E$14+1,1))-AVERAGE(OFFSET($H$3,0,0,'Données projet'!$E$14+1,1))</f>
        <v>340.4659523898373</v>
      </c>
      <c r="DU142" s="59">
        <f t="shared" si="152"/>
        <v>170.54530785680572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6.1378205128205137</v>
      </c>
      <c r="EJ142" s="12">
        <f>IF('Données projet'!$A$192&gt;35,EJ141+EI142-ER141,IF(A142&lt;'Données projet'!$A$192,$EG$205^A142,IF(A142='Données projet'!$A$192,'Données projet'!$B$192,EJ141+EI142-ER141)))</f>
        <v>320.87499999999943</v>
      </c>
      <c r="EK142" s="17">
        <f>EJ142*VLOOKUP('Données projet'!$B$15,Paramètres!$A$1:$I$89,3,0)*VLOOKUP('Données projet'!$B$15,Paramètres!$A$1:$I$89,5,0)</f>
        <v>310.35029999999949</v>
      </c>
      <c r="EL142" s="13">
        <f t="shared" si="153"/>
        <v>73.341981944910771</v>
      </c>
      <c r="EM142" s="20">
        <f t="shared" si="127"/>
        <v>668.26405772071882</v>
      </c>
      <c r="EN142" s="59">
        <f t="shared" si="128"/>
        <v>961.5973910540522</v>
      </c>
      <c r="EO142" s="59">
        <f ca="1">AVERAGE(OFFSET($EN$3,0,0,'Données projet'!$E$15+1,1))-AVERAGE(OFFSET($H$3,0,0,'Données projet'!$E$15+1,1))</f>
        <v>262.20955982183017</v>
      </c>
      <c r="EP142" s="59">
        <f t="shared" si="154"/>
        <v>101.35842063036193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5.6843418860808015E-14</v>
      </c>
      <c r="FF142" s="17">
        <f>FE142*VLOOKUP('Données projet'!$B$16,Paramètres!$A$1:$I$89,3,0)*VLOOKUP('Données projet'!$B$16,Paramètres!$A$1:$I$89,5,0)</f>
        <v>4.5224624045658861E-14</v>
      </c>
      <c r="FG142" s="13">
        <f t="shared" si="155"/>
        <v>7.4514601661523691E-13</v>
      </c>
      <c r="FH142" s="20">
        <f t="shared" si="130"/>
        <v>1.3765621991510601E-12</v>
      </c>
      <c r="FI142" s="59">
        <f t="shared" si="131"/>
        <v>293.33333333333468</v>
      </c>
      <c r="FJ142" s="59">
        <f ca="1">AVERAGE(OFFSET($FI$3,0,0,'Données projet'!$E$16+1,1))-AVERAGE(OFFSET($H$3,0,0,'Données projet'!$E$16+1,1))</f>
        <v>199.58763537752952</v>
      </c>
      <c r="FK142" s="59">
        <f t="shared" si="156"/>
        <v>242.62852778451929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0.50075818990300469</v>
      </c>
      <c r="FS142" s="21">
        <f>EXP(-LN(2)/2)*FS141+(1-EXP(-LN(2)/2))/(LN(2)/2)*FM142*FP142*VLOOKUP('Données projet'!$B$16,Paramètres!$A$1:$I$89,3,0)*0.475*44/12</f>
        <v>4.2241604192200378E-16</v>
      </c>
      <c r="FT142" s="22">
        <f t="shared" si="132"/>
        <v>0.50075818990300514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5.6843418860808015E-14</v>
      </c>
      <c r="GA142" s="17">
        <f>FZ142*VLOOKUP('Données projet'!$B$17,Paramètres!$A$1:$I$89,3,0)*VLOOKUP('Données projet'!$B$17,Paramètres!$A$1:$I$89,5,0)</f>
        <v>4.1677594708744434E-14</v>
      </c>
      <c r="GB142" s="13">
        <f t="shared" si="157"/>
        <v>6.9326303456159188E-13</v>
      </c>
      <c r="GC142" s="20">
        <f t="shared" si="133"/>
        <v>1.2800215959791691E-12</v>
      </c>
      <c r="GD142" s="59">
        <f t="shared" si="134"/>
        <v>293.33333333333462</v>
      </c>
      <c r="GE142" s="59">
        <f ca="1">AVERAGE(OFFSET($GD$3,0,0,'Données projet'!$E$17+1,1))-AVERAGE(OFFSET($H$3,0,0,'Données projet'!$E$17+1,1))</f>
        <v>178.12968684094687</v>
      </c>
      <c r="GF142" s="59">
        <f t="shared" si="158"/>
        <v>219.36004077210373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0.37441076647945698</v>
      </c>
      <c r="GN142" s="21">
        <f>EXP(-LN(2)/2)*GN141+(1-EXP(-LN(2)/2))/(LN(2)/2)*GH142*GK142*VLOOKUP('Données projet'!$B$17,Paramètres!$A$1:$I$89,3,0)*0.475*44/12</f>
        <v>3.8928537196733647E-16</v>
      </c>
      <c r="GO142" s="21">
        <f t="shared" si="135"/>
        <v>0.37441076647945737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5.6843418860808015E-14</v>
      </c>
      <c r="GV142" s="17">
        <f>GU142*VLOOKUP('Données projet'!$B$18,Paramètres!$A$1:$I$89,3,0)*VLOOKUP('Données projet'!$B$18,Paramètres!$A$1:$I$89,5,0)</f>
        <v>4.5224624045658861E-14</v>
      </c>
      <c r="GW142" s="13">
        <f t="shared" si="159"/>
        <v>7.4514601661523691E-13</v>
      </c>
      <c r="GX142" s="20">
        <f t="shared" si="136"/>
        <v>1.3765621991510601E-12</v>
      </c>
      <c r="GY142" s="59">
        <f t="shared" si="137"/>
        <v>293.33333333333468</v>
      </c>
      <c r="GZ142" s="59">
        <f ca="1">AVERAGE(OFFSET($GY$3,0,0,'Données projet'!$E$18+1,1))-AVERAGE(OFFSET($H$3,0,0,'Données projet'!$E$18+1,1))</f>
        <v>199.58763537752952</v>
      </c>
      <c r="HA142" s="59">
        <f t="shared" si="160"/>
        <v>242.62852778451929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0</v>
      </c>
      <c r="HH142" s="21">
        <f>EXP(-LN(2)/25)*HH141+(1-EXP(-LN(2)/25))/(LN(2)/25)*Calculateur!HC142*Calculateur!HE142*VLOOKUP('Données projet'!$B$18,Paramètres!$A$1:$I$89,3,0)*0.475*44/12</f>
        <v>0.50075818990300469</v>
      </c>
      <c r="HI142" s="21">
        <f>EXP(-LN(2)/2)*HI141+(1-EXP(-LN(2)/2))/(LN(2)/2)*HC142*HF142*VLOOKUP('Données projet'!$B$18,Paramètres!$A$1:$I$89,3,0)*0.475*44/12</f>
        <v>4.2241604192200378E-16</v>
      </c>
      <c r="HJ142" s="22">
        <f t="shared" si="138"/>
        <v>0.50075818990300514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431.71153846153845</v>
      </c>
      <c r="L143" s="12">
        <f>VLOOKUP(A143,'Données projet'!$A$35:$I$55,9,0)</f>
        <v>7.2230769230769223</v>
      </c>
      <c r="M143" s="12">
        <f t="array" ref="M143">INDEX(L:L,MIN(IF(ISNUMBER(L143:L339),ROW(L143:L339),"")))</f>
        <v>7.2230769230769223</v>
      </c>
      <c r="N143" s="13">
        <f>IF('Données projet'!$A$36&gt;35,N142+M143-V142,IF(A143&lt;'Données projet'!$A$36,$K$205^A143,IF(A143='Données projet'!$A$36,'Données projet'!$B$36,N142+M143-V142)))</f>
        <v>431.71153846153783</v>
      </c>
      <c r="O143" s="13">
        <f>N143*VLOOKUP('Données projet'!$B$9,Paramètres!$A$1:$I$89,3,0)*VLOOKUP('Données projet'!$B$9,Paramètres!$A$1:$I$89,5,0)</f>
        <v>390.61259999999942</v>
      </c>
      <c r="P143" s="13">
        <f t="shared" si="141"/>
        <v>89.870891496098764</v>
      </c>
      <c r="Q143" s="20">
        <f t="shared" si="108"/>
        <v>836.84208102237096</v>
      </c>
      <c r="R143" s="59">
        <f t="shared" si="109"/>
        <v>1130.1754143557043</v>
      </c>
      <c r="S143" s="59">
        <f ca="1">AVERAGE(OFFSET($R$3,0,0,'Données projet'!$E$9+1,1))-AVERAGE(OFFSET($H$3,0,0,'Données projet'!$E$9+1,1))</f>
        <v>309.07357540707869</v>
      </c>
      <c r="T143" s="59">
        <f t="shared" si="142"/>
        <v>155.9593924683299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50.467948717948715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6.1378205128205137</v>
      </c>
      <c r="AI143" s="13">
        <f>IF('Données projet'!$A$62&gt;35,AI142+AH143-AQ142,IF(A143&lt;'Données projet'!$A$62,$AF$205^A143,IF(A143='Données projet'!$A$62,'Données projet'!$B$62,AI142+AH143-AQ142)))</f>
        <v>327.01282051281993</v>
      </c>
      <c r="AJ143" s="13">
        <f>AI143*VLOOKUP('Données projet'!$B$10,Paramètres!$A$1:$I$89,3,0)*VLOOKUP('Données projet'!$B$10,Paramètres!$A$1:$I$89,5,0)</f>
        <v>295.88119999999947</v>
      </c>
      <c r="AK143" s="13">
        <f t="shared" si="143"/>
        <v>70.31231129573932</v>
      </c>
      <c r="AL143" s="20">
        <f t="shared" si="112"/>
        <v>637.78703217341172</v>
      </c>
      <c r="AM143" s="59">
        <f t="shared" si="113"/>
        <v>931.12036550674497</v>
      </c>
      <c r="AN143" s="59">
        <f ca="1">AVERAGE(OFFSET($AM$3,0,0,'Données projet'!$E$10+1,1))-AVERAGE(OFFSET($H$3,0,0,'Données projet'!$E$10+1,1))</f>
        <v>234.30804102916278</v>
      </c>
      <c r="AO143" s="59">
        <f t="shared" si="144"/>
        <v>91.137993288782411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3.4106051316484809E-13</v>
      </c>
      <c r="BE143" s="13">
        <f>BD143*VLOOKUP('Données projet'!$B$11,Paramètres!$A$1:$I$89,3,0)*VLOOKUP('Données projet'!$B$11,Paramètres!$A$1:$I$89,5,0)</f>
        <v>1.5961632016114892E-13</v>
      </c>
      <c r="BF143" s="13">
        <f t="shared" si="145"/>
        <v>2.2708641912150958E-12</v>
      </c>
      <c r="BG143" s="20">
        <f t="shared" si="115"/>
        <v>4.2330868906469593E-12</v>
      </c>
      <c r="BH143" s="59">
        <f t="shared" si="116"/>
        <v>293.33333333333752</v>
      </c>
      <c r="BI143" s="59">
        <f ca="1">AVERAGE(OFFSET($BH$3,0,0,'Données projet'!$E$11+1,1))-AVERAGE(OFFSET($H$3,0,0,'Données projet'!$E$11+1,1))</f>
        <v>158.58786357608489</v>
      </c>
      <c r="BJ143" s="59">
        <f t="shared" si="146"/>
        <v>163.20074068819849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5.6843418860808015E-13</v>
      </c>
      <c r="BZ143" s="13">
        <f>BY143*VLOOKUP('Données projet'!$B$12,Paramètres!$A$1:$I$89,3,0)*VLOOKUP('Données projet'!$B$12,Paramètres!$A$1:$I$89,5,0)</f>
        <v>2.6602720026858149E-13</v>
      </c>
      <c r="CA143" s="13">
        <f t="shared" si="147"/>
        <v>3.5662905043956649E-12</v>
      </c>
      <c r="CB143" s="20">
        <f t="shared" si="118"/>
        <v>6.6746200022902298E-12</v>
      </c>
      <c r="CC143" s="59">
        <f t="shared" si="119"/>
        <v>293.33333333333997</v>
      </c>
      <c r="CD143" s="59">
        <f ca="1">AVERAGE(OFFSET($CC$3,0,0,'Données projet'!$E$12+1,1))-AVERAGE(OFFSET($H$3,0,0,'Données projet'!$E$12+1,1))</f>
        <v>123.2823358462245</v>
      </c>
      <c r="CE143" s="59">
        <f t="shared" si="148"/>
        <v>92.75115399786057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-2.8421709430404007E-13</v>
      </c>
      <c r="CU143" s="17">
        <f>CT143*VLOOKUP('Données projet'!$B$13,Paramètres!$A$1:$I$89,3,0)*VLOOKUP('Données projet'!$B$13,Paramètres!$A$1:$I$89,5,0)</f>
        <v>-1.69961822393816E-13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179.32848817523677</v>
      </c>
      <c r="CZ143" s="59">
        <f t="shared" si="150"/>
        <v>131.3292389103035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0.62428947851037186</v>
      </c>
      <c r="DH143" s="21">
        <f>EXP(-LN(2)/2)*DH142+(1-EXP(-LN(2)/2))/(LN(2)/2)*DB143*DE143*VLOOKUP('Données projet'!$B$13,Paramètres!$A$1:$I$89,3,0)*0.475*44/12</f>
        <v>1.4607396895531367E-16</v>
      </c>
      <c r="DI143" s="22">
        <f t="shared" si="123"/>
        <v>0.62428947851037198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>
        <f>VLOOKUP(A143,'Données projet'!$A$165:$I$185,2,0)</f>
        <v>431.71153846153845</v>
      </c>
      <c r="DM143" s="12">
        <f>VLOOKUP(A143,'Données projet'!$A$165:$I$185,9,0)</f>
        <v>7.2230769230769223</v>
      </c>
      <c r="DN143" s="12">
        <f t="array" ref="DN143">INDEX(DM:DM,MIN(IF(ISNUMBER(DM143:DM339),ROW(DM143:DM339),"")))</f>
        <v>7.2230769230769223</v>
      </c>
      <c r="DO143" s="12">
        <f>IF('Données projet'!$A$166&gt;35,DO142+DN143-DW142,IF(A143&lt;'Données projet'!$A$166,$DL$205^A143,IF(A143='Données projet'!$A$166,'Données projet'!$B$166,DO142+DN143-DW142)))</f>
        <v>431.71153846153783</v>
      </c>
      <c r="DP143" s="17">
        <f>DO143*VLOOKUP('Données projet'!$B$14,Paramètres!$A$1:$I$89,3,0)*VLOOKUP('Données projet'!$B$14,Paramètres!$A$1:$I$89,5,0)</f>
        <v>417.55139999999943</v>
      </c>
      <c r="DQ143" s="13">
        <f t="shared" si="151"/>
        <v>95.326000367280358</v>
      </c>
      <c r="DR143" s="20">
        <f t="shared" si="124"/>
        <v>893.26147230634558</v>
      </c>
      <c r="DS143" s="59">
        <f t="shared" si="125"/>
        <v>1186.594805639679</v>
      </c>
      <c r="DT143" s="59">
        <f ca="1">AVERAGE(OFFSET($DS$3,0,0,'Données projet'!$E$14+1,1))-AVERAGE(OFFSET($H$3,0,0,'Données projet'!$E$14+1,1))</f>
        <v>340.4659523898373</v>
      </c>
      <c r="DU143" s="59">
        <f t="shared" si="152"/>
        <v>170.54530785680572</v>
      </c>
      <c r="DV143" s="15">
        <f>IF(ISNA(VLOOKUP(A143,'Données projet'!$A$165:$I$185,3,0)),0,VLOOKUP(A143,'Données projet'!$A$165:$I$185,3,0))</f>
        <v>13</v>
      </c>
      <c r="DW143" s="15">
        <f>IF(ISNA(VLOOKUP(A143,'Données projet'!$A$165:$I$185,4,0)),0,VLOOKUP(A143,'Données projet'!$A$165:$I$185,4,0))</f>
        <v>50.467948717948715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6.1378205128205137</v>
      </c>
      <c r="EJ143" s="12">
        <f>IF('Données projet'!$A$192&gt;35,EJ142+EI143-ER142,IF(A143&lt;'Données projet'!$A$192,$EG$205^A143,IF(A143='Données projet'!$A$192,'Données projet'!$B$192,EJ142+EI143-ER142)))</f>
        <v>327.01282051281993</v>
      </c>
      <c r="EK143" s="17">
        <f>EJ143*VLOOKUP('Données projet'!$B$15,Paramètres!$A$1:$I$89,3,0)*VLOOKUP('Données projet'!$B$15,Paramètres!$A$1:$I$89,5,0)</f>
        <v>316.28679999999946</v>
      </c>
      <c r="EL143" s="13">
        <f t="shared" si="153"/>
        <v>74.580226153569711</v>
      </c>
      <c r="EM143" s="20">
        <f t="shared" si="127"/>
        <v>680.7600705507997</v>
      </c>
      <c r="EN143" s="59">
        <f t="shared" si="128"/>
        <v>974.09340388413307</v>
      </c>
      <c r="EO143" s="59">
        <f ca="1">AVERAGE(OFFSET($EN$3,0,0,'Données projet'!$E$15+1,1))-AVERAGE(OFFSET($H$3,0,0,'Données projet'!$E$15+1,1))</f>
        <v>262.20955982183017</v>
      </c>
      <c r="EP143" s="59">
        <f t="shared" si="154"/>
        <v>101.35842063036193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5.6843418860808015E-14</v>
      </c>
      <c r="FF143" s="17">
        <f>FE143*VLOOKUP('Données projet'!$B$16,Paramètres!$A$1:$I$89,3,0)*VLOOKUP('Données projet'!$B$16,Paramètres!$A$1:$I$89,5,0)</f>
        <v>4.5224624045658861E-14</v>
      </c>
      <c r="FG143" s="13">
        <f t="shared" si="155"/>
        <v>7.4514601661523691E-13</v>
      </c>
      <c r="FH143" s="20">
        <f t="shared" si="130"/>
        <v>1.3765621991510601E-12</v>
      </c>
      <c r="FI143" s="59">
        <f t="shared" si="131"/>
        <v>293.33333333333468</v>
      </c>
      <c r="FJ143" s="59">
        <f ca="1">AVERAGE(OFFSET($FI$3,0,0,'Données projet'!$E$16+1,1))-AVERAGE(OFFSET($H$3,0,0,'Données projet'!$E$16+1,1))</f>
        <v>199.58763537752952</v>
      </c>
      <c r="FK143" s="59">
        <f t="shared" si="156"/>
        <v>242.62852778451929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0.48706493086637831</v>
      </c>
      <c r="FS143" s="21">
        <f>EXP(-LN(2)/2)*FS142+(1-EXP(-LN(2)/2))/(LN(2)/2)*FM143*FP143*VLOOKUP('Données projet'!$B$16,Paramètres!$A$1:$I$89,3,0)*0.475*44/12</f>
        <v>2.9869324772502981E-16</v>
      </c>
      <c r="FT143" s="22">
        <f t="shared" si="132"/>
        <v>0.48706493086637859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5.6843418860808015E-14</v>
      </c>
      <c r="GA143" s="17">
        <f>FZ143*VLOOKUP('Données projet'!$B$17,Paramètres!$A$1:$I$89,3,0)*VLOOKUP('Données projet'!$B$17,Paramètres!$A$1:$I$89,5,0)</f>
        <v>4.1677594708744434E-14</v>
      </c>
      <c r="GB143" s="13">
        <f t="shared" si="157"/>
        <v>6.9326303456159188E-13</v>
      </c>
      <c r="GC143" s="20">
        <f t="shared" si="133"/>
        <v>1.2800215959791691E-12</v>
      </c>
      <c r="GD143" s="59">
        <f t="shared" si="134"/>
        <v>293.33333333333462</v>
      </c>
      <c r="GE143" s="59">
        <f ca="1">AVERAGE(OFFSET($GD$3,0,0,'Données projet'!$E$17+1,1))-AVERAGE(OFFSET($H$3,0,0,'Données projet'!$E$17+1,1))</f>
        <v>178.12968684094687</v>
      </c>
      <c r="GF143" s="59">
        <f t="shared" si="158"/>
        <v>219.36004077210373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0.36417248438066974</v>
      </c>
      <c r="GN143" s="21">
        <f>EXP(-LN(2)/2)*GN142+(1-EXP(-LN(2)/2))/(LN(2)/2)*GH143*GK143*VLOOKUP('Données projet'!$B$17,Paramètres!$A$1:$I$89,3,0)*0.475*44/12</f>
        <v>2.7526632633483115E-16</v>
      </c>
      <c r="GO143" s="21">
        <f t="shared" si="135"/>
        <v>0.36417248438067001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5.6843418860808015E-14</v>
      </c>
      <c r="GV143" s="17">
        <f>GU143*VLOOKUP('Données projet'!$B$18,Paramètres!$A$1:$I$89,3,0)*VLOOKUP('Données projet'!$B$18,Paramètres!$A$1:$I$89,5,0)</f>
        <v>4.5224624045658861E-14</v>
      </c>
      <c r="GW143" s="13">
        <f t="shared" si="159"/>
        <v>7.4514601661523691E-13</v>
      </c>
      <c r="GX143" s="20">
        <f t="shared" si="136"/>
        <v>1.3765621991510601E-12</v>
      </c>
      <c r="GY143" s="59">
        <f t="shared" si="137"/>
        <v>293.33333333333468</v>
      </c>
      <c r="GZ143" s="59">
        <f ca="1">AVERAGE(OFFSET($GY$3,0,0,'Données projet'!$E$18+1,1))-AVERAGE(OFFSET($H$3,0,0,'Données projet'!$E$18+1,1))</f>
        <v>199.58763537752952</v>
      </c>
      <c r="HA143" s="59">
        <f t="shared" si="160"/>
        <v>242.62852778451929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0</v>
      </c>
      <c r="HH143" s="21">
        <f>EXP(-LN(2)/25)*HH142+(1-EXP(-LN(2)/25))/(LN(2)/25)*Calculateur!HC143*Calculateur!HE143*VLOOKUP('Données projet'!$B$18,Paramètres!$A$1:$I$89,3,0)*0.475*44/12</f>
        <v>0.48706493086637831</v>
      </c>
      <c r="HI143" s="21">
        <f>EXP(-LN(2)/2)*HI142+(1-EXP(-LN(2)/2))/(LN(2)/2)*HC143*HF143*VLOOKUP('Données projet'!$B$18,Paramètres!$A$1:$I$89,3,0)*0.475*44/12</f>
        <v>2.9869324772502981E-16</v>
      </c>
      <c r="HJ143" s="22">
        <f t="shared" si="138"/>
        <v>0.48706493086637859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7.2314102564102543</v>
      </c>
      <c r="N144" s="13">
        <f>IF('Données projet'!$A$36&gt;35,N143+M144-V143,IF(A144&lt;'Données projet'!$A$36,$K$205^A144,IF(A144='Données projet'!$A$36,'Données projet'!$B$36,N143+M144-V143)))</f>
        <v>388.47499999999934</v>
      </c>
      <c r="O144" s="13">
        <f>N144*VLOOKUP('Données projet'!$B$9,Paramètres!$A$1:$I$89,3,0)*VLOOKUP('Données projet'!$B$9,Paramètres!$A$1:$I$89,5,0)</f>
        <v>351.49217999999939</v>
      </c>
      <c r="P144" s="13">
        <f t="shared" si="141"/>
        <v>81.869690479070712</v>
      </c>
      <c r="Q144" s="20">
        <f t="shared" si="108"/>
        <v>754.77192441771376</v>
      </c>
      <c r="R144" s="59">
        <f t="shared" si="109"/>
        <v>1048.105257751047</v>
      </c>
      <c r="S144" s="59">
        <f ca="1">AVERAGE(OFFSET($R$3,0,0,'Données projet'!$E$9+1,1))-AVERAGE(OFFSET($H$3,0,0,'Données projet'!$E$9+1,1))</f>
        <v>309.07357540707869</v>
      </c>
      <c r="T144" s="59">
        <f t="shared" si="142"/>
        <v>155.9593924683299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6.1378205128205137</v>
      </c>
      <c r="AI144" s="13">
        <f>IF('Données projet'!$A$62&gt;35,AI143+AH144-AQ143,IF(A144&lt;'Données projet'!$A$62,$AF$205^A144,IF(A144='Données projet'!$A$62,'Données projet'!$B$62,AI143+AH144-AQ143)))</f>
        <v>333.15064102564043</v>
      </c>
      <c r="AJ144" s="13">
        <f>AI144*VLOOKUP('Données projet'!$B$10,Paramètres!$A$1:$I$89,3,0)*VLOOKUP('Données projet'!$B$10,Paramètres!$A$1:$I$89,5,0)</f>
        <v>301.43469999999945</v>
      </c>
      <c r="AK144" s="13">
        <f t="shared" si="143"/>
        <v>71.477148138366914</v>
      </c>
      <c r="AL144" s="20">
        <f t="shared" si="112"/>
        <v>649.48813550765476</v>
      </c>
      <c r="AM144" s="59">
        <f t="shared" si="113"/>
        <v>942.82146884098802</v>
      </c>
      <c r="AN144" s="59">
        <f ca="1">AVERAGE(OFFSET($AM$3,0,0,'Données projet'!$E$10+1,1))-AVERAGE(OFFSET($H$3,0,0,'Données projet'!$E$10+1,1))</f>
        <v>234.30804102916278</v>
      </c>
      <c r="AO144" s="59">
        <f t="shared" si="144"/>
        <v>91.137993288782411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3.4106051316484809E-13</v>
      </c>
      <c r="BE144" s="13">
        <f>BD144*VLOOKUP('Données projet'!$B$11,Paramètres!$A$1:$I$89,3,0)*VLOOKUP('Données projet'!$B$11,Paramètres!$A$1:$I$89,5,0)</f>
        <v>1.5961632016114892E-13</v>
      </c>
      <c r="BF144" s="13">
        <f t="shared" si="145"/>
        <v>2.2708641912150958E-12</v>
      </c>
      <c r="BG144" s="20">
        <f t="shared" si="115"/>
        <v>4.2330868906469593E-12</v>
      </c>
      <c r="BH144" s="59">
        <f t="shared" si="116"/>
        <v>293.33333333333752</v>
      </c>
      <c r="BI144" s="59">
        <f ca="1">AVERAGE(OFFSET($BH$3,0,0,'Données projet'!$E$11+1,1))-AVERAGE(OFFSET($H$3,0,0,'Données projet'!$E$11+1,1))</f>
        <v>158.58786357608489</v>
      </c>
      <c r="BJ144" s="59">
        <f t="shared" si="146"/>
        <v>163.20074068819849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5.6843418860808015E-13</v>
      </c>
      <c r="BZ144" s="13">
        <f>BY144*VLOOKUP('Données projet'!$B$12,Paramètres!$A$1:$I$89,3,0)*VLOOKUP('Données projet'!$B$12,Paramètres!$A$1:$I$89,5,0)</f>
        <v>2.6602720026858149E-13</v>
      </c>
      <c r="CA144" s="13">
        <f t="shared" si="147"/>
        <v>3.5662905043956649E-12</v>
      </c>
      <c r="CB144" s="20">
        <f t="shared" si="118"/>
        <v>6.6746200022902298E-12</v>
      </c>
      <c r="CC144" s="59">
        <f t="shared" si="119"/>
        <v>293.33333333333997</v>
      </c>
      <c r="CD144" s="59">
        <f ca="1">AVERAGE(OFFSET($CC$3,0,0,'Données projet'!$E$12+1,1))-AVERAGE(OFFSET($H$3,0,0,'Données projet'!$E$12+1,1))</f>
        <v>123.2823358462245</v>
      </c>
      <c r="CE144" s="59">
        <f t="shared" si="148"/>
        <v>92.75115399786057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-2.8421709430404007E-13</v>
      </c>
      <c r="CU144" s="17">
        <f>CT144*VLOOKUP('Données projet'!$B$13,Paramètres!$A$1:$I$89,3,0)*VLOOKUP('Données projet'!$B$13,Paramètres!$A$1:$I$89,5,0)</f>
        <v>-1.69961822393816E-13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179.32848817523677</v>
      </c>
      <c r="CZ144" s="59">
        <f t="shared" si="150"/>
        <v>131.3292389103035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0.60721824989054896</v>
      </c>
      <c r="DH144" s="21">
        <f>EXP(-LN(2)/2)*DH143+(1-EXP(-LN(2)/2))/(LN(2)/2)*DB144*DE144*VLOOKUP('Données projet'!$B$13,Paramètres!$A$1:$I$89,3,0)*0.475*44/12</f>
        <v>1.0328989400313552E-16</v>
      </c>
      <c r="DI144" s="22">
        <f t="shared" si="123"/>
        <v>0.60721824989054907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7.2314102564102543</v>
      </c>
      <c r="DO144" s="12">
        <f>IF('Données projet'!$A$166&gt;35,DO143+DN144-DW143,IF(A144&lt;'Données projet'!$A$166,$DL$205^A144,IF(A144='Données projet'!$A$166,'Données projet'!$B$166,DO143+DN144-DW143)))</f>
        <v>388.47499999999934</v>
      </c>
      <c r="DP144" s="17">
        <f>DO144*VLOOKUP('Données projet'!$B$14,Paramètres!$A$1:$I$89,3,0)*VLOOKUP('Données projet'!$B$14,Paramètres!$A$1:$I$89,5,0)</f>
        <v>375.73301999999933</v>
      </c>
      <c r="DQ144" s="13">
        <f t="shared" si="151"/>
        <v>86.839131277737437</v>
      </c>
      <c r="DR144" s="20">
        <f t="shared" si="124"/>
        <v>805.64649680872481</v>
      </c>
      <c r="DS144" s="59">
        <f t="shared" si="125"/>
        <v>1098.9798301420581</v>
      </c>
      <c r="DT144" s="59">
        <f ca="1">AVERAGE(OFFSET($DS$3,0,0,'Données projet'!$E$14+1,1))-AVERAGE(OFFSET($H$3,0,0,'Données projet'!$E$14+1,1))</f>
        <v>340.4659523898373</v>
      </c>
      <c r="DU144" s="59">
        <f t="shared" si="152"/>
        <v>170.54530785680572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6.1378205128205137</v>
      </c>
      <c r="EJ144" s="12">
        <f>IF('Données projet'!$A$192&gt;35,EJ143+EI144-ER143,IF(A144&lt;'Données projet'!$A$192,$EG$205^A144,IF(A144='Données projet'!$A$192,'Données projet'!$B$192,EJ143+EI144-ER143)))</f>
        <v>333.15064102564043</v>
      </c>
      <c r="EK144" s="17">
        <f>EJ144*VLOOKUP('Données projet'!$B$15,Paramètres!$A$1:$I$89,3,0)*VLOOKUP('Données projet'!$B$15,Paramètres!$A$1:$I$89,5,0)</f>
        <v>322.22329999999943</v>
      </c>
      <c r="EL144" s="13">
        <f t="shared" si="153"/>
        <v>75.81576788949387</v>
      </c>
      <c r="EM144" s="20">
        <f t="shared" si="127"/>
        <v>693.25137657420089</v>
      </c>
      <c r="EN144" s="59">
        <f t="shared" si="128"/>
        <v>986.58470990753426</v>
      </c>
      <c r="EO144" s="59">
        <f ca="1">AVERAGE(OFFSET($EN$3,0,0,'Données projet'!$E$15+1,1))-AVERAGE(OFFSET($H$3,0,0,'Données projet'!$E$15+1,1))</f>
        <v>262.20955982183017</v>
      </c>
      <c r="EP144" s="59">
        <f t="shared" si="154"/>
        <v>101.35842063036193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5.6843418860808015E-14</v>
      </c>
      <c r="FF144" s="17">
        <f>FE144*VLOOKUP('Données projet'!$B$16,Paramètres!$A$1:$I$89,3,0)*VLOOKUP('Données projet'!$B$16,Paramètres!$A$1:$I$89,5,0)</f>
        <v>4.5224624045658861E-14</v>
      </c>
      <c r="FG144" s="13">
        <f t="shared" si="155"/>
        <v>7.4514601661523691E-13</v>
      </c>
      <c r="FH144" s="20">
        <f t="shared" si="130"/>
        <v>1.3765621991510601E-12</v>
      </c>
      <c r="FI144" s="59">
        <f t="shared" si="131"/>
        <v>293.33333333333468</v>
      </c>
      <c r="FJ144" s="59">
        <f ca="1">AVERAGE(OFFSET($FI$3,0,0,'Données projet'!$E$16+1,1))-AVERAGE(OFFSET($H$3,0,0,'Données projet'!$E$16+1,1))</f>
        <v>199.58763537752952</v>
      </c>
      <c r="FK144" s="59">
        <f t="shared" si="156"/>
        <v>242.62852778451929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0.47374611471820566</v>
      </c>
      <c r="FS144" s="21">
        <f>EXP(-LN(2)/2)*FS143+(1-EXP(-LN(2)/2))/(LN(2)/2)*FM144*FP144*VLOOKUP('Données projet'!$B$16,Paramètres!$A$1:$I$89,3,0)*0.475*44/12</f>
        <v>2.1120802096100189E-16</v>
      </c>
      <c r="FT144" s="22">
        <f t="shared" si="132"/>
        <v>0.47374611471820588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5.6843418860808015E-14</v>
      </c>
      <c r="GA144" s="17">
        <f>FZ144*VLOOKUP('Données projet'!$B$17,Paramètres!$A$1:$I$89,3,0)*VLOOKUP('Données projet'!$B$17,Paramètres!$A$1:$I$89,5,0)</f>
        <v>4.1677594708744434E-14</v>
      </c>
      <c r="GB144" s="13">
        <f t="shared" si="157"/>
        <v>6.9326303456159188E-13</v>
      </c>
      <c r="GC144" s="20">
        <f t="shared" si="133"/>
        <v>1.2800215959791691E-12</v>
      </c>
      <c r="GD144" s="59">
        <f t="shared" si="134"/>
        <v>293.33333333333462</v>
      </c>
      <c r="GE144" s="59">
        <f ca="1">AVERAGE(OFFSET($GD$3,0,0,'Données projet'!$E$17+1,1))-AVERAGE(OFFSET($H$3,0,0,'Données projet'!$E$17+1,1))</f>
        <v>178.12968684094687</v>
      </c>
      <c r="GF144" s="59">
        <f t="shared" si="158"/>
        <v>219.36004077210373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0.35421416864428168</v>
      </c>
      <c r="GN144" s="21">
        <f>EXP(-LN(2)/2)*GN143+(1-EXP(-LN(2)/2))/(LN(2)/2)*GH144*GK144*VLOOKUP('Données projet'!$B$17,Paramètres!$A$1:$I$89,3,0)*0.475*44/12</f>
        <v>1.9464268598366824E-16</v>
      </c>
      <c r="GO144" s="21">
        <f t="shared" si="135"/>
        <v>0.3542141686442819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5.6843418860808015E-14</v>
      </c>
      <c r="GV144" s="17">
        <f>GU144*VLOOKUP('Données projet'!$B$18,Paramètres!$A$1:$I$89,3,0)*VLOOKUP('Données projet'!$B$18,Paramètres!$A$1:$I$89,5,0)</f>
        <v>4.5224624045658861E-14</v>
      </c>
      <c r="GW144" s="13">
        <f t="shared" si="159"/>
        <v>7.4514601661523691E-13</v>
      </c>
      <c r="GX144" s="20">
        <f t="shared" si="136"/>
        <v>1.3765621991510601E-12</v>
      </c>
      <c r="GY144" s="59">
        <f t="shared" si="137"/>
        <v>293.33333333333468</v>
      </c>
      <c r="GZ144" s="59">
        <f ca="1">AVERAGE(OFFSET($GY$3,0,0,'Données projet'!$E$18+1,1))-AVERAGE(OFFSET($H$3,0,0,'Données projet'!$E$18+1,1))</f>
        <v>199.58763537752952</v>
      </c>
      <c r="HA144" s="59">
        <f t="shared" si="160"/>
        <v>242.62852778451929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0</v>
      </c>
      <c r="HH144" s="21">
        <f>EXP(-LN(2)/25)*HH143+(1-EXP(-LN(2)/25))/(LN(2)/25)*Calculateur!HC144*Calculateur!HE144*VLOOKUP('Données projet'!$B$18,Paramètres!$A$1:$I$89,3,0)*0.475*44/12</f>
        <v>0.47374611471820566</v>
      </c>
      <c r="HI144" s="21">
        <f>EXP(-LN(2)/2)*HI143+(1-EXP(-LN(2)/2))/(LN(2)/2)*HC144*HF144*VLOOKUP('Données projet'!$B$18,Paramètres!$A$1:$I$89,3,0)*0.475*44/12</f>
        <v>2.1120802096100189E-16</v>
      </c>
      <c r="HJ144" s="22">
        <f t="shared" si="138"/>
        <v>0.47374611471820588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7.2314102564102543</v>
      </c>
      <c r="N145" s="13">
        <f>IF('Données projet'!$A$36&gt;35,N144+M145-V144,IF(A145&lt;'Données projet'!$A$36,$K$205^A145,IF(A145='Données projet'!$A$36,'Données projet'!$B$36,N144+M145-V144)))</f>
        <v>395.70641025640958</v>
      </c>
      <c r="O145" s="13">
        <f>N145*VLOOKUP('Données projet'!$B$9,Paramètres!$A$1:$I$89,3,0)*VLOOKUP('Données projet'!$B$9,Paramètres!$A$1:$I$89,5,0)</f>
        <v>358.03515999999939</v>
      </c>
      <c r="P145" s="13">
        <f t="shared" si="141"/>
        <v>83.214842129951279</v>
      </c>
      <c r="Q145" s="20">
        <f t="shared" si="108"/>
        <v>768.51042037633067</v>
      </c>
      <c r="R145" s="59">
        <f t="shared" si="109"/>
        <v>1061.843753709664</v>
      </c>
      <c r="S145" s="59">
        <f ca="1">AVERAGE(OFFSET($R$3,0,0,'Données projet'!$E$9+1,1))-AVERAGE(OFFSET($H$3,0,0,'Données projet'!$E$9+1,1))</f>
        <v>309.07357540707869</v>
      </c>
      <c r="T145" s="59">
        <f t="shared" si="142"/>
        <v>155.9593924683299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6.1378205128205137</v>
      </c>
      <c r="AI145" s="13">
        <f>IF('Données projet'!$A$62&gt;35,AI144+AH145-AQ144,IF(A145&lt;'Données projet'!$A$62,$AF$205^A145,IF(A145='Données projet'!$A$62,'Données projet'!$B$62,AI144+AH145-AQ144)))</f>
        <v>339.28846153846092</v>
      </c>
      <c r="AJ145" s="13">
        <f>AI145*VLOOKUP('Données projet'!$B$10,Paramètres!$A$1:$I$89,3,0)*VLOOKUP('Données projet'!$B$10,Paramètres!$A$1:$I$89,5,0)</f>
        <v>306.98819999999944</v>
      </c>
      <c r="AK145" s="13">
        <f t="shared" si="143"/>
        <v>72.639489513059672</v>
      </c>
      <c r="AL145" s="20">
        <f t="shared" si="112"/>
        <v>661.18489256857799</v>
      </c>
      <c r="AM145" s="59">
        <f t="shared" si="113"/>
        <v>954.51822590191136</v>
      </c>
      <c r="AN145" s="59">
        <f ca="1">AVERAGE(OFFSET($AM$3,0,0,'Données projet'!$E$10+1,1))-AVERAGE(OFFSET($H$3,0,0,'Données projet'!$E$10+1,1))</f>
        <v>234.30804102916278</v>
      </c>
      <c r="AO145" s="59">
        <f t="shared" si="144"/>
        <v>91.137993288782411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3.4106051316484809E-13</v>
      </c>
      <c r="BE145" s="13">
        <f>BD145*VLOOKUP('Données projet'!$B$11,Paramètres!$A$1:$I$89,3,0)*VLOOKUP('Données projet'!$B$11,Paramètres!$A$1:$I$89,5,0)</f>
        <v>1.5961632016114892E-13</v>
      </c>
      <c r="BF145" s="13">
        <f t="shared" si="145"/>
        <v>2.2708641912150958E-12</v>
      </c>
      <c r="BG145" s="20">
        <f t="shared" si="115"/>
        <v>4.2330868906469593E-12</v>
      </c>
      <c r="BH145" s="59">
        <f t="shared" si="116"/>
        <v>293.33333333333752</v>
      </c>
      <c r="BI145" s="59">
        <f ca="1">AVERAGE(OFFSET($BH$3,0,0,'Données projet'!$E$11+1,1))-AVERAGE(OFFSET($H$3,0,0,'Données projet'!$E$11+1,1))</f>
        <v>158.58786357608489</v>
      </c>
      <c r="BJ145" s="59">
        <f t="shared" si="146"/>
        <v>163.20074068819849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5.6843418860808015E-13</v>
      </c>
      <c r="BZ145" s="13">
        <f>BY145*VLOOKUP('Données projet'!$B$12,Paramètres!$A$1:$I$89,3,0)*VLOOKUP('Données projet'!$B$12,Paramètres!$A$1:$I$89,5,0)</f>
        <v>2.6602720026858149E-13</v>
      </c>
      <c r="CA145" s="13">
        <f t="shared" si="147"/>
        <v>3.5662905043956649E-12</v>
      </c>
      <c r="CB145" s="20">
        <f t="shared" si="118"/>
        <v>6.6746200022902298E-12</v>
      </c>
      <c r="CC145" s="59">
        <f t="shared" si="119"/>
        <v>293.33333333333997</v>
      </c>
      <c r="CD145" s="59">
        <f ca="1">AVERAGE(OFFSET($CC$3,0,0,'Données projet'!$E$12+1,1))-AVERAGE(OFFSET($H$3,0,0,'Données projet'!$E$12+1,1))</f>
        <v>123.2823358462245</v>
      </c>
      <c r="CE145" s="59">
        <f t="shared" si="148"/>
        <v>92.75115399786057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-2.8421709430404007E-13</v>
      </c>
      <c r="CU145" s="17">
        <f>CT145*VLOOKUP('Données projet'!$B$13,Paramètres!$A$1:$I$89,3,0)*VLOOKUP('Données projet'!$B$13,Paramètres!$A$1:$I$89,5,0)</f>
        <v>-1.69961822393816E-13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179.32848817523677</v>
      </c>
      <c r="CZ145" s="59">
        <f t="shared" si="150"/>
        <v>131.3292389103035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0.59061383491507191</v>
      </c>
      <c r="DH145" s="21">
        <f>EXP(-LN(2)/2)*DH144+(1-EXP(-LN(2)/2))/(LN(2)/2)*DB145*DE145*VLOOKUP('Données projet'!$B$13,Paramètres!$A$1:$I$89,3,0)*0.475*44/12</f>
        <v>7.3036984477656836E-17</v>
      </c>
      <c r="DI145" s="22">
        <f t="shared" si="123"/>
        <v>0.59061383491507202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7.2314102564102543</v>
      </c>
      <c r="DO145" s="12">
        <f>IF('Données projet'!$A$166&gt;35,DO144+DN145-DW144,IF(A145&lt;'Données projet'!$A$166,$DL$205^A145,IF(A145='Données projet'!$A$166,'Données projet'!$B$166,DO144+DN145-DW144)))</f>
        <v>395.70641025640958</v>
      </c>
      <c r="DP145" s="17">
        <f>DO145*VLOOKUP('Données projet'!$B$14,Paramètres!$A$1:$I$89,3,0)*VLOOKUP('Données projet'!$B$14,Paramètres!$A$1:$I$89,5,0)</f>
        <v>382.72723999999937</v>
      </c>
      <c r="DQ145" s="13">
        <f t="shared" si="151"/>
        <v>88.26593282194446</v>
      </c>
      <c r="DR145" s="20">
        <f t="shared" si="124"/>
        <v>820.31310933155225</v>
      </c>
      <c r="DS145" s="59">
        <f t="shared" si="125"/>
        <v>1113.6464426648856</v>
      </c>
      <c r="DT145" s="59">
        <f ca="1">AVERAGE(OFFSET($DS$3,0,0,'Données projet'!$E$14+1,1))-AVERAGE(OFFSET($H$3,0,0,'Données projet'!$E$14+1,1))</f>
        <v>340.4659523898373</v>
      </c>
      <c r="DU145" s="59">
        <f t="shared" si="152"/>
        <v>170.54530785680572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6.1378205128205137</v>
      </c>
      <c r="EJ145" s="12">
        <f>IF('Données projet'!$A$192&gt;35,EJ144+EI145-ER144,IF(A145&lt;'Données projet'!$A$192,$EG$205^A145,IF(A145='Données projet'!$A$192,'Données projet'!$B$192,EJ144+EI145-ER144)))</f>
        <v>339.28846153846092</v>
      </c>
      <c r="EK145" s="17">
        <f>EJ145*VLOOKUP('Données projet'!$B$15,Paramètres!$A$1:$I$89,3,0)*VLOOKUP('Données projet'!$B$15,Paramètres!$A$1:$I$89,5,0)</f>
        <v>328.15979999999939</v>
      </c>
      <c r="EL145" s="13">
        <f t="shared" si="153"/>
        <v>77.048662684085755</v>
      </c>
      <c r="EM145" s="20">
        <f t="shared" si="127"/>
        <v>705.73807250811478</v>
      </c>
      <c r="EN145" s="59">
        <f t="shared" si="128"/>
        <v>999.07140584144804</v>
      </c>
      <c r="EO145" s="59">
        <f ca="1">AVERAGE(OFFSET($EN$3,0,0,'Données projet'!$E$15+1,1))-AVERAGE(OFFSET($H$3,0,0,'Données projet'!$E$15+1,1))</f>
        <v>262.20955982183017</v>
      </c>
      <c r="EP145" s="59">
        <f t="shared" si="154"/>
        <v>101.35842063036193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5.6843418860808015E-14</v>
      </c>
      <c r="FF145" s="17">
        <f>FE145*VLOOKUP('Données projet'!$B$16,Paramètres!$A$1:$I$89,3,0)*VLOOKUP('Données projet'!$B$16,Paramètres!$A$1:$I$89,5,0)</f>
        <v>4.5224624045658861E-14</v>
      </c>
      <c r="FG145" s="13">
        <f t="shared" si="155"/>
        <v>7.4514601661523691E-13</v>
      </c>
      <c r="FH145" s="20">
        <f t="shared" si="130"/>
        <v>1.3765621991510601E-12</v>
      </c>
      <c r="FI145" s="59">
        <f t="shared" si="131"/>
        <v>293.33333333333468</v>
      </c>
      <c r="FJ145" s="59">
        <f ca="1">AVERAGE(OFFSET($FI$3,0,0,'Données projet'!$E$16+1,1))-AVERAGE(OFFSET($H$3,0,0,'Données projet'!$E$16+1,1))</f>
        <v>199.58763537752952</v>
      </c>
      <c r="FK145" s="59">
        <f t="shared" si="156"/>
        <v>242.62852778451929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0.46079150229801091</v>
      </c>
      <c r="FS145" s="21">
        <f>EXP(-LN(2)/2)*FS144+(1-EXP(-LN(2)/2))/(LN(2)/2)*FM145*FP145*VLOOKUP('Données projet'!$B$16,Paramètres!$A$1:$I$89,3,0)*0.475*44/12</f>
        <v>1.493466238625149E-16</v>
      </c>
      <c r="FT145" s="22">
        <f t="shared" si="132"/>
        <v>0.46079150229801108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5.6843418860808015E-14</v>
      </c>
      <c r="GA145" s="17">
        <f>FZ145*VLOOKUP('Données projet'!$B$17,Paramètres!$A$1:$I$89,3,0)*VLOOKUP('Données projet'!$B$17,Paramètres!$A$1:$I$89,5,0)</f>
        <v>4.1677594708744434E-14</v>
      </c>
      <c r="GB145" s="13">
        <f t="shared" si="157"/>
        <v>6.9326303456159188E-13</v>
      </c>
      <c r="GC145" s="20">
        <f t="shared" si="133"/>
        <v>1.2800215959791691E-12</v>
      </c>
      <c r="GD145" s="59">
        <f t="shared" si="134"/>
        <v>293.33333333333462</v>
      </c>
      <c r="GE145" s="59">
        <f ca="1">AVERAGE(OFFSET($GD$3,0,0,'Données projet'!$E$17+1,1))-AVERAGE(OFFSET($H$3,0,0,'Données projet'!$E$17+1,1))</f>
        <v>178.12968684094687</v>
      </c>
      <c r="GF145" s="59">
        <f t="shared" si="158"/>
        <v>219.36004077210373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0.34452816357539023</v>
      </c>
      <c r="GN145" s="21">
        <f>EXP(-LN(2)/2)*GN144+(1-EXP(-LN(2)/2))/(LN(2)/2)*GH145*GK145*VLOOKUP('Données projet'!$B$17,Paramètres!$A$1:$I$89,3,0)*0.475*44/12</f>
        <v>1.3763316316741557E-16</v>
      </c>
      <c r="GO145" s="21">
        <f t="shared" si="135"/>
        <v>0.34452816357539034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5.6843418860808015E-14</v>
      </c>
      <c r="GV145" s="17">
        <f>GU145*VLOOKUP('Données projet'!$B$18,Paramètres!$A$1:$I$89,3,0)*VLOOKUP('Données projet'!$B$18,Paramètres!$A$1:$I$89,5,0)</f>
        <v>4.5224624045658861E-14</v>
      </c>
      <c r="GW145" s="13">
        <f t="shared" si="159"/>
        <v>7.4514601661523691E-13</v>
      </c>
      <c r="GX145" s="20">
        <f t="shared" si="136"/>
        <v>1.3765621991510601E-12</v>
      </c>
      <c r="GY145" s="59">
        <f t="shared" si="137"/>
        <v>293.33333333333468</v>
      </c>
      <c r="GZ145" s="59">
        <f ca="1">AVERAGE(OFFSET($GY$3,0,0,'Données projet'!$E$18+1,1))-AVERAGE(OFFSET($H$3,0,0,'Données projet'!$E$18+1,1))</f>
        <v>199.58763537752952</v>
      </c>
      <c r="HA145" s="59">
        <f t="shared" si="160"/>
        <v>242.62852778451929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0</v>
      </c>
      <c r="HH145" s="21">
        <f>EXP(-LN(2)/25)*HH144+(1-EXP(-LN(2)/25))/(LN(2)/25)*Calculateur!HC145*Calculateur!HE145*VLOOKUP('Données projet'!$B$18,Paramètres!$A$1:$I$89,3,0)*0.475*44/12</f>
        <v>0.46079150229801091</v>
      </c>
      <c r="HI145" s="21">
        <f>EXP(-LN(2)/2)*HI144+(1-EXP(-LN(2)/2))/(LN(2)/2)*HC145*HF145*VLOOKUP('Données projet'!$B$18,Paramètres!$A$1:$I$89,3,0)*0.475*44/12</f>
        <v>1.493466238625149E-16</v>
      </c>
      <c r="HJ145" s="22">
        <f t="shared" si="138"/>
        <v>0.46079150229801108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7.2314102564102543</v>
      </c>
      <c r="N146" s="13">
        <f>IF('Données projet'!$A$36&gt;35,N145+M146-V145,IF(A146&lt;'Données projet'!$A$36,$K$205^A146,IF(A146='Données projet'!$A$36,'Données projet'!$B$36,N145+M146-V145)))</f>
        <v>402.93782051281983</v>
      </c>
      <c r="O146" s="13">
        <f>N146*VLOOKUP('Données projet'!$B$9,Paramètres!$A$1:$I$89,3,0)*VLOOKUP('Données projet'!$B$9,Paramètres!$A$1:$I$89,5,0)</f>
        <v>364.57813999999939</v>
      </c>
      <c r="P146" s="13">
        <f t="shared" si="141"/>
        <v>84.557135282967096</v>
      </c>
      <c r="Q146" s="20">
        <f t="shared" si="108"/>
        <v>782.24393778449996</v>
      </c>
      <c r="R146" s="59">
        <f t="shared" si="109"/>
        <v>1075.5772711178333</v>
      </c>
      <c r="S146" s="59">
        <f ca="1">AVERAGE(OFFSET($R$3,0,0,'Données projet'!$E$9+1,1))-AVERAGE(OFFSET($H$3,0,0,'Données projet'!$E$9+1,1))</f>
        <v>309.07357540707869</v>
      </c>
      <c r="T146" s="59">
        <f t="shared" si="142"/>
        <v>155.9593924683299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6.1378205128205137</v>
      </c>
      <c r="AI146" s="13">
        <f>IF('Données projet'!$A$62&gt;35,AI145+AH146-AQ145,IF(A146&lt;'Données projet'!$A$62,$AF$205^A146,IF(A146='Données projet'!$A$62,'Données projet'!$B$62,AI145+AH146-AQ145)))</f>
        <v>345.42628205128142</v>
      </c>
      <c r="AJ146" s="13">
        <f>AI146*VLOOKUP('Données projet'!$B$10,Paramètres!$A$1:$I$89,3,0)*VLOOKUP('Données projet'!$B$10,Paramètres!$A$1:$I$89,5,0)</f>
        <v>312.54169999999942</v>
      </c>
      <c r="AK146" s="13">
        <f t="shared" si="143"/>
        <v>73.79938577074968</v>
      </c>
      <c r="AL146" s="20">
        <f t="shared" si="112"/>
        <v>672.87739105072126</v>
      </c>
      <c r="AM146" s="59">
        <f t="shared" si="113"/>
        <v>966.21072438405463</v>
      </c>
      <c r="AN146" s="59">
        <f ca="1">AVERAGE(OFFSET($AM$3,0,0,'Données projet'!$E$10+1,1))-AVERAGE(OFFSET($H$3,0,0,'Données projet'!$E$10+1,1))</f>
        <v>234.30804102916278</v>
      </c>
      <c r="AO146" s="59">
        <f t="shared" si="144"/>
        <v>91.137993288782411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3.4106051316484809E-13</v>
      </c>
      <c r="BE146" s="13">
        <f>BD146*VLOOKUP('Données projet'!$B$11,Paramètres!$A$1:$I$89,3,0)*VLOOKUP('Données projet'!$B$11,Paramètres!$A$1:$I$89,5,0)</f>
        <v>1.5961632016114892E-13</v>
      </c>
      <c r="BF146" s="13">
        <f t="shared" si="145"/>
        <v>2.2708641912150958E-12</v>
      </c>
      <c r="BG146" s="20">
        <f t="shared" si="115"/>
        <v>4.2330868906469593E-12</v>
      </c>
      <c r="BH146" s="59">
        <f t="shared" si="116"/>
        <v>293.33333333333752</v>
      </c>
      <c r="BI146" s="59">
        <f ca="1">AVERAGE(OFFSET($BH$3,0,0,'Données projet'!$E$11+1,1))-AVERAGE(OFFSET($H$3,0,0,'Données projet'!$E$11+1,1))</f>
        <v>158.58786357608489</v>
      </c>
      <c r="BJ146" s="59">
        <f t="shared" si="146"/>
        <v>163.20074068819849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5.6843418860808015E-13</v>
      </c>
      <c r="BZ146" s="13">
        <f>BY146*VLOOKUP('Données projet'!$B$12,Paramètres!$A$1:$I$89,3,0)*VLOOKUP('Données projet'!$B$12,Paramètres!$A$1:$I$89,5,0)</f>
        <v>2.6602720026858149E-13</v>
      </c>
      <c r="CA146" s="13">
        <f t="shared" si="147"/>
        <v>3.5662905043956649E-12</v>
      </c>
      <c r="CB146" s="20">
        <f t="shared" si="118"/>
        <v>6.6746200022902298E-12</v>
      </c>
      <c r="CC146" s="59">
        <f t="shared" si="119"/>
        <v>293.33333333333997</v>
      </c>
      <c r="CD146" s="59">
        <f ca="1">AVERAGE(OFFSET($CC$3,0,0,'Données projet'!$E$12+1,1))-AVERAGE(OFFSET($H$3,0,0,'Données projet'!$E$12+1,1))</f>
        <v>123.2823358462245</v>
      </c>
      <c r="CE146" s="59">
        <f t="shared" si="148"/>
        <v>92.75115399786057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-2.8421709430404007E-13</v>
      </c>
      <c r="CU146" s="17">
        <f>CT146*VLOOKUP('Données projet'!$B$13,Paramètres!$A$1:$I$89,3,0)*VLOOKUP('Données projet'!$B$13,Paramètres!$A$1:$I$89,5,0)</f>
        <v>-1.69961822393816E-13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179.32848817523677</v>
      </c>
      <c r="CZ146" s="59">
        <f t="shared" si="150"/>
        <v>131.3292389103035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0.57446346854028751</v>
      </c>
      <c r="DH146" s="21">
        <f>EXP(-LN(2)/2)*DH145+(1-EXP(-LN(2)/2))/(LN(2)/2)*DB146*DE146*VLOOKUP('Données projet'!$B$13,Paramètres!$A$1:$I$89,3,0)*0.475*44/12</f>
        <v>5.1644947001567761E-17</v>
      </c>
      <c r="DI146" s="22">
        <f t="shared" si="123"/>
        <v>0.57446346854028751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7.2314102564102543</v>
      </c>
      <c r="DO146" s="12">
        <f>IF('Données projet'!$A$166&gt;35,DO145+DN146-DW145,IF(A146&lt;'Données projet'!$A$166,$DL$205^A146,IF(A146='Données projet'!$A$166,'Données projet'!$B$166,DO145+DN146-DW145)))</f>
        <v>402.93782051281983</v>
      </c>
      <c r="DP146" s="17">
        <f>DO146*VLOOKUP('Données projet'!$B$14,Paramètres!$A$1:$I$89,3,0)*VLOOKUP('Données projet'!$B$14,Paramètres!$A$1:$I$89,5,0)</f>
        <v>389.72145999999935</v>
      </c>
      <c r="DQ146" s="13">
        <f t="shared" si="151"/>
        <v>89.689702359191557</v>
      </c>
      <c r="DR146" s="20">
        <f t="shared" si="124"/>
        <v>834.97444110892411</v>
      </c>
      <c r="DS146" s="59">
        <f t="shared" si="125"/>
        <v>1128.3077744422574</v>
      </c>
      <c r="DT146" s="59">
        <f ca="1">AVERAGE(OFFSET($DS$3,0,0,'Données projet'!$E$14+1,1))-AVERAGE(OFFSET($H$3,0,0,'Données projet'!$E$14+1,1))</f>
        <v>340.4659523898373</v>
      </c>
      <c r="DU146" s="59">
        <f t="shared" si="152"/>
        <v>170.54530785680572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6.1378205128205137</v>
      </c>
      <c r="EJ146" s="12">
        <f>IF('Données projet'!$A$192&gt;35,EJ145+EI146-ER145,IF(A146&lt;'Données projet'!$A$192,$EG$205^A146,IF(A146='Données projet'!$A$192,'Données projet'!$B$192,EJ145+EI146-ER145)))</f>
        <v>345.42628205128142</v>
      </c>
      <c r="EK146" s="17">
        <f>EJ146*VLOOKUP('Données projet'!$B$15,Paramètres!$A$1:$I$89,3,0)*VLOOKUP('Données projet'!$B$15,Paramètres!$A$1:$I$89,5,0)</f>
        <v>334.09629999999942</v>
      </c>
      <c r="EL146" s="13">
        <f t="shared" si="153"/>
        <v>78.278963944548551</v>
      </c>
      <c r="EM146" s="20">
        <f t="shared" si="127"/>
        <v>718.22025137008768</v>
      </c>
      <c r="EN146" s="59">
        <f t="shared" si="128"/>
        <v>1011.5535847034209</v>
      </c>
      <c r="EO146" s="59">
        <f ca="1">AVERAGE(OFFSET($EN$3,0,0,'Données projet'!$E$15+1,1))-AVERAGE(OFFSET($H$3,0,0,'Données projet'!$E$15+1,1))</f>
        <v>262.20955982183017</v>
      </c>
      <c r="EP146" s="59">
        <f t="shared" si="154"/>
        <v>101.35842063036193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5.6843418860808015E-14</v>
      </c>
      <c r="FF146" s="17">
        <f>FE146*VLOOKUP('Données projet'!$B$16,Paramètres!$A$1:$I$89,3,0)*VLOOKUP('Données projet'!$B$16,Paramètres!$A$1:$I$89,5,0)</f>
        <v>4.5224624045658861E-14</v>
      </c>
      <c r="FG146" s="13">
        <f t="shared" si="155"/>
        <v>7.4514601661523691E-13</v>
      </c>
      <c r="FH146" s="20">
        <f t="shared" si="130"/>
        <v>1.3765621991510601E-12</v>
      </c>
      <c r="FI146" s="59">
        <f t="shared" si="131"/>
        <v>293.33333333333468</v>
      </c>
      <c r="FJ146" s="59">
        <f ca="1">AVERAGE(OFFSET($FI$3,0,0,'Données projet'!$E$16+1,1))-AVERAGE(OFFSET($H$3,0,0,'Données projet'!$E$16+1,1))</f>
        <v>199.58763537752952</v>
      </c>
      <c r="FK146" s="59">
        <f t="shared" si="156"/>
        <v>242.62852778451929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0.44819113443569986</v>
      </c>
      <c r="FS146" s="21">
        <f>EXP(-LN(2)/2)*FS145+(1-EXP(-LN(2)/2))/(LN(2)/2)*FM146*FP146*VLOOKUP('Données projet'!$B$16,Paramètres!$A$1:$I$89,3,0)*0.475*44/12</f>
        <v>1.0560401048050094E-16</v>
      </c>
      <c r="FT146" s="22">
        <f t="shared" si="132"/>
        <v>0.44819113443569997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5.6843418860808015E-14</v>
      </c>
      <c r="GA146" s="17">
        <f>FZ146*VLOOKUP('Données projet'!$B$17,Paramètres!$A$1:$I$89,3,0)*VLOOKUP('Données projet'!$B$17,Paramètres!$A$1:$I$89,5,0)</f>
        <v>4.1677594708744434E-14</v>
      </c>
      <c r="GB146" s="13">
        <f t="shared" si="157"/>
        <v>6.9326303456159188E-13</v>
      </c>
      <c r="GC146" s="20">
        <f t="shared" si="133"/>
        <v>1.2800215959791691E-12</v>
      </c>
      <c r="GD146" s="59">
        <f t="shared" si="134"/>
        <v>293.33333333333462</v>
      </c>
      <c r="GE146" s="59">
        <f ca="1">AVERAGE(OFFSET($GD$3,0,0,'Données projet'!$E$17+1,1))-AVERAGE(OFFSET($H$3,0,0,'Données projet'!$E$17+1,1))</f>
        <v>178.12968684094687</v>
      </c>
      <c r="GF146" s="59">
        <f t="shared" si="158"/>
        <v>219.36004077210373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0.33510702282447252</v>
      </c>
      <c r="GN146" s="21">
        <f>EXP(-LN(2)/2)*GN145+(1-EXP(-LN(2)/2))/(LN(2)/2)*GH146*GK146*VLOOKUP('Données projet'!$B$17,Paramètres!$A$1:$I$89,3,0)*0.475*44/12</f>
        <v>9.7321342991834118E-17</v>
      </c>
      <c r="GO146" s="21">
        <f t="shared" si="135"/>
        <v>0.33510702282447263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5.6843418860808015E-14</v>
      </c>
      <c r="GV146" s="17">
        <f>GU146*VLOOKUP('Données projet'!$B$18,Paramètres!$A$1:$I$89,3,0)*VLOOKUP('Données projet'!$B$18,Paramètres!$A$1:$I$89,5,0)</f>
        <v>4.5224624045658861E-14</v>
      </c>
      <c r="GW146" s="13">
        <f t="shared" si="159"/>
        <v>7.4514601661523691E-13</v>
      </c>
      <c r="GX146" s="20">
        <f t="shared" si="136"/>
        <v>1.3765621991510601E-12</v>
      </c>
      <c r="GY146" s="59">
        <f t="shared" si="137"/>
        <v>293.33333333333468</v>
      </c>
      <c r="GZ146" s="59">
        <f ca="1">AVERAGE(OFFSET($GY$3,0,0,'Données projet'!$E$18+1,1))-AVERAGE(OFFSET($H$3,0,0,'Données projet'!$E$18+1,1))</f>
        <v>199.58763537752952</v>
      </c>
      <c r="HA146" s="59">
        <f t="shared" si="160"/>
        <v>242.62852778451929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0</v>
      </c>
      <c r="HH146" s="21">
        <f>EXP(-LN(2)/25)*HH145+(1-EXP(-LN(2)/25))/(LN(2)/25)*Calculateur!HC146*Calculateur!HE146*VLOOKUP('Données projet'!$B$18,Paramètres!$A$1:$I$89,3,0)*0.475*44/12</f>
        <v>0.44819113443569986</v>
      </c>
      <c r="HI146" s="21">
        <f>EXP(-LN(2)/2)*HI145+(1-EXP(-LN(2)/2))/(LN(2)/2)*HC146*HF146*VLOOKUP('Données projet'!$B$18,Paramètres!$A$1:$I$89,3,0)*0.475*44/12</f>
        <v>1.0560401048050094E-16</v>
      </c>
      <c r="HJ146" s="22">
        <f t="shared" si="138"/>
        <v>0.44819113443569997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7.2314102564102543</v>
      </c>
      <c r="N147" s="13">
        <f>IF('Données projet'!$A$36&gt;35,N146+M147-V146,IF(A147&lt;'Données projet'!$A$36,$K$205^A147,IF(A147='Données projet'!$A$36,'Données projet'!$B$36,N146+M147-V146)))</f>
        <v>410.16923076923007</v>
      </c>
      <c r="O147" s="13">
        <f>N147*VLOOKUP('Données projet'!$B$9,Paramètres!$A$1:$I$89,3,0)*VLOOKUP('Données projet'!$B$9,Paramètres!$A$1:$I$89,5,0)</f>
        <v>371.12111999999939</v>
      </c>
      <c r="P147" s="13">
        <f t="shared" si="141"/>
        <v>85.896627156574425</v>
      </c>
      <c r="Q147" s="20">
        <f t="shared" si="108"/>
        <v>795.97257629769945</v>
      </c>
      <c r="R147" s="59">
        <f t="shared" si="109"/>
        <v>1089.3059096310328</v>
      </c>
      <c r="S147" s="59">
        <f ca="1">AVERAGE(OFFSET($R$3,0,0,'Données projet'!$E$9+1,1))-AVERAGE(OFFSET($H$3,0,0,'Données projet'!$E$9+1,1))</f>
        <v>309.07357540707869</v>
      </c>
      <c r="T147" s="59">
        <f t="shared" si="142"/>
        <v>155.9593924683299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351.5641025641026</v>
      </c>
      <c r="AG147" s="12">
        <f>VLOOKUP(A147,'Données projet'!$A$61:$I$81,9,0)</f>
        <v>6.1378205128205137</v>
      </c>
      <c r="AH147" s="12">
        <f t="array" ref="AH147">INDEX(AG:AG,MIN(IF(ISNUMBER(AG147:AG343),ROW(AG147:AG343),"")))</f>
        <v>6.1378205128205137</v>
      </c>
      <c r="AI147" s="13">
        <f>IF('Données projet'!$A$62&gt;35,AI146+AH147-AQ146,IF(A147&lt;'Données projet'!$A$62,$AF$205^A147,IF(A147='Données projet'!$A$62,'Données projet'!$B$62,AI146+AH147-AQ146)))</f>
        <v>351.56410256410192</v>
      </c>
      <c r="AJ147" s="13">
        <f>AI147*VLOOKUP('Données projet'!$B$10,Paramètres!$A$1:$I$89,3,0)*VLOOKUP('Données projet'!$B$10,Paramètres!$A$1:$I$89,5,0)</f>
        <v>318.09519999999941</v>
      </c>
      <c r="AK147" s="13">
        <f t="shared" si="143"/>
        <v>74.956885370533385</v>
      </c>
      <c r="AL147" s="20">
        <f t="shared" si="112"/>
        <v>684.565715353678</v>
      </c>
      <c r="AM147" s="59">
        <f t="shared" si="113"/>
        <v>977.89904868701137</v>
      </c>
      <c r="AN147" s="59">
        <f ca="1">AVERAGE(OFFSET($AM$3,0,0,'Données projet'!$E$10+1,1))-AVERAGE(OFFSET($H$3,0,0,'Données projet'!$E$10+1,1))</f>
        <v>234.30804102916278</v>
      </c>
      <c r="AO147" s="59">
        <f t="shared" si="144"/>
        <v>91.137993288782411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42.224358974358978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3.4106051316484809E-13</v>
      </c>
      <c r="BE147" s="13">
        <f>BD147*VLOOKUP('Données projet'!$B$11,Paramètres!$A$1:$I$89,3,0)*VLOOKUP('Données projet'!$B$11,Paramètres!$A$1:$I$89,5,0)</f>
        <v>1.5961632016114892E-13</v>
      </c>
      <c r="BF147" s="13">
        <f t="shared" si="145"/>
        <v>2.2708641912150958E-12</v>
      </c>
      <c r="BG147" s="20">
        <f t="shared" si="115"/>
        <v>4.2330868906469593E-12</v>
      </c>
      <c r="BH147" s="59">
        <f t="shared" si="116"/>
        <v>293.33333333333752</v>
      </c>
      <c r="BI147" s="59">
        <f ca="1">AVERAGE(OFFSET($BH$3,0,0,'Données projet'!$E$11+1,1))-AVERAGE(OFFSET($H$3,0,0,'Données projet'!$E$11+1,1))</f>
        <v>158.58786357608489</v>
      </c>
      <c r="BJ147" s="59">
        <f t="shared" si="146"/>
        <v>163.20074068819849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5.6843418860808015E-13</v>
      </c>
      <c r="BZ147" s="13">
        <f>BY147*VLOOKUP('Données projet'!$B$12,Paramètres!$A$1:$I$89,3,0)*VLOOKUP('Données projet'!$B$12,Paramètres!$A$1:$I$89,5,0)</f>
        <v>2.6602720026858149E-13</v>
      </c>
      <c r="CA147" s="13">
        <f t="shared" si="147"/>
        <v>3.5662905043956649E-12</v>
      </c>
      <c r="CB147" s="20">
        <f t="shared" si="118"/>
        <v>6.6746200022902298E-12</v>
      </c>
      <c r="CC147" s="59">
        <f t="shared" si="119"/>
        <v>293.33333333333997</v>
      </c>
      <c r="CD147" s="59">
        <f ca="1">AVERAGE(OFFSET($CC$3,0,0,'Données projet'!$E$12+1,1))-AVERAGE(OFFSET($H$3,0,0,'Données projet'!$E$12+1,1))</f>
        <v>123.2823358462245</v>
      </c>
      <c r="CE147" s="59">
        <f t="shared" si="148"/>
        <v>92.75115399786057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-2.8421709430404007E-13</v>
      </c>
      <c r="CU147" s="17">
        <f>CT147*VLOOKUP('Données projet'!$B$13,Paramètres!$A$1:$I$89,3,0)*VLOOKUP('Données projet'!$B$13,Paramètres!$A$1:$I$89,5,0)</f>
        <v>-1.69961822393816E-13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179.32848817523677</v>
      </c>
      <c r="CZ147" s="59">
        <f t="shared" si="150"/>
        <v>131.3292389103035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0.55875473478333249</v>
      </c>
      <c r="DH147" s="21">
        <f>EXP(-LN(2)/2)*DH146+(1-EXP(-LN(2)/2))/(LN(2)/2)*DB147*DE147*VLOOKUP('Données projet'!$B$13,Paramètres!$A$1:$I$89,3,0)*0.475*44/12</f>
        <v>3.6518492238828418E-17</v>
      </c>
      <c r="DI147" s="22">
        <f t="shared" si="123"/>
        <v>0.55875473478333249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7.2314102564102543</v>
      </c>
      <c r="DO147" s="12">
        <f>IF('Données projet'!$A$166&gt;35,DO146+DN147-DW146,IF(A147&lt;'Données projet'!$A$166,$DL$205^A147,IF(A147='Données projet'!$A$166,'Données projet'!$B$166,DO146+DN147-DW146)))</f>
        <v>410.16923076923007</v>
      </c>
      <c r="DP147" s="17">
        <f>DO147*VLOOKUP('Données projet'!$B$14,Paramètres!$A$1:$I$89,3,0)*VLOOKUP('Données projet'!$B$14,Paramètres!$A$1:$I$89,5,0)</f>
        <v>396.71567999999934</v>
      </c>
      <c r="DQ147" s="13">
        <f t="shared" si="151"/>
        <v>91.110500581060791</v>
      </c>
      <c r="DR147" s="20">
        <f t="shared" si="124"/>
        <v>849.63059784534641</v>
      </c>
      <c r="DS147" s="59">
        <f t="shared" si="125"/>
        <v>1142.9639311786798</v>
      </c>
      <c r="DT147" s="59">
        <f ca="1">AVERAGE(OFFSET($DS$3,0,0,'Données projet'!$E$14+1,1))-AVERAGE(OFFSET($H$3,0,0,'Données projet'!$E$14+1,1))</f>
        <v>340.4659523898373</v>
      </c>
      <c r="DU147" s="59">
        <f t="shared" si="152"/>
        <v>170.54530785680572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>
        <f>VLOOKUP(A147,'Données projet'!$A$191:$I$211,2,0)</f>
        <v>351.5641025641026</v>
      </c>
      <c r="EH147" s="12">
        <f>VLOOKUP(A147,'Données projet'!$A$191:$I$211,9,0)</f>
        <v>6.1378205128205137</v>
      </c>
      <c r="EI147" s="12">
        <f t="array" ref="EI147">INDEX(EH:EH,MIN(IF(ISNUMBER(EH147:EH343),ROW(EH147:EH343),"")))</f>
        <v>6.1378205128205137</v>
      </c>
      <c r="EJ147" s="12">
        <f>IF('Données projet'!$A$192&gt;35,EJ146+EI147-ER146,IF(A147&lt;'Données projet'!$A$192,$EG$205^A147,IF(A147='Données projet'!$A$192,'Données projet'!$B$192,EJ146+EI147-ER146)))</f>
        <v>351.56410256410192</v>
      </c>
      <c r="EK147" s="17">
        <f>EJ147*VLOOKUP('Données projet'!$B$15,Paramètres!$A$1:$I$89,3,0)*VLOOKUP('Données projet'!$B$15,Paramètres!$A$1:$I$89,5,0)</f>
        <v>340.03279999999938</v>
      </c>
      <c r="EL147" s="13">
        <f t="shared" si="153"/>
        <v>79.506723071416573</v>
      </c>
      <c r="EM147" s="20">
        <f t="shared" si="127"/>
        <v>730.69800268271604</v>
      </c>
      <c r="EN147" s="59">
        <f t="shared" si="128"/>
        <v>1024.0313360160494</v>
      </c>
      <c r="EO147" s="59">
        <f ca="1">AVERAGE(OFFSET($EN$3,0,0,'Données projet'!$E$15+1,1))-AVERAGE(OFFSET($H$3,0,0,'Données projet'!$E$15+1,1))</f>
        <v>262.20955982183017</v>
      </c>
      <c r="EP147" s="59">
        <f t="shared" si="154"/>
        <v>101.35842063036193</v>
      </c>
      <c r="EQ147" s="15">
        <f>IF(ISNA(VLOOKUP(A147,'Données projet'!$A$191:$I$211,3,0)),0,VLOOKUP(A147,'Données projet'!$A$191:$I$211,3,0))</f>
        <v>12</v>
      </c>
      <c r="ER147" s="15">
        <f>IF(ISNA(VLOOKUP(A147,'Données projet'!$A$191:$I$211,4,0)),0,VLOOKUP(A147,'Données projet'!$A$191:$I$211,4,0))</f>
        <v>42.224358974358978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5.6843418860808015E-14</v>
      </c>
      <c r="FF147" s="17">
        <f>FE147*VLOOKUP('Données projet'!$B$16,Paramètres!$A$1:$I$89,3,0)*VLOOKUP('Données projet'!$B$16,Paramètres!$A$1:$I$89,5,0)</f>
        <v>4.5224624045658861E-14</v>
      </c>
      <c r="FG147" s="13">
        <f t="shared" si="155"/>
        <v>7.4514601661523691E-13</v>
      </c>
      <c r="FH147" s="20">
        <f t="shared" si="130"/>
        <v>1.3765621991510601E-12</v>
      </c>
      <c r="FI147" s="59">
        <f t="shared" si="131"/>
        <v>293.33333333333468</v>
      </c>
      <c r="FJ147" s="59">
        <f ca="1">AVERAGE(OFFSET($FI$3,0,0,'Données projet'!$E$16+1,1))-AVERAGE(OFFSET($H$3,0,0,'Données projet'!$E$16+1,1))</f>
        <v>199.58763537752952</v>
      </c>
      <c r="FK147" s="59">
        <f t="shared" si="156"/>
        <v>242.62852778451929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0.43593532429520826</v>
      </c>
      <c r="FS147" s="21">
        <f>EXP(-LN(2)/2)*FS146+(1-EXP(-LN(2)/2))/(LN(2)/2)*FM147*FP147*VLOOKUP('Données projet'!$B$16,Paramètres!$A$1:$I$89,3,0)*0.475*44/12</f>
        <v>7.4673311931257452E-17</v>
      </c>
      <c r="FT147" s="22">
        <f t="shared" si="132"/>
        <v>0.43593532429520832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5.6843418860808015E-14</v>
      </c>
      <c r="GA147" s="17">
        <f>FZ147*VLOOKUP('Données projet'!$B$17,Paramètres!$A$1:$I$89,3,0)*VLOOKUP('Données projet'!$B$17,Paramètres!$A$1:$I$89,5,0)</f>
        <v>4.1677594708744434E-14</v>
      </c>
      <c r="GB147" s="13">
        <f t="shared" si="157"/>
        <v>6.9326303456159188E-13</v>
      </c>
      <c r="GC147" s="20">
        <f t="shared" si="133"/>
        <v>1.2800215959791691E-12</v>
      </c>
      <c r="GD147" s="59">
        <f t="shared" si="134"/>
        <v>293.33333333333462</v>
      </c>
      <c r="GE147" s="59">
        <f ca="1">AVERAGE(OFFSET($GD$3,0,0,'Données projet'!$E$17+1,1))-AVERAGE(OFFSET($H$3,0,0,'Données projet'!$E$17+1,1))</f>
        <v>178.12968684094687</v>
      </c>
      <c r="GF147" s="59">
        <f t="shared" si="158"/>
        <v>219.36004077210373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0.32594350366282487</v>
      </c>
      <c r="GN147" s="21">
        <f>EXP(-LN(2)/2)*GN146+(1-EXP(-LN(2)/2))/(LN(2)/2)*GH147*GK147*VLOOKUP('Données projet'!$B$17,Paramètres!$A$1:$I$89,3,0)*0.475*44/12</f>
        <v>6.8816581583707787E-17</v>
      </c>
      <c r="GO147" s="21">
        <f t="shared" si="135"/>
        <v>0.32594350366282493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5.6843418860808015E-14</v>
      </c>
      <c r="GV147" s="17">
        <f>GU147*VLOOKUP('Données projet'!$B$18,Paramètres!$A$1:$I$89,3,0)*VLOOKUP('Données projet'!$B$18,Paramètres!$A$1:$I$89,5,0)</f>
        <v>4.5224624045658861E-14</v>
      </c>
      <c r="GW147" s="13">
        <f t="shared" si="159"/>
        <v>7.4514601661523691E-13</v>
      </c>
      <c r="GX147" s="20">
        <f t="shared" si="136"/>
        <v>1.3765621991510601E-12</v>
      </c>
      <c r="GY147" s="59">
        <f t="shared" si="137"/>
        <v>293.33333333333468</v>
      </c>
      <c r="GZ147" s="59">
        <f ca="1">AVERAGE(OFFSET($GY$3,0,0,'Données projet'!$E$18+1,1))-AVERAGE(OFFSET($H$3,0,0,'Données projet'!$E$18+1,1))</f>
        <v>199.58763537752952</v>
      </c>
      <c r="HA147" s="59">
        <f t="shared" si="160"/>
        <v>242.62852778451929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0</v>
      </c>
      <c r="HH147" s="21">
        <f>EXP(-LN(2)/25)*HH146+(1-EXP(-LN(2)/25))/(LN(2)/25)*Calculateur!HC147*Calculateur!HE147*VLOOKUP('Données projet'!$B$18,Paramètres!$A$1:$I$89,3,0)*0.475*44/12</f>
        <v>0.43593532429520826</v>
      </c>
      <c r="HI147" s="21">
        <f>EXP(-LN(2)/2)*HI146+(1-EXP(-LN(2)/2))/(LN(2)/2)*HC147*HF147*VLOOKUP('Données projet'!$B$18,Paramètres!$A$1:$I$89,3,0)*0.475*44/12</f>
        <v>7.4673311931257452E-17</v>
      </c>
      <c r="HJ147" s="22">
        <f t="shared" si="138"/>
        <v>0.43593532429520832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7.2314102564102543</v>
      </c>
      <c r="N148" s="13">
        <f>IF('Données projet'!$A$36&gt;35,N147+M148-V147,IF(A148&lt;'Données projet'!$A$36,$K$205^A148,IF(A148='Données projet'!$A$36,'Données projet'!$B$36,N147+M148-V147)))</f>
        <v>417.40064102564031</v>
      </c>
      <c r="O148" s="13">
        <f>N148*VLOOKUP('Données projet'!$B$9,Paramètres!$A$1:$I$89,3,0)*VLOOKUP('Données projet'!$B$9,Paramètres!$A$1:$I$89,5,0)</f>
        <v>377.66409999999934</v>
      </c>
      <c r="P148" s="13">
        <f t="shared" si="141"/>
        <v>87.233372836107904</v>
      </c>
      <c r="Q148" s="20">
        <f t="shared" si="108"/>
        <v>809.69643185621999</v>
      </c>
      <c r="R148" s="59">
        <f t="shared" si="109"/>
        <v>1103.0297651895532</v>
      </c>
      <c r="S148" s="59">
        <f ca="1">AVERAGE(OFFSET($R$3,0,0,'Données projet'!$E$9+1,1))-AVERAGE(OFFSET($H$3,0,0,'Données projet'!$E$9+1,1))</f>
        <v>309.07357540707869</v>
      </c>
      <c r="T148" s="59">
        <f t="shared" si="142"/>
        <v>155.9593924683299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6.2499999999999947</v>
      </c>
      <c r="AI148" s="13">
        <f>IF('Données projet'!$A$62&gt;35,AI147+AH148-AQ147,IF(A148&lt;'Données projet'!$A$62,$AF$205^A148,IF(A148='Données projet'!$A$62,'Données projet'!$B$62,AI147+AH148-AQ147)))</f>
        <v>315.58974358974297</v>
      </c>
      <c r="AJ148" s="13">
        <f>AI148*VLOOKUP('Données projet'!$B$10,Paramètres!$A$1:$I$89,3,0)*VLOOKUP('Données projet'!$B$10,Paramètres!$A$1:$I$89,5,0)</f>
        <v>285.54559999999947</v>
      </c>
      <c r="AK148" s="13">
        <f t="shared" si="143"/>
        <v>68.13761253979591</v>
      </c>
      <c r="AL148" s="20">
        <f t="shared" si="112"/>
        <v>615.99826184014353</v>
      </c>
      <c r="AM148" s="59">
        <f t="shared" si="113"/>
        <v>909.3315951734769</v>
      </c>
      <c r="AN148" s="59">
        <f ca="1">AVERAGE(OFFSET($AM$3,0,0,'Données projet'!$E$10+1,1))-AVERAGE(OFFSET($H$3,0,0,'Données projet'!$E$10+1,1))</f>
        <v>234.30804102916278</v>
      </c>
      <c r="AO148" s="59">
        <f t="shared" si="144"/>
        <v>91.137993288782411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3.4106051316484809E-13</v>
      </c>
      <c r="BE148" s="13">
        <f>BD148*VLOOKUP('Données projet'!$B$11,Paramètres!$A$1:$I$89,3,0)*VLOOKUP('Données projet'!$B$11,Paramètres!$A$1:$I$89,5,0)</f>
        <v>1.5961632016114892E-13</v>
      </c>
      <c r="BF148" s="13">
        <f t="shared" si="145"/>
        <v>2.2708641912150958E-12</v>
      </c>
      <c r="BG148" s="20">
        <f t="shared" si="115"/>
        <v>4.2330868906469593E-12</v>
      </c>
      <c r="BH148" s="59">
        <f t="shared" si="116"/>
        <v>293.33333333333752</v>
      </c>
      <c r="BI148" s="59">
        <f ca="1">AVERAGE(OFFSET($BH$3,0,0,'Données projet'!$E$11+1,1))-AVERAGE(OFFSET($H$3,0,0,'Données projet'!$E$11+1,1))</f>
        <v>158.58786357608489</v>
      </c>
      <c r="BJ148" s="59">
        <f t="shared" si="146"/>
        <v>163.20074068819849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5.6843418860808015E-13</v>
      </c>
      <c r="BZ148" s="13">
        <f>BY148*VLOOKUP('Données projet'!$B$12,Paramètres!$A$1:$I$89,3,0)*VLOOKUP('Données projet'!$B$12,Paramètres!$A$1:$I$89,5,0)</f>
        <v>2.6602720026858149E-13</v>
      </c>
      <c r="CA148" s="13">
        <f t="shared" si="147"/>
        <v>3.5662905043956649E-12</v>
      </c>
      <c r="CB148" s="20">
        <f t="shared" si="118"/>
        <v>6.6746200022902298E-12</v>
      </c>
      <c r="CC148" s="59">
        <f t="shared" si="119"/>
        <v>293.33333333333997</v>
      </c>
      <c r="CD148" s="59">
        <f ca="1">AVERAGE(OFFSET($CC$3,0,0,'Données projet'!$E$12+1,1))-AVERAGE(OFFSET($H$3,0,0,'Données projet'!$E$12+1,1))</f>
        <v>123.2823358462245</v>
      </c>
      <c r="CE148" s="59">
        <f t="shared" si="148"/>
        <v>92.75115399786057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-2.8421709430404007E-13</v>
      </c>
      <c r="CU148" s="17">
        <f>CT148*VLOOKUP('Données projet'!$B$13,Paramètres!$A$1:$I$89,3,0)*VLOOKUP('Données projet'!$B$13,Paramètres!$A$1:$I$89,5,0)</f>
        <v>-1.69961822393816E-13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179.32848817523677</v>
      </c>
      <c r="CZ148" s="59">
        <f t="shared" si="150"/>
        <v>131.3292389103035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0.54347555717704776</v>
      </c>
      <c r="DH148" s="21">
        <f>EXP(-LN(2)/2)*DH147+(1-EXP(-LN(2)/2))/(LN(2)/2)*DB148*DE148*VLOOKUP('Données projet'!$B$13,Paramètres!$A$1:$I$89,3,0)*0.475*44/12</f>
        <v>2.5822473500783881E-17</v>
      </c>
      <c r="DI148" s="22">
        <f t="shared" si="123"/>
        <v>0.54347555717704776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7.2314102564102543</v>
      </c>
      <c r="DO148" s="12">
        <f>IF('Données projet'!$A$166&gt;35,DO147+DN148-DW147,IF(A148&lt;'Données projet'!$A$166,$DL$205^A148,IF(A148='Données projet'!$A$166,'Données projet'!$B$166,DO147+DN148-DW147)))</f>
        <v>417.40064102564031</v>
      </c>
      <c r="DP148" s="17">
        <f>DO148*VLOOKUP('Données projet'!$B$14,Paramètres!$A$1:$I$89,3,0)*VLOOKUP('Données projet'!$B$14,Paramètres!$A$1:$I$89,5,0)</f>
        <v>403.70989999999927</v>
      </c>
      <c r="DQ148" s="13">
        <f t="shared" si="151"/>
        <v>92.528385916533409</v>
      </c>
      <c r="DR148" s="20">
        <f t="shared" si="124"/>
        <v>864.28168130462757</v>
      </c>
      <c r="DS148" s="59">
        <f t="shared" si="125"/>
        <v>1157.6150146379609</v>
      </c>
      <c r="DT148" s="59">
        <f ca="1">AVERAGE(OFFSET($DS$3,0,0,'Données projet'!$E$14+1,1))-AVERAGE(OFFSET($H$3,0,0,'Données projet'!$E$14+1,1))</f>
        <v>340.4659523898373</v>
      </c>
      <c r="DU148" s="59">
        <f t="shared" si="152"/>
        <v>170.54530785680572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6.2499999999999947</v>
      </c>
      <c r="EJ148" s="12">
        <f>IF('Données projet'!$A$192&gt;35,EJ147+EI148-ER147,IF(A148&lt;'Données projet'!$A$192,$EG$205^A148,IF(A148='Données projet'!$A$192,'Données projet'!$B$192,EJ147+EI148-ER147)))</f>
        <v>315.58974358974297</v>
      </c>
      <c r="EK148" s="17">
        <f>EJ148*VLOOKUP('Données projet'!$B$15,Paramètres!$A$1:$I$89,3,0)*VLOOKUP('Données projet'!$B$15,Paramètres!$A$1:$I$89,5,0)</f>
        <v>305.23839999999939</v>
      </c>
      <c r="EL148" s="13">
        <f t="shared" si="153"/>
        <v>72.273524495705573</v>
      </c>
      <c r="EM148" s="20">
        <f t="shared" si="127"/>
        <v>657.4999351633528</v>
      </c>
      <c r="EN148" s="59">
        <f t="shared" si="128"/>
        <v>950.83326849668606</v>
      </c>
      <c r="EO148" s="59">
        <f ca="1">AVERAGE(OFFSET($EN$3,0,0,'Données projet'!$E$15+1,1))-AVERAGE(OFFSET($H$3,0,0,'Données projet'!$E$15+1,1))</f>
        <v>262.20955982183017</v>
      </c>
      <c r="EP148" s="59">
        <f t="shared" si="154"/>
        <v>101.35842063036193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5.6843418860808015E-14</v>
      </c>
      <c r="FF148" s="17">
        <f>FE148*VLOOKUP('Données projet'!$B$16,Paramètres!$A$1:$I$89,3,0)*VLOOKUP('Données projet'!$B$16,Paramètres!$A$1:$I$89,5,0)</f>
        <v>4.5224624045658861E-14</v>
      </c>
      <c r="FG148" s="13">
        <f t="shared" si="155"/>
        <v>7.4514601661523691E-13</v>
      </c>
      <c r="FH148" s="20">
        <f t="shared" si="130"/>
        <v>1.3765621991510601E-12</v>
      </c>
      <c r="FI148" s="59">
        <f t="shared" si="131"/>
        <v>293.33333333333468</v>
      </c>
      <c r="FJ148" s="59">
        <f ca="1">AVERAGE(OFFSET($FI$3,0,0,'Données projet'!$E$16+1,1))-AVERAGE(OFFSET($H$3,0,0,'Données projet'!$E$16+1,1))</f>
        <v>199.58763537752952</v>
      </c>
      <c r="FK148" s="59">
        <f t="shared" si="156"/>
        <v>242.62852778451929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0.42401464992751342</v>
      </c>
      <c r="FS148" s="21">
        <f>EXP(-LN(2)/2)*FS147+(1-EXP(-LN(2)/2))/(LN(2)/2)*FM148*FP148*VLOOKUP('Données projet'!$B$16,Paramètres!$A$1:$I$89,3,0)*0.475*44/12</f>
        <v>5.2802005240250472E-17</v>
      </c>
      <c r="FT148" s="22">
        <f t="shared" si="132"/>
        <v>0.42401464992751348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5.6843418860808015E-14</v>
      </c>
      <c r="GA148" s="17">
        <f>FZ148*VLOOKUP('Données projet'!$B$17,Paramètres!$A$1:$I$89,3,0)*VLOOKUP('Données projet'!$B$17,Paramètres!$A$1:$I$89,5,0)</f>
        <v>4.1677594708744434E-14</v>
      </c>
      <c r="GB148" s="13">
        <f t="shared" si="157"/>
        <v>6.9326303456159188E-13</v>
      </c>
      <c r="GC148" s="20">
        <f t="shared" si="133"/>
        <v>1.2800215959791691E-12</v>
      </c>
      <c r="GD148" s="59">
        <f t="shared" si="134"/>
        <v>293.33333333333462</v>
      </c>
      <c r="GE148" s="59">
        <f ca="1">AVERAGE(OFFSET($GD$3,0,0,'Données projet'!$E$17+1,1))-AVERAGE(OFFSET($H$3,0,0,'Données projet'!$E$17+1,1))</f>
        <v>178.12968684094687</v>
      </c>
      <c r="GF148" s="59">
        <f t="shared" si="158"/>
        <v>219.36004077210373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0.317030561414541</v>
      </c>
      <c r="GN148" s="21">
        <f>EXP(-LN(2)/2)*GN147+(1-EXP(-LN(2)/2))/(LN(2)/2)*GH148*GK148*VLOOKUP('Données projet'!$B$17,Paramètres!$A$1:$I$89,3,0)*0.475*44/12</f>
        <v>4.8660671495917059E-17</v>
      </c>
      <c r="GO148" s="21">
        <f t="shared" si="135"/>
        <v>0.31703056141454106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5.6843418860808015E-14</v>
      </c>
      <c r="GV148" s="17">
        <f>GU148*VLOOKUP('Données projet'!$B$18,Paramètres!$A$1:$I$89,3,0)*VLOOKUP('Données projet'!$B$18,Paramètres!$A$1:$I$89,5,0)</f>
        <v>4.5224624045658861E-14</v>
      </c>
      <c r="GW148" s="13">
        <f t="shared" si="159"/>
        <v>7.4514601661523691E-13</v>
      </c>
      <c r="GX148" s="20">
        <f t="shared" si="136"/>
        <v>1.3765621991510601E-12</v>
      </c>
      <c r="GY148" s="59">
        <f t="shared" si="137"/>
        <v>293.33333333333468</v>
      </c>
      <c r="GZ148" s="59">
        <f ca="1">AVERAGE(OFFSET($GY$3,0,0,'Données projet'!$E$18+1,1))-AVERAGE(OFFSET($H$3,0,0,'Données projet'!$E$18+1,1))</f>
        <v>199.58763537752952</v>
      </c>
      <c r="HA148" s="59">
        <f t="shared" si="160"/>
        <v>242.62852778451929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0</v>
      </c>
      <c r="HH148" s="21">
        <f>EXP(-LN(2)/25)*HH147+(1-EXP(-LN(2)/25))/(LN(2)/25)*Calculateur!HC148*Calculateur!HE148*VLOOKUP('Données projet'!$B$18,Paramètres!$A$1:$I$89,3,0)*0.475*44/12</f>
        <v>0.42401464992751342</v>
      </c>
      <c r="HI148" s="21">
        <f>EXP(-LN(2)/2)*HI147+(1-EXP(-LN(2)/2))/(LN(2)/2)*HC148*HF148*VLOOKUP('Données projet'!$B$18,Paramètres!$A$1:$I$89,3,0)*0.475*44/12</f>
        <v>5.2802005240250472E-17</v>
      </c>
      <c r="HJ148" s="22">
        <f t="shared" si="138"/>
        <v>0.42401464992751348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7.2314102564102543</v>
      </c>
      <c r="N149" s="13">
        <f>IF('Données projet'!$A$36&gt;35,N148+M149-V148,IF(A149&lt;'Données projet'!$A$36,$K$205^A149,IF(A149='Données projet'!$A$36,'Données projet'!$B$36,N148+M149-V148)))</f>
        <v>424.63205128205055</v>
      </c>
      <c r="O149" s="13">
        <f>N149*VLOOKUP('Données projet'!$B$9,Paramètres!$A$1:$I$89,3,0)*VLOOKUP('Données projet'!$B$9,Paramètres!$A$1:$I$89,5,0)</f>
        <v>384.20707999999934</v>
      </c>
      <c r="P149" s="13">
        <f t="shared" si="141"/>
        <v>88.567425388857529</v>
      </c>
      <c r="Q149" s="20">
        <f t="shared" si="108"/>
        <v>823.41559688559244</v>
      </c>
      <c r="R149" s="59">
        <f t="shared" si="109"/>
        <v>1116.7489302189258</v>
      </c>
      <c r="S149" s="59">
        <f ca="1">AVERAGE(OFFSET($R$3,0,0,'Données projet'!$E$9+1,1))-AVERAGE(OFFSET($H$3,0,0,'Données projet'!$E$9+1,1))</f>
        <v>309.07357540707869</v>
      </c>
      <c r="T149" s="59">
        <f t="shared" si="142"/>
        <v>155.9593924683299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6.2499999999999947</v>
      </c>
      <c r="AI149" s="13">
        <f>IF('Données projet'!$A$62&gt;35,AI148+AH149-AQ148,IF(A149&lt;'Données projet'!$A$62,$AF$205^A149,IF(A149='Données projet'!$A$62,'Données projet'!$B$62,AI148+AH149-AQ148)))</f>
        <v>321.83974358974297</v>
      </c>
      <c r="AJ149" s="13">
        <f>AI149*VLOOKUP('Données projet'!$B$10,Paramètres!$A$1:$I$89,3,0)*VLOOKUP('Données projet'!$B$10,Paramètres!$A$1:$I$89,5,0)</f>
        <v>291.20059999999944</v>
      </c>
      <c r="AK149" s="13">
        <f t="shared" si="143"/>
        <v>69.32858728743193</v>
      </c>
      <c r="AL149" s="20">
        <f t="shared" si="112"/>
        <v>627.9216678589429</v>
      </c>
      <c r="AM149" s="59">
        <f t="shared" si="113"/>
        <v>921.25500119227627</v>
      </c>
      <c r="AN149" s="59">
        <f ca="1">AVERAGE(OFFSET($AM$3,0,0,'Données projet'!$E$10+1,1))-AVERAGE(OFFSET($H$3,0,0,'Données projet'!$E$10+1,1))</f>
        <v>234.30804102916278</v>
      </c>
      <c r="AO149" s="59">
        <f t="shared" si="144"/>
        <v>91.137993288782411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3.4106051316484809E-13</v>
      </c>
      <c r="BE149" s="13">
        <f>BD149*VLOOKUP('Données projet'!$B$11,Paramètres!$A$1:$I$89,3,0)*VLOOKUP('Données projet'!$B$11,Paramètres!$A$1:$I$89,5,0)</f>
        <v>1.5961632016114892E-13</v>
      </c>
      <c r="BF149" s="13">
        <f t="shared" si="145"/>
        <v>2.2708641912150958E-12</v>
      </c>
      <c r="BG149" s="20">
        <f t="shared" si="115"/>
        <v>4.2330868906469593E-12</v>
      </c>
      <c r="BH149" s="59">
        <f t="shared" si="116"/>
        <v>293.33333333333752</v>
      </c>
      <c r="BI149" s="59">
        <f ca="1">AVERAGE(OFFSET($BH$3,0,0,'Données projet'!$E$11+1,1))-AVERAGE(OFFSET($H$3,0,0,'Données projet'!$E$11+1,1))</f>
        <v>158.58786357608489</v>
      </c>
      <c r="BJ149" s="59">
        <f t="shared" si="146"/>
        <v>163.20074068819849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5.6843418860808015E-13</v>
      </c>
      <c r="BZ149" s="13">
        <f>BY149*VLOOKUP('Données projet'!$B$12,Paramètres!$A$1:$I$89,3,0)*VLOOKUP('Données projet'!$B$12,Paramètres!$A$1:$I$89,5,0)</f>
        <v>2.6602720026858149E-13</v>
      </c>
      <c r="CA149" s="13">
        <f t="shared" si="147"/>
        <v>3.5662905043956649E-12</v>
      </c>
      <c r="CB149" s="20">
        <f t="shared" si="118"/>
        <v>6.6746200022902298E-12</v>
      </c>
      <c r="CC149" s="59">
        <f t="shared" si="119"/>
        <v>293.33333333333997</v>
      </c>
      <c r="CD149" s="59">
        <f ca="1">AVERAGE(OFFSET($CC$3,0,0,'Données projet'!$E$12+1,1))-AVERAGE(OFFSET($H$3,0,0,'Données projet'!$E$12+1,1))</f>
        <v>123.2823358462245</v>
      </c>
      <c r="CE149" s="59">
        <f t="shared" si="148"/>
        <v>92.75115399786057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-2.8421709430404007E-13</v>
      </c>
      <c r="CU149" s="17">
        <f>CT149*VLOOKUP('Données projet'!$B$13,Paramètres!$A$1:$I$89,3,0)*VLOOKUP('Données projet'!$B$13,Paramètres!$A$1:$I$89,5,0)</f>
        <v>-1.69961822393816E-13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179.32848817523677</v>
      </c>
      <c r="CZ149" s="59">
        <f t="shared" si="150"/>
        <v>131.3292389103035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0.528614189485904</v>
      </c>
      <c r="DH149" s="21">
        <f>EXP(-LN(2)/2)*DH148+(1-EXP(-LN(2)/2))/(LN(2)/2)*DB149*DE149*VLOOKUP('Données projet'!$B$13,Paramètres!$A$1:$I$89,3,0)*0.475*44/12</f>
        <v>1.8259246119414209E-17</v>
      </c>
      <c r="DI149" s="22">
        <f t="shared" si="123"/>
        <v>0.528614189485904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7.2314102564102543</v>
      </c>
      <c r="DO149" s="12">
        <f>IF('Données projet'!$A$166&gt;35,DO148+DN149-DW148,IF(A149&lt;'Données projet'!$A$166,$DL$205^A149,IF(A149='Données projet'!$A$166,'Données projet'!$B$166,DO148+DN149-DW148)))</f>
        <v>424.63205128205055</v>
      </c>
      <c r="DP149" s="17">
        <f>DO149*VLOOKUP('Données projet'!$B$14,Paramètres!$A$1:$I$89,3,0)*VLOOKUP('Données projet'!$B$14,Paramètres!$A$1:$I$89,5,0)</f>
        <v>410.70411999999931</v>
      </c>
      <c r="DQ149" s="13">
        <f t="shared" si="151"/>
        <v>93.943414654051765</v>
      </c>
      <c r="DR149" s="20">
        <f t="shared" si="124"/>
        <v>878.92778952247227</v>
      </c>
      <c r="DS149" s="59">
        <f t="shared" si="125"/>
        <v>1172.2611228558055</v>
      </c>
      <c r="DT149" s="59">
        <f ca="1">AVERAGE(OFFSET($DS$3,0,0,'Données projet'!$E$14+1,1))-AVERAGE(OFFSET($H$3,0,0,'Données projet'!$E$14+1,1))</f>
        <v>340.4659523898373</v>
      </c>
      <c r="DU149" s="59">
        <f t="shared" si="152"/>
        <v>170.54530785680572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6.2499999999999947</v>
      </c>
      <c r="EJ149" s="12">
        <f>IF('Données projet'!$A$192&gt;35,EJ148+EI149-ER148,IF(A149&lt;'Données projet'!$A$192,$EG$205^A149,IF(A149='Données projet'!$A$192,'Données projet'!$B$192,EJ148+EI149-ER148)))</f>
        <v>321.83974358974297</v>
      </c>
      <c r="EK149" s="17">
        <f>EJ149*VLOOKUP('Données projet'!$B$15,Paramètres!$A$1:$I$89,3,0)*VLOOKUP('Données projet'!$B$15,Paramètres!$A$1:$I$89,5,0)</f>
        <v>311.2833999999994</v>
      </c>
      <c r="EL149" s="13">
        <f t="shared" si="153"/>
        <v>73.53679069169624</v>
      </c>
      <c r="EM149" s="20">
        <f t="shared" si="127"/>
        <v>670.22849878803652</v>
      </c>
      <c r="EN149" s="59">
        <f t="shared" si="128"/>
        <v>963.56183212136989</v>
      </c>
      <c r="EO149" s="59">
        <f ca="1">AVERAGE(OFFSET($EN$3,0,0,'Données projet'!$E$15+1,1))-AVERAGE(OFFSET($H$3,0,0,'Données projet'!$E$15+1,1))</f>
        <v>262.20955982183017</v>
      </c>
      <c r="EP149" s="59">
        <f t="shared" si="154"/>
        <v>101.35842063036193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5.6843418860808015E-14</v>
      </c>
      <c r="FF149" s="17">
        <f>FE149*VLOOKUP('Données projet'!$B$16,Paramètres!$A$1:$I$89,3,0)*VLOOKUP('Données projet'!$B$16,Paramètres!$A$1:$I$89,5,0)</f>
        <v>4.5224624045658861E-14</v>
      </c>
      <c r="FG149" s="13">
        <f t="shared" si="155"/>
        <v>7.4514601661523691E-13</v>
      </c>
      <c r="FH149" s="20">
        <f t="shared" si="130"/>
        <v>1.3765621991510601E-12</v>
      </c>
      <c r="FI149" s="59">
        <f t="shared" si="131"/>
        <v>293.33333333333468</v>
      </c>
      <c r="FJ149" s="59">
        <f ca="1">AVERAGE(OFFSET($FI$3,0,0,'Données projet'!$E$16+1,1))-AVERAGE(OFFSET($H$3,0,0,'Données projet'!$E$16+1,1))</f>
        <v>199.58763537752952</v>
      </c>
      <c r="FK149" s="59">
        <f t="shared" si="156"/>
        <v>242.62852778451929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0.41241994702728424</v>
      </c>
      <c r="FS149" s="21">
        <f>EXP(-LN(2)/2)*FS148+(1-EXP(-LN(2)/2))/(LN(2)/2)*FM149*FP149*VLOOKUP('Données projet'!$B$16,Paramètres!$A$1:$I$89,3,0)*0.475*44/12</f>
        <v>3.7336655965628726E-17</v>
      </c>
      <c r="FT149" s="22">
        <f t="shared" si="132"/>
        <v>0.41241994702728429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5.6843418860808015E-14</v>
      </c>
      <c r="GA149" s="17">
        <f>FZ149*VLOOKUP('Données projet'!$B$17,Paramètres!$A$1:$I$89,3,0)*VLOOKUP('Données projet'!$B$17,Paramètres!$A$1:$I$89,5,0)</f>
        <v>4.1677594708744434E-14</v>
      </c>
      <c r="GB149" s="13">
        <f t="shared" si="157"/>
        <v>6.9326303456159188E-13</v>
      </c>
      <c r="GC149" s="20">
        <f t="shared" si="133"/>
        <v>1.2800215959791691E-12</v>
      </c>
      <c r="GD149" s="59">
        <f t="shared" si="134"/>
        <v>293.33333333333462</v>
      </c>
      <c r="GE149" s="59">
        <f ca="1">AVERAGE(OFFSET($GD$3,0,0,'Données projet'!$E$17+1,1))-AVERAGE(OFFSET($H$3,0,0,'Données projet'!$E$17+1,1))</f>
        <v>178.12968684094687</v>
      </c>
      <c r="GF149" s="59">
        <f t="shared" si="158"/>
        <v>219.36004077210373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0.30836134404074772</v>
      </c>
      <c r="GN149" s="21">
        <f>EXP(-LN(2)/2)*GN148+(1-EXP(-LN(2)/2))/(LN(2)/2)*GH149*GK149*VLOOKUP('Données projet'!$B$17,Paramètres!$A$1:$I$89,3,0)*0.475*44/12</f>
        <v>3.4408290791853894E-17</v>
      </c>
      <c r="GO149" s="21">
        <f t="shared" si="135"/>
        <v>0.30836134404074778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5.6843418860808015E-14</v>
      </c>
      <c r="GV149" s="17">
        <f>GU149*VLOOKUP('Données projet'!$B$18,Paramètres!$A$1:$I$89,3,0)*VLOOKUP('Données projet'!$B$18,Paramètres!$A$1:$I$89,5,0)</f>
        <v>4.5224624045658861E-14</v>
      </c>
      <c r="GW149" s="13">
        <f t="shared" si="159"/>
        <v>7.4514601661523691E-13</v>
      </c>
      <c r="GX149" s="20">
        <f t="shared" si="136"/>
        <v>1.3765621991510601E-12</v>
      </c>
      <c r="GY149" s="59">
        <f t="shared" si="137"/>
        <v>293.33333333333468</v>
      </c>
      <c r="GZ149" s="59">
        <f ca="1">AVERAGE(OFFSET($GY$3,0,0,'Données projet'!$E$18+1,1))-AVERAGE(OFFSET($H$3,0,0,'Données projet'!$E$18+1,1))</f>
        <v>199.58763537752952</v>
      </c>
      <c r="HA149" s="59">
        <f t="shared" si="160"/>
        <v>242.62852778451929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0</v>
      </c>
      <c r="HH149" s="21">
        <f>EXP(-LN(2)/25)*HH148+(1-EXP(-LN(2)/25))/(LN(2)/25)*Calculateur!HC149*Calculateur!HE149*VLOOKUP('Données projet'!$B$18,Paramètres!$A$1:$I$89,3,0)*0.475*44/12</f>
        <v>0.41241994702728424</v>
      </c>
      <c r="HI149" s="21">
        <f>EXP(-LN(2)/2)*HI148+(1-EXP(-LN(2)/2))/(LN(2)/2)*HC149*HF149*VLOOKUP('Données projet'!$B$18,Paramètres!$A$1:$I$89,3,0)*0.475*44/12</f>
        <v>3.7336655965628726E-17</v>
      </c>
      <c r="HJ149" s="22">
        <f t="shared" si="138"/>
        <v>0.41241994702728429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7.2314102564102543</v>
      </c>
      <c r="N150" s="13">
        <f>IF('Données projet'!$A$36&gt;35,N149+M150-V149,IF(A150&lt;'Données projet'!$A$36,$K$205^A150,IF(A150='Données projet'!$A$36,'Données projet'!$B$36,N149+M150-V149)))</f>
        <v>431.8634615384608</v>
      </c>
      <c r="O150" s="13">
        <f>N150*VLOOKUP('Données projet'!$B$9,Paramètres!$A$1:$I$89,3,0)*VLOOKUP('Données projet'!$B$9,Paramètres!$A$1:$I$89,5,0)</f>
        <v>390.75005999999934</v>
      </c>
      <c r="P150" s="13">
        <f t="shared" si="141"/>
        <v>89.898835971083955</v>
      </c>
      <c r="Q150" s="20">
        <f t="shared" si="108"/>
        <v>837.13016048297004</v>
      </c>
      <c r="R150" s="59">
        <f t="shared" si="109"/>
        <v>1130.4634938163033</v>
      </c>
      <c r="S150" s="59">
        <f ca="1">AVERAGE(OFFSET($R$3,0,0,'Données projet'!$E$9+1,1))-AVERAGE(OFFSET($H$3,0,0,'Données projet'!$E$9+1,1))</f>
        <v>309.07357540707869</v>
      </c>
      <c r="T150" s="59">
        <f t="shared" si="142"/>
        <v>155.9593924683299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6.2499999999999947</v>
      </c>
      <c r="AI150" s="13">
        <f>IF('Données projet'!$A$62&gt;35,AI149+AH150-AQ149,IF(A150&lt;'Données projet'!$A$62,$AF$205^A150,IF(A150='Données projet'!$A$62,'Données projet'!$B$62,AI149+AH150-AQ149)))</f>
        <v>328.08974358974297</v>
      </c>
      <c r="AJ150" s="13">
        <f>AI150*VLOOKUP('Données projet'!$B$10,Paramètres!$A$1:$I$89,3,0)*VLOOKUP('Données projet'!$B$10,Paramètres!$A$1:$I$89,5,0)</f>
        <v>296.85559999999947</v>
      </c>
      <c r="AK150" s="13">
        <f t="shared" si="143"/>
        <v>70.516872767727662</v>
      </c>
      <c r="AL150" s="20">
        <f t="shared" si="112"/>
        <v>639.84039007045806</v>
      </c>
      <c r="AM150" s="59">
        <f t="shared" si="113"/>
        <v>933.17372340379143</v>
      </c>
      <c r="AN150" s="59">
        <f ca="1">AVERAGE(OFFSET($AM$3,0,0,'Données projet'!$E$10+1,1))-AVERAGE(OFFSET($H$3,0,0,'Données projet'!$E$10+1,1))</f>
        <v>234.30804102916278</v>
      </c>
      <c r="AO150" s="59">
        <f t="shared" si="144"/>
        <v>91.137993288782411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3.4106051316484809E-13</v>
      </c>
      <c r="BE150" s="13">
        <f>BD150*VLOOKUP('Données projet'!$B$11,Paramètres!$A$1:$I$89,3,0)*VLOOKUP('Données projet'!$B$11,Paramètres!$A$1:$I$89,5,0)</f>
        <v>1.5961632016114892E-13</v>
      </c>
      <c r="BF150" s="13">
        <f t="shared" si="145"/>
        <v>2.2708641912150958E-12</v>
      </c>
      <c r="BG150" s="20">
        <f t="shared" si="115"/>
        <v>4.2330868906469593E-12</v>
      </c>
      <c r="BH150" s="59">
        <f t="shared" si="116"/>
        <v>293.33333333333752</v>
      </c>
      <c r="BI150" s="59">
        <f ca="1">AVERAGE(OFFSET($BH$3,0,0,'Données projet'!$E$11+1,1))-AVERAGE(OFFSET($H$3,0,0,'Données projet'!$E$11+1,1))</f>
        <v>158.58786357608489</v>
      </c>
      <c r="BJ150" s="59">
        <f t="shared" si="146"/>
        <v>163.20074068819849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5.6843418860808015E-13</v>
      </c>
      <c r="BZ150" s="13">
        <f>BY150*VLOOKUP('Données projet'!$B$12,Paramètres!$A$1:$I$89,3,0)*VLOOKUP('Données projet'!$B$12,Paramètres!$A$1:$I$89,5,0)</f>
        <v>2.6602720026858149E-13</v>
      </c>
      <c r="CA150" s="13">
        <f t="shared" si="147"/>
        <v>3.5662905043956649E-12</v>
      </c>
      <c r="CB150" s="20">
        <f t="shared" si="118"/>
        <v>6.6746200022902298E-12</v>
      </c>
      <c r="CC150" s="59">
        <f t="shared" si="119"/>
        <v>293.33333333333997</v>
      </c>
      <c r="CD150" s="59">
        <f ca="1">AVERAGE(OFFSET($CC$3,0,0,'Données projet'!$E$12+1,1))-AVERAGE(OFFSET($H$3,0,0,'Données projet'!$E$12+1,1))</f>
        <v>123.2823358462245</v>
      </c>
      <c r="CE150" s="59">
        <f t="shared" si="148"/>
        <v>92.75115399786057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-2.8421709430404007E-13</v>
      </c>
      <c r="CU150" s="17">
        <f>CT150*VLOOKUP('Données projet'!$B$13,Paramètres!$A$1:$I$89,3,0)*VLOOKUP('Données projet'!$B$13,Paramètres!$A$1:$I$89,5,0)</f>
        <v>-1.69961822393816E-13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179.32848817523677</v>
      </c>
      <c r="CZ150" s="59">
        <f t="shared" si="150"/>
        <v>131.3292389103035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0.51415920667579984</v>
      </c>
      <c r="DH150" s="21">
        <f>EXP(-LN(2)/2)*DH149+(1-EXP(-LN(2)/2))/(LN(2)/2)*DB150*DE150*VLOOKUP('Données projet'!$B$13,Paramètres!$A$1:$I$89,3,0)*0.475*44/12</f>
        <v>1.291123675039194E-17</v>
      </c>
      <c r="DI150" s="22">
        <f t="shared" si="123"/>
        <v>0.51415920667579984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7.2314102564102543</v>
      </c>
      <c r="DO150" s="12">
        <f>IF('Données projet'!$A$166&gt;35,DO149+DN150-DW149,IF(A150&lt;'Données projet'!$A$166,$DL$205^A150,IF(A150='Données projet'!$A$166,'Données projet'!$B$166,DO149+DN150-DW149)))</f>
        <v>431.8634615384608</v>
      </c>
      <c r="DP150" s="17">
        <f>DO150*VLOOKUP('Données projet'!$B$14,Paramètres!$A$1:$I$89,3,0)*VLOOKUP('Données projet'!$B$14,Paramètres!$A$1:$I$89,5,0)</f>
        <v>417.69833999999923</v>
      </c>
      <c r="DQ150" s="13">
        <f t="shared" si="151"/>
        <v>95.355641055030858</v>
      </c>
      <c r="DR150" s="20">
        <f t="shared" si="124"/>
        <v>893.56901700417745</v>
      </c>
      <c r="DS150" s="59">
        <f t="shared" si="125"/>
        <v>1186.9023503375108</v>
      </c>
      <c r="DT150" s="59">
        <f ca="1">AVERAGE(OFFSET($DS$3,0,0,'Données projet'!$E$14+1,1))-AVERAGE(OFFSET($H$3,0,0,'Données projet'!$E$14+1,1))</f>
        <v>340.4659523898373</v>
      </c>
      <c r="DU150" s="59">
        <f t="shared" si="152"/>
        <v>170.54530785680572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6.2499999999999947</v>
      </c>
      <c r="EJ150" s="12">
        <f>IF('Données projet'!$A$192&gt;35,EJ149+EI150-ER149,IF(A150&lt;'Données projet'!$A$192,$EG$205^A150,IF(A150='Données projet'!$A$192,'Données projet'!$B$192,EJ149+EI150-ER149)))</f>
        <v>328.08974358974297</v>
      </c>
      <c r="EK150" s="17">
        <f>EJ150*VLOOKUP('Données projet'!$B$15,Paramètres!$A$1:$I$89,3,0)*VLOOKUP('Données projet'!$B$15,Paramètres!$A$1:$I$89,5,0)</f>
        <v>317.32839999999942</v>
      </c>
      <c r="EL150" s="13">
        <f t="shared" si="153"/>
        <v>74.797204383442207</v>
      </c>
      <c r="EM150" s="20">
        <f t="shared" si="127"/>
        <v>682.95209430116074</v>
      </c>
      <c r="EN150" s="59">
        <f t="shared" si="128"/>
        <v>976.285427634494</v>
      </c>
      <c r="EO150" s="59">
        <f ca="1">AVERAGE(OFFSET($EN$3,0,0,'Données projet'!$E$15+1,1))-AVERAGE(OFFSET($H$3,0,0,'Données projet'!$E$15+1,1))</f>
        <v>262.20955982183017</v>
      </c>
      <c r="EP150" s="59">
        <f t="shared" si="154"/>
        <v>101.35842063036193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5.6843418860808015E-14</v>
      </c>
      <c r="FF150" s="17">
        <f>FE150*VLOOKUP('Données projet'!$B$16,Paramètres!$A$1:$I$89,3,0)*VLOOKUP('Données projet'!$B$16,Paramètres!$A$1:$I$89,5,0)</f>
        <v>4.5224624045658861E-14</v>
      </c>
      <c r="FG150" s="13">
        <f t="shared" si="155"/>
        <v>7.4514601661523691E-13</v>
      </c>
      <c r="FH150" s="20">
        <f t="shared" si="130"/>
        <v>1.3765621991510601E-12</v>
      </c>
      <c r="FI150" s="59">
        <f t="shared" si="131"/>
        <v>293.33333333333468</v>
      </c>
      <c r="FJ150" s="59">
        <f ca="1">AVERAGE(OFFSET($FI$3,0,0,'Données projet'!$E$16+1,1))-AVERAGE(OFFSET($H$3,0,0,'Données projet'!$E$16+1,1))</f>
        <v>199.58763537752952</v>
      </c>
      <c r="FK150" s="59">
        <f t="shared" si="156"/>
        <v>242.62852778451929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0.40114230188760075</v>
      </c>
      <c r="FS150" s="21">
        <f>EXP(-LN(2)/2)*FS149+(1-EXP(-LN(2)/2))/(LN(2)/2)*FM150*FP150*VLOOKUP('Données projet'!$B$16,Paramètres!$A$1:$I$89,3,0)*0.475*44/12</f>
        <v>2.6401002620125236E-17</v>
      </c>
      <c r="FT150" s="22">
        <f t="shared" si="132"/>
        <v>0.40114230188760075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5.6843418860808015E-14</v>
      </c>
      <c r="GA150" s="17">
        <f>FZ150*VLOOKUP('Données projet'!$B$17,Paramètres!$A$1:$I$89,3,0)*VLOOKUP('Données projet'!$B$17,Paramètres!$A$1:$I$89,5,0)</f>
        <v>4.1677594708744434E-14</v>
      </c>
      <c r="GB150" s="13">
        <f t="shared" si="157"/>
        <v>6.9326303456159188E-13</v>
      </c>
      <c r="GC150" s="20">
        <f t="shared" si="133"/>
        <v>1.2800215959791691E-12</v>
      </c>
      <c r="GD150" s="59">
        <f t="shared" si="134"/>
        <v>293.33333333333462</v>
      </c>
      <c r="GE150" s="59">
        <f ca="1">AVERAGE(OFFSET($GD$3,0,0,'Données projet'!$E$17+1,1))-AVERAGE(OFFSET($H$3,0,0,'Données projet'!$E$17+1,1))</f>
        <v>178.12968684094687</v>
      </c>
      <c r="GF150" s="59">
        <f t="shared" si="158"/>
        <v>219.36004077210373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0.29992918687193515</v>
      </c>
      <c r="GN150" s="21">
        <f>EXP(-LN(2)/2)*GN149+(1-EXP(-LN(2)/2))/(LN(2)/2)*GH150*GK150*VLOOKUP('Données projet'!$B$17,Paramètres!$A$1:$I$89,3,0)*0.475*44/12</f>
        <v>2.4330335747958529E-17</v>
      </c>
      <c r="GO150" s="21">
        <f t="shared" si="135"/>
        <v>0.29992918687193515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5.6843418860808015E-14</v>
      </c>
      <c r="GV150" s="17">
        <f>GU150*VLOOKUP('Données projet'!$B$18,Paramètres!$A$1:$I$89,3,0)*VLOOKUP('Données projet'!$B$18,Paramètres!$A$1:$I$89,5,0)</f>
        <v>4.5224624045658861E-14</v>
      </c>
      <c r="GW150" s="13">
        <f t="shared" si="159"/>
        <v>7.4514601661523691E-13</v>
      </c>
      <c r="GX150" s="20">
        <f t="shared" si="136"/>
        <v>1.3765621991510601E-12</v>
      </c>
      <c r="GY150" s="59">
        <f t="shared" si="137"/>
        <v>293.33333333333468</v>
      </c>
      <c r="GZ150" s="59">
        <f ca="1">AVERAGE(OFFSET($GY$3,0,0,'Données projet'!$E$18+1,1))-AVERAGE(OFFSET($H$3,0,0,'Données projet'!$E$18+1,1))</f>
        <v>199.58763537752952</v>
      </c>
      <c r="HA150" s="59">
        <f t="shared" si="160"/>
        <v>242.62852778451929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0</v>
      </c>
      <c r="HH150" s="21">
        <f>EXP(-LN(2)/25)*HH149+(1-EXP(-LN(2)/25))/(LN(2)/25)*Calculateur!HC150*Calculateur!HE150*VLOOKUP('Données projet'!$B$18,Paramètres!$A$1:$I$89,3,0)*0.475*44/12</f>
        <v>0.40114230188760075</v>
      </c>
      <c r="HI150" s="21">
        <f>EXP(-LN(2)/2)*HI149+(1-EXP(-LN(2)/2))/(LN(2)/2)*HC150*HF150*VLOOKUP('Données projet'!$B$18,Paramètres!$A$1:$I$89,3,0)*0.475*44/12</f>
        <v>2.6401002620125236E-17</v>
      </c>
      <c r="HJ150" s="22">
        <f t="shared" si="138"/>
        <v>0.40114230188760075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7.2314102564102543</v>
      </c>
      <c r="N151" s="13">
        <f>IF('Données projet'!$A$36&gt;35,N150+M151-V150,IF(A151&lt;'Données projet'!$A$36,$K$205^A151,IF(A151='Données projet'!$A$36,'Données projet'!$B$36,N150+M151-V150)))</f>
        <v>439.09487179487104</v>
      </c>
      <c r="O151" s="13">
        <f>N151*VLOOKUP('Données projet'!$B$9,Paramètres!$A$1:$I$89,3,0)*VLOOKUP('Données projet'!$B$9,Paramètres!$A$1:$I$89,5,0)</f>
        <v>397.29303999999928</v>
      </c>
      <c r="P151" s="13">
        <f t="shared" si="141"/>
        <v>91.227653927663823</v>
      </c>
      <c r="Q151" s="20">
        <f t="shared" si="108"/>
        <v>850.84020859067994</v>
      </c>
      <c r="R151" s="59">
        <f t="shared" si="109"/>
        <v>1144.1735419240133</v>
      </c>
      <c r="S151" s="59">
        <f ca="1">AVERAGE(OFFSET($R$3,0,0,'Données projet'!$E$9+1,1))-AVERAGE(OFFSET($H$3,0,0,'Données projet'!$E$9+1,1))</f>
        <v>309.07357540707869</v>
      </c>
      <c r="T151" s="59">
        <f t="shared" si="142"/>
        <v>155.9593924683299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6.2499999999999947</v>
      </c>
      <c r="AI151" s="13">
        <f>IF('Données projet'!$A$62&gt;35,AI150+AH151-AQ150,IF(A151&lt;'Données projet'!$A$62,$AF$205^A151,IF(A151='Données projet'!$A$62,'Données projet'!$B$62,AI150+AH151-AQ150)))</f>
        <v>334.33974358974297</v>
      </c>
      <c r="AJ151" s="13">
        <f>AI151*VLOOKUP('Données projet'!$B$10,Paramètres!$A$1:$I$89,3,0)*VLOOKUP('Données projet'!$B$10,Paramètres!$A$1:$I$89,5,0)</f>
        <v>302.51059999999944</v>
      </c>
      <c r="AK151" s="13">
        <f t="shared" si="143"/>
        <v>71.702526117067052</v>
      </c>
      <c r="AL151" s="20">
        <f t="shared" si="112"/>
        <v>651.75452798722415</v>
      </c>
      <c r="AM151" s="59">
        <f t="shared" si="113"/>
        <v>945.08786132055752</v>
      </c>
      <c r="AN151" s="59">
        <f ca="1">AVERAGE(OFFSET($AM$3,0,0,'Données projet'!$E$10+1,1))-AVERAGE(OFFSET($H$3,0,0,'Données projet'!$E$10+1,1))</f>
        <v>234.30804102916278</v>
      </c>
      <c r="AO151" s="59">
        <f t="shared" si="144"/>
        <v>91.137993288782411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3.4106051316484809E-13</v>
      </c>
      <c r="BE151" s="13">
        <f>BD151*VLOOKUP('Données projet'!$B$11,Paramètres!$A$1:$I$89,3,0)*VLOOKUP('Données projet'!$B$11,Paramètres!$A$1:$I$89,5,0)</f>
        <v>1.5961632016114892E-13</v>
      </c>
      <c r="BF151" s="13">
        <f t="shared" si="145"/>
        <v>2.2708641912150958E-12</v>
      </c>
      <c r="BG151" s="20">
        <f t="shared" si="115"/>
        <v>4.2330868906469593E-12</v>
      </c>
      <c r="BH151" s="59">
        <f t="shared" si="116"/>
        <v>293.33333333333752</v>
      </c>
      <c r="BI151" s="59">
        <f ca="1">AVERAGE(OFFSET($BH$3,0,0,'Données projet'!$E$11+1,1))-AVERAGE(OFFSET($H$3,0,0,'Données projet'!$E$11+1,1))</f>
        <v>158.58786357608489</v>
      </c>
      <c r="BJ151" s="59">
        <f t="shared" si="146"/>
        <v>163.20074068819849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5.6843418860808015E-13</v>
      </c>
      <c r="BZ151" s="13">
        <f>BY151*VLOOKUP('Données projet'!$B$12,Paramètres!$A$1:$I$89,3,0)*VLOOKUP('Données projet'!$B$12,Paramètres!$A$1:$I$89,5,0)</f>
        <v>2.6602720026858149E-13</v>
      </c>
      <c r="CA151" s="13">
        <f t="shared" si="147"/>
        <v>3.5662905043956649E-12</v>
      </c>
      <c r="CB151" s="20">
        <f t="shared" si="118"/>
        <v>6.6746200022902298E-12</v>
      </c>
      <c r="CC151" s="59">
        <f t="shared" si="119"/>
        <v>293.33333333333997</v>
      </c>
      <c r="CD151" s="59">
        <f ca="1">AVERAGE(OFFSET($CC$3,0,0,'Données projet'!$E$12+1,1))-AVERAGE(OFFSET($H$3,0,0,'Données projet'!$E$12+1,1))</f>
        <v>123.2823358462245</v>
      </c>
      <c r="CE151" s="59">
        <f t="shared" si="148"/>
        <v>92.75115399786057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-2.8421709430404007E-13</v>
      </c>
      <c r="CU151" s="17">
        <f>CT151*VLOOKUP('Données projet'!$B$13,Paramètres!$A$1:$I$89,3,0)*VLOOKUP('Données projet'!$B$13,Paramètres!$A$1:$I$89,5,0)</f>
        <v>-1.69961822393816E-13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179.32848817523677</v>
      </c>
      <c r="CZ151" s="59">
        <f t="shared" si="150"/>
        <v>131.3292389103035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0.50009949613079252</v>
      </c>
      <c r="DH151" s="21">
        <f>EXP(-LN(2)/2)*DH150+(1-EXP(-LN(2)/2))/(LN(2)/2)*DB151*DE151*VLOOKUP('Données projet'!$B$13,Paramètres!$A$1:$I$89,3,0)*0.475*44/12</f>
        <v>9.1296230597071045E-18</v>
      </c>
      <c r="DI151" s="22">
        <f t="shared" si="123"/>
        <v>0.50009949613079252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7.2314102564102543</v>
      </c>
      <c r="DO151" s="12">
        <f>IF('Données projet'!$A$166&gt;35,DO150+DN151-DW150,IF(A151&lt;'Données projet'!$A$166,$DL$205^A151,IF(A151='Données projet'!$A$166,'Données projet'!$B$166,DO150+DN151-DW150)))</f>
        <v>439.09487179487104</v>
      </c>
      <c r="DP151" s="17">
        <f>DO151*VLOOKUP('Données projet'!$B$14,Paramètres!$A$1:$I$89,3,0)*VLOOKUP('Données projet'!$B$14,Paramètres!$A$1:$I$89,5,0)</f>
        <v>424.69255999999928</v>
      </c>
      <c r="DQ151" s="13">
        <f t="shared" si="151"/>
        <v>96.765117459551433</v>
      </c>
      <c r="DR151" s="20">
        <f t="shared" si="124"/>
        <v>908.20545490871746</v>
      </c>
      <c r="DS151" s="59">
        <f t="shared" si="125"/>
        <v>1201.5387882420507</v>
      </c>
      <c r="DT151" s="59">
        <f ca="1">AVERAGE(OFFSET($DS$3,0,0,'Données projet'!$E$14+1,1))-AVERAGE(OFFSET($H$3,0,0,'Données projet'!$E$14+1,1))</f>
        <v>340.4659523898373</v>
      </c>
      <c r="DU151" s="59">
        <f t="shared" si="152"/>
        <v>170.54530785680572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6.2499999999999947</v>
      </c>
      <c r="EJ151" s="12">
        <f>IF('Données projet'!$A$192&gt;35,EJ150+EI151-ER150,IF(A151&lt;'Données projet'!$A$192,$EG$205^A151,IF(A151='Données projet'!$A$192,'Données projet'!$B$192,EJ150+EI151-ER150)))</f>
        <v>334.33974358974297</v>
      </c>
      <c r="EK151" s="17">
        <f>EJ151*VLOOKUP('Données projet'!$B$15,Paramètres!$A$1:$I$89,3,0)*VLOOKUP('Données projet'!$B$15,Paramètres!$A$1:$I$89,5,0)</f>
        <v>323.37339999999944</v>
      </c>
      <c r="EL151" s="13">
        <f t="shared" si="153"/>
        <v>76.054826175471561</v>
      </c>
      <c r="EM151" s="20">
        <f t="shared" si="127"/>
        <v>695.67082725561193</v>
      </c>
      <c r="EN151" s="59">
        <f t="shared" si="128"/>
        <v>989.0041605889453</v>
      </c>
      <c r="EO151" s="59">
        <f ca="1">AVERAGE(OFFSET($EN$3,0,0,'Données projet'!$E$15+1,1))-AVERAGE(OFFSET($H$3,0,0,'Données projet'!$E$15+1,1))</f>
        <v>262.20955982183017</v>
      </c>
      <c r="EP151" s="59">
        <f t="shared" si="154"/>
        <v>101.35842063036193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5.6843418860808015E-14</v>
      </c>
      <c r="FF151" s="17">
        <f>FE151*VLOOKUP('Données projet'!$B$16,Paramètres!$A$1:$I$89,3,0)*VLOOKUP('Données projet'!$B$16,Paramètres!$A$1:$I$89,5,0)</f>
        <v>4.5224624045658861E-14</v>
      </c>
      <c r="FG151" s="13">
        <f t="shared" si="155"/>
        <v>7.4514601661523691E-13</v>
      </c>
      <c r="FH151" s="20">
        <f t="shared" si="130"/>
        <v>1.3765621991510601E-12</v>
      </c>
      <c r="FI151" s="59">
        <f t="shared" si="131"/>
        <v>293.33333333333468</v>
      </c>
      <c r="FJ151" s="59">
        <f ca="1">AVERAGE(OFFSET($FI$3,0,0,'Données projet'!$E$16+1,1))-AVERAGE(OFFSET($H$3,0,0,'Données projet'!$E$16+1,1))</f>
        <v>199.58763537752952</v>
      </c>
      <c r="FK151" s="59">
        <f t="shared" si="156"/>
        <v>242.62852778451929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0.39017304454732749</v>
      </c>
      <c r="FS151" s="21">
        <f>EXP(-LN(2)/2)*FS150+(1-EXP(-LN(2)/2))/(LN(2)/2)*FM151*FP151*VLOOKUP('Données projet'!$B$16,Paramètres!$A$1:$I$89,3,0)*0.475*44/12</f>
        <v>1.8668327982814363E-17</v>
      </c>
      <c r="FT151" s="22">
        <f t="shared" si="132"/>
        <v>0.39017304454732749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5.6843418860808015E-14</v>
      </c>
      <c r="GA151" s="17">
        <f>FZ151*VLOOKUP('Données projet'!$B$17,Paramètres!$A$1:$I$89,3,0)*VLOOKUP('Données projet'!$B$17,Paramètres!$A$1:$I$89,5,0)</f>
        <v>4.1677594708744434E-14</v>
      </c>
      <c r="GB151" s="13">
        <f t="shared" si="157"/>
        <v>6.9326303456159188E-13</v>
      </c>
      <c r="GC151" s="20">
        <f t="shared" si="133"/>
        <v>1.2800215959791691E-12</v>
      </c>
      <c r="GD151" s="59">
        <f t="shared" si="134"/>
        <v>293.33333333333462</v>
      </c>
      <c r="GE151" s="59">
        <f ca="1">AVERAGE(OFFSET($GD$3,0,0,'Données projet'!$E$17+1,1))-AVERAGE(OFFSET($H$3,0,0,'Données projet'!$E$17+1,1))</f>
        <v>178.12968684094687</v>
      </c>
      <c r="GF151" s="59">
        <f t="shared" si="158"/>
        <v>219.36004077210373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0.29172760748433163</v>
      </c>
      <c r="GN151" s="21">
        <f>EXP(-LN(2)/2)*GN150+(1-EXP(-LN(2)/2))/(LN(2)/2)*GH151*GK151*VLOOKUP('Données projet'!$B$17,Paramètres!$A$1:$I$89,3,0)*0.475*44/12</f>
        <v>1.7204145395926947E-17</v>
      </c>
      <c r="GO151" s="21">
        <f t="shared" si="135"/>
        <v>0.29172760748433163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5.6843418860808015E-14</v>
      </c>
      <c r="GV151" s="17">
        <f>GU151*VLOOKUP('Données projet'!$B$18,Paramètres!$A$1:$I$89,3,0)*VLOOKUP('Données projet'!$B$18,Paramètres!$A$1:$I$89,5,0)</f>
        <v>4.5224624045658861E-14</v>
      </c>
      <c r="GW151" s="13">
        <f t="shared" si="159"/>
        <v>7.4514601661523691E-13</v>
      </c>
      <c r="GX151" s="20">
        <f t="shared" si="136"/>
        <v>1.3765621991510601E-12</v>
      </c>
      <c r="GY151" s="59">
        <f t="shared" si="137"/>
        <v>293.33333333333468</v>
      </c>
      <c r="GZ151" s="59">
        <f ca="1">AVERAGE(OFFSET($GY$3,0,0,'Données projet'!$E$18+1,1))-AVERAGE(OFFSET($H$3,0,0,'Données projet'!$E$18+1,1))</f>
        <v>199.58763537752952</v>
      </c>
      <c r="HA151" s="59">
        <f t="shared" si="160"/>
        <v>242.62852778451929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0</v>
      </c>
      <c r="HH151" s="21">
        <f>EXP(-LN(2)/25)*HH150+(1-EXP(-LN(2)/25))/(LN(2)/25)*Calculateur!HC151*Calculateur!HE151*VLOOKUP('Données projet'!$B$18,Paramètres!$A$1:$I$89,3,0)*0.475*44/12</f>
        <v>0.39017304454732749</v>
      </c>
      <c r="HI151" s="21">
        <f>EXP(-LN(2)/2)*HI150+(1-EXP(-LN(2)/2))/(LN(2)/2)*HC151*HF151*VLOOKUP('Données projet'!$B$18,Paramètres!$A$1:$I$89,3,0)*0.475*44/12</f>
        <v>1.8668327982814363E-17</v>
      </c>
      <c r="HJ151" s="22">
        <f t="shared" si="138"/>
        <v>0.39017304454732749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7.2314102564102543</v>
      </c>
      <c r="N152" s="13">
        <f>IF('Données projet'!$A$36&gt;35,N151+M152-V151,IF(A152&lt;'Données projet'!$A$36,$K$205^A152,IF(A152='Données projet'!$A$36,'Données projet'!$B$36,N151+M152-V151)))</f>
        <v>446.32628205128128</v>
      </c>
      <c r="O152" s="13">
        <f>N152*VLOOKUP('Données projet'!$B$9,Paramètres!$A$1:$I$89,3,0)*VLOOKUP('Données projet'!$B$9,Paramètres!$A$1:$I$89,5,0)</f>
        <v>403.83601999999928</v>
      </c>
      <c r="P152" s="13">
        <f t="shared" si="141"/>
        <v>92.553926884983895</v>
      </c>
      <c r="Q152" s="20">
        <f t="shared" si="108"/>
        <v>864.54582415801235</v>
      </c>
      <c r="R152" s="59">
        <f t="shared" si="109"/>
        <v>1157.8791574913457</v>
      </c>
      <c r="S152" s="59">
        <f ca="1">AVERAGE(OFFSET($R$3,0,0,'Données projet'!$E$9+1,1))-AVERAGE(OFFSET($H$3,0,0,'Données projet'!$E$9+1,1))</f>
        <v>309.07357540707869</v>
      </c>
      <c r="T152" s="59">
        <f t="shared" si="142"/>
        <v>155.9593924683299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6.2499999999999947</v>
      </c>
      <c r="AI152" s="13">
        <f>IF('Données projet'!$A$62&gt;35,AI151+AH152-AQ151,IF(A152&lt;'Données projet'!$A$62,$AF$205^A152,IF(A152='Données projet'!$A$62,'Données projet'!$B$62,AI151+AH152-AQ151)))</f>
        <v>340.58974358974297</v>
      </c>
      <c r="AJ152" s="13">
        <f>AI152*VLOOKUP('Données projet'!$B$10,Paramètres!$A$1:$I$89,3,0)*VLOOKUP('Données projet'!$B$10,Paramètres!$A$1:$I$89,5,0)</f>
        <v>308.16559999999947</v>
      </c>
      <c r="AK152" s="13">
        <f t="shared" si="143"/>
        <v>72.885602213408205</v>
      </c>
      <c r="AL152" s="20">
        <f t="shared" si="112"/>
        <v>663.66417718835169</v>
      </c>
      <c r="AM152" s="59">
        <f t="shared" si="113"/>
        <v>956.99751052168494</v>
      </c>
      <c r="AN152" s="59">
        <f ca="1">AVERAGE(OFFSET($AM$3,0,0,'Données projet'!$E$10+1,1))-AVERAGE(OFFSET($H$3,0,0,'Données projet'!$E$10+1,1))</f>
        <v>234.30804102916278</v>
      </c>
      <c r="AO152" s="59">
        <f t="shared" si="144"/>
        <v>91.137993288782411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3.4106051316484809E-13</v>
      </c>
      <c r="BE152" s="13">
        <f>BD152*VLOOKUP('Données projet'!$B$11,Paramètres!$A$1:$I$89,3,0)*VLOOKUP('Données projet'!$B$11,Paramètres!$A$1:$I$89,5,0)</f>
        <v>1.5961632016114892E-13</v>
      </c>
      <c r="BF152" s="13">
        <f t="shared" si="145"/>
        <v>2.2708641912150958E-12</v>
      </c>
      <c r="BG152" s="20">
        <f t="shared" si="115"/>
        <v>4.2330868906469593E-12</v>
      </c>
      <c r="BH152" s="59">
        <f t="shared" si="116"/>
        <v>293.33333333333752</v>
      </c>
      <c r="BI152" s="59">
        <f ca="1">AVERAGE(OFFSET($BH$3,0,0,'Données projet'!$E$11+1,1))-AVERAGE(OFFSET($H$3,0,0,'Données projet'!$E$11+1,1))</f>
        <v>158.58786357608489</v>
      </c>
      <c r="BJ152" s="59">
        <f t="shared" si="146"/>
        <v>163.20074068819849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5.6843418860808015E-13</v>
      </c>
      <c r="BZ152" s="13">
        <f>BY152*VLOOKUP('Données projet'!$B$12,Paramètres!$A$1:$I$89,3,0)*VLOOKUP('Données projet'!$B$12,Paramètres!$A$1:$I$89,5,0)</f>
        <v>2.6602720026858149E-13</v>
      </c>
      <c r="CA152" s="13">
        <f t="shared" si="147"/>
        <v>3.5662905043956649E-12</v>
      </c>
      <c r="CB152" s="20">
        <f t="shared" si="118"/>
        <v>6.6746200022902298E-12</v>
      </c>
      <c r="CC152" s="59">
        <f t="shared" si="119"/>
        <v>293.33333333333997</v>
      </c>
      <c r="CD152" s="59">
        <f ca="1">AVERAGE(OFFSET($CC$3,0,0,'Données projet'!$E$12+1,1))-AVERAGE(OFFSET($H$3,0,0,'Données projet'!$E$12+1,1))</f>
        <v>123.2823358462245</v>
      </c>
      <c r="CE152" s="59">
        <f t="shared" si="148"/>
        <v>92.75115399786057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-2.8421709430404007E-13</v>
      </c>
      <c r="CU152" s="17">
        <f>CT152*VLOOKUP('Données projet'!$B$13,Paramètres!$A$1:$I$89,3,0)*VLOOKUP('Données projet'!$B$13,Paramètres!$A$1:$I$89,5,0)</f>
        <v>-1.69961822393816E-13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179.32848817523677</v>
      </c>
      <c r="CZ152" s="59">
        <f t="shared" si="150"/>
        <v>131.3292389103035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0.48642424911000648</v>
      </c>
      <c r="DH152" s="21">
        <f>EXP(-LN(2)/2)*DH151+(1-EXP(-LN(2)/2))/(LN(2)/2)*DB152*DE152*VLOOKUP('Données projet'!$B$13,Paramètres!$A$1:$I$89,3,0)*0.475*44/12</f>
        <v>6.4556183751959701E-18</v>
      </c>
      <c r="DI152" s="22">
        <f t="shared" si="123"/>
        <v>0.48642424911000648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7.2314102564102543</v>
      </c>
      <c r="DO152" s="12">
        <f>IF('Données projet'!$A$166&gt;35,DO151+DN152-DW151,IF(A152&lt;'Données projet'!$A$166,$DL$205^A152,IF(A152='Données projet'!$A$166,'Données projet'!$B$166,DO151+DN152-DW151)))</f>
        <v>446.32628205128128</v>
      </c>
      <c r="DP152" s="17">
        <f>DO152*VLOOKUP('Données projet'!$B$14,Paramètres!$A$1:$I$89,3,0)*VLOOKUP('Données projet'!$B$14,Paramètres!$A$1:$I$89,5,0)</f>
        <v>431.68677999999932</v>
      </c>
      <c r="DQ152" s="13">
        <f t="shared" si="151"/>
        <v>98.171894384893221</v>
      </c>
      <c r="DR152" s="20">
        <f t="shared" si="124"/>
        <v>922.83719122035438</v>
      </c>
      <c r="DS152" s="59">
        <f t="shared" si="125"/>
        <v>1216.1705245536878</v>
      </c>
      <c r="DT152" s="59">
        <f ca="1">AVERAGE(OFFSET($DS$3,0,0,'Données projet'!$E$14+1,1))-AVERAGE(OFFSET($H$3,0,0,'Données projet'!$E$14+1,1))</f>
        <v>340.4659523898373</v>
      </c>
      <c r="DU152" s="59">
        <f t="shared" si="152"/>
        <v>170.54530785680572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6.2499999999999947</v>
      </c>
      <c r="EJ152" s="12">
        <f>IF('Données projet'!$A$192&gt;35,EJ151+EI152-ER151,IF(A152&lt;'Données projet'!$A$192,$EG$205^A152,IF(A152='Données projet'!$A$192,'Données projet'!$B$192,EJ151+EI152-ER151)))</f>
        <v>340.58974358974297</v>
      </c>
      <c r="EK152" s="17">
        <f>EJ152*VLOOKUP('Données projet'!$B$15,Paramètres!$A$1:$I$89,3,0)*VLOOKUP('Données projet'!$B$15,Paramètres!$A$1:$I$89,5,0)</f>
        <v>329.41839999999939</v>
      </c>
      <c r="EL152" s="13">
        <f t="shared" si="153"/>
        <v>77.309714276801174</v>
      </c>
      <c r="EM152" s="20">
        <f t="shared" si="127"/>
        <v>708.38479903209429</v>
      </c>
      <c r="EN152" s="59">
        <f t="shared" si="128"/>
        <v>1001.7181323654277</v>
      </c>
      <c r="EO152" s="59">
        <f ca="1">AVERAGE(OFFSET($EN$3,0,0,'Données projet'!$E$15+1,1))-AVERAGE(OFFSET($H$3,0,0,'Données projet'!$E$15+1,1))</f>
        <v>262.20955982183017</v>
      </c>
      <c r="EP152" s="59">
        <f t="shared" si="154"/>
        <v>101.35842063036193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5.6843418860808015E-14</v>
      </c>
      <c r="FF152" s="17">
        <f>FE152*VLOOKUP('Données projet'!$B$16,Paramètres!$A$1:$I$89,3,0)*VLOOKUP('Données projet'!$B$16,Paramètres!$A$1:$I$89,5,0)</f>
        <v>4.5224624045658861E-14</v>
      </c>
      <c r="FG152" s="13">
        <f t="shared" si="155"/>
        <v>7.4514601661523691E-13</v>
      </c>
      <c r="FH152" s="20">
        <f t="shared" si="130"/>
        <v>1.3765621991510601E-12</v>
      </c>
      <c r="FI152" s="59">
        <f t="shared" si="131"/>
        <v>293.33333333333468</v>
      </c>
      <c r="FJ152" s="59">
        <f ca="1">AVERAGE(OFFSET($FI$3,0,0,'Données projet'!$E$16+1,1))-AVERAGE(OFFSET($H$3,0,0,'Données projet'!$E$16+1,1))</f>
        <v>199.58763537752952</v>
      </c>
      <c r="FK152" s="59">
        <f t="shared" si="156"/>
        <v>242.62852778451929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0.37950374212587218</v>
      </c>
      <c r="FS152" s="21">
        <f>EXP(-LN(2)/2)*FS151+(1-EXP(-LN(2)/2))/(LN(2)/2)*FM152*FP152*VLOOKUP('Données projet'!$B$16,Paramètres!$A$1:$I$89,3,0)*0.475*44/12</f>
        <v>1.3200501310062618E-17</v>
      </c>
      <c r="FT152" s="22">
        <f t="shared" si="132"/>
        <v>0.37950374212587218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5.6843418860808015E-14</v>
      </c>
      <c r="GA152" s="17">
        <f>FZ152*VLOOKUP('Données projet'!$B$17,Paramètres!$A$1:$I$89,3,0)*VLOOKUP('Données projet'!$B$17,Paramètres!$A$1:$I$89,5,0)</f>
        <v>4.1677594708744434E-14</v>
      </c>
      <c r="GB152" s="13">
        <f t="shared" si="157"/>
        <v>6.9326303456159188E-13</v>
      </c>
      <c r="GC152" s="20">
        <f t="shared" si="133"/>
        <v>1.2800215959791691E-12</v>
      </c>
      <c r="GD152" s="59">
        <f t="shared" si="134"/>
        <v>293.33333333333462</v>
      </c>
      <c r="GE152" s="59">
        <f ca="1">AVERAGE(OFFSET($GD$3,0,0,'Données projet'!$E$17+1,1))-AVERAGE(OFFSET($H$3,0,0,'Données projet'!$E$17+1,1))</f>
        <v>178.12968684094687</v>
      </c>
      <c r="GF152" s="59">
        <f t="shared" si="158"/>
        <v>219.36004077210373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0.28375030071638446</v>
      </c>
      <c r="GN152" s="21">
        <f>EXP(-LN(2)/2)*GN151+(1-EXP(-LN(2)/2))/(LN(2)/2)*GH152*GK152*VLOOKUP('Données projet'!$B$17,Paramètres!$A$1:$I$89,3,0)*0.475*44/12</f>
        <v>1.2165167873979265E-17</v>
      </c>
      <c r="GO152" s="21">
        <f t="shared" si="135"/>
        <v>0.28375030071638446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5.6843418860808015E-14</v>
      </c>
      <c r="GV152" s="17">
        <f>GU152*VLOOKUP('Données projet'!$B$18,Paramètres!$A$1:$I$89,3,0)*VLOOKUP('Données projet'!$B$18,Paramètres!$A$1:$I$89,5,0)</f>
        <v>4.5224624045658861E-14</v>
      </c>
      <c r="GW152" s="13">
        <f t="shared" si="159"/>
        <v>7.4514601661523691E-13</v>
      </c>
      <c r="GX152" s="20">
        <f t="shared" si="136"/>
        <v>1.3765621991510601E-12</v>
      </c>
      <c r="GY152" s="59">
        <f t="shared" si="137"/>
        <v>293.33333333333468</v>
      </c>
      <c r="GZ152" s="59">
        <f ca="1">AVERAGE(OFFSET($GY$3,0,0,'Données projet'!$E$18+1,1))-AVERAGE(OFFSET($H$3,0,0,'Données projet'!$E$18+1,1))</f>
        <v>199.58763537752952</v>
      </c>
      <c r="HA152" s="59">
        <f t="shared" si="160"/>
        <v>242.62852778451929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0</v>
      </c>
      <c r="HH152" s="21">
        <f>EXP(-LN(2)/25)*HH151+(1-EXP(-LN(2)/25))/(LN(2)/25)*Calculateur!HC152*Calculateur!HE152*VLOOKUP('Données projet'!$B$18,Paramètres!$A$1:$I$89,3,0)*0.475*44/12</f>
        <v>0.37950374212587218</v>
      </c>
      <c r="HI152" s="21">
        <f>EXP(-LN(2)/2)*HI151+(1-EXP(-LN(2)/2))/(LN(2)/2)*HC152*HF152*VLOOKUP('Données projet'!$B$18,Paramètres!$A$1:$I$89,3,0)*0.475*44/12</f>
        <v>1.3200501310062618E-17</v>
      </c>
      <c r="HJ152" s="22">
        <f t="shared" si="138"/>
        <v>0.37950374212587218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453.55769230769226</v>
      </c>
      <c r="L153" s="12">
        <f>VLOOKUP(A153,'Données projet'!$A$35:$I$55,9,0)</f>
        <v>7.2314102564102543</v>
      </c>
      <c r="M153" s="12">
        <f t="array" ref="M153">INDEX(L:L,MIN(IF(ISNUMBER(L153:L349),ROW(L153:L349),"")))</f>
        <v>7.2314102564102543</v>
      </c>
      <c r="N153" s="13">
        <f>IF('Données projet'!$A$36&gt;35,N152+M153-V152,IF(A153&lt;'Données projet'!$A$36,$K$205^A153,IF(A153='Données projet'!$A$36,'Données projet'!$B$36,N152+M153-V152)))</f>
        <v>453.55769230769153</v>
      </c>
      <c r="O153" s="13">
        <f>N153*VLOOKUP('Données projet'!$B$9,Paramètres!$A$1:$I$89,3,0)*VLOOKUP('Données projet'!$B$9,Paramètres!$A$1:$I$89,5,0)</f>
        <v>410.37899999999928</v>
      </c>
      <c r="P153" s="13">
        <f t="shared" si="141"/>
        <v>93.877700837644795</v>
      </c>
      <c r="Q153" s="20">
        <f t="shared" si="108"/>
        <v>878.24708729223005</v>
      </c>
      <c r="R153" s="59">
        <f t="shared" si="109"/>
        <v>1171.5804206255634</v>
      </c>
      <c r="S153" s="59">
        <f ca="1">AVERAGE(OFFSET($R$3,0,0,'Données projet'!$E$9+1,1))-AVERAGE(OFFSET($H$3,0,0,'Données projet'!$E$9+1,1))</f>
        <v>309.07357540707869</v>
      </c>
      <c r="T153" s="59">
        <f t="shared" si="142"/>
        <v>155.9593924683299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178.72435897435898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6.2499999999999947</v>
      </c>
      <c r="AI153" s="13">
        <f>IF('Données projet'!$A$62&gt;35,AI152+AH153-AQ152,IF(A153&lt;'Données projet'!$A$62,$AF$205^A153,IF(A153='Données projet'!$A$62,'Données projet'!$B$62,AI152+AH153-AQ152)))</f>
        <v>346.83974358974297</v>
      </c>
      <c r="AJ153" s="13">
        <f>AI153*VLOOKUP('Données projet'!$B$10,Paramètres!$A$1:$I$89,3,0)*VLOOKUP('Données projet'!$B$10,Paramètres!$A$1:$I$89,5,0)</f>
        <v>313.82059999999944</v>
      </c>
      <c r="AK153" s="13">
        <f t="shared" si="143"/>
        <v>74.066153805327914</v>
      </c>
      <c r="AL153" s="20">
        <f t="shared" si="112"/>
        <v>675.56942954427848</v>
      </c>
      <c r="AM153" s="59">
        <f t="shared" si="113"/>
        <v>968.90276287761185</v>
      </c>
      <c r="AN153" s="59">
        <f ca="1">AVERAGE(OFFSET($AM$3,0,0,'Données projet'!$E$10+1,1))-AVERAGE(OFFSET($H$3,0,0,'Données projet'!$E$10+1,1))</f>
        <v>234.30804102916278</v>
      </c>
      <c r="AO153" s="59">
        <f t="shared" si="144"/>
        <v>91.137993288782411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3.4106051316484809E-13</v>
      </c>
      <c r="BE153" s="13">
        <f>BD153*VLOOKUP('Données projet'!$B$11,Paramètres!$A$1:$I$89,3,0)*VLOOKUP('Données projet'!$B$11,Paramètres!$A$1:$I$89,5,0)</f>
        <v>1.5961632016114892E-13</v>
      </c>
      <c r="BF153" s="13">
        <f t="shared" si="145"/>
        <v>2.2708641912150958E-12</v>
      </c>
      <c r="BG153" s="20">
        <f t="shared" si="115"/>
        <v>4.2330868906469593E-12</v>
      </c>
      <c r="BH153" s="59">
        <f t="shared" si="116"/>
        <v>293.33333333333752</v>
      </c>
      <c r="BI153" s="59">
        <f ca="1">AVERAGE(OFFSET($BH$3,0,0,'Données projet'!$E$11+1,1))-AVERAGE(OFFSET($H$3,0,0,'Données projet'!$E$11+1,1))</f>
        <v>158.58786357608489</v>
      </c>
      <c r="BJ153" s="59">
        <f t="shared" si="146"/>
        <v>163.20074068819849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5.6843418860808015E-13</v>
      </c>
      <c r="BZ153" s="13">
        <f>BY153*VLOOKUP('Données projet'!$B$12,Paramètres!$A$1:$I$89,3,0)*VLOOKUP('Données projet'!$B$12,Paramètres!$A$1:$I$89,5,0)</f>
        <v>2.6602720026858149E-13</v>
      </c>
      <c r="CA153" s="13">
        <f t="shared" si="147"/>
        <v>3.5662905043956649E-12</v>
      </c>
      <c r="CB153" s="20">
        <f t="shared" si="118"/>
        <v>6.6746200022902298E-12</v>
      </c>
      <c r="CC153" s="59">
        <f t="shared" si="119"/>
        <v>293.33333333333997</v>
      </c>
      <c r="CD153" s="59">
        <f ca="1">AVERAGE(OFFSET($CC$3,0,0,'Données projet'!$E$12+1,1))-AVERAGE(OFFSET($H$3,0,0,'Données projet'!$E$12+1,1))</f>
        <v>123.2823358462245</v>
      </c>
      <c r="CE153" s="59">
        <f t="shared" si="148"/>
        <v>92.75115399786057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-2.8421709430404007E-13</v>
      </c>
      <c r="CU153" s="17">
        <f>CT153*VLOOKUP('Données projet'!$B$13,Paramètres!$A$1:$I$89,3,0)*VLOOKUP('Données projet'!$B$13,Paramètres!$A$1:$I$89,5,0)</f>
        <v>-1.69961822393816E-13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179.32848817523677</v>
      </c>
      <c r="CZ153" s="59">
        <f t="shared" si="150"/>
        <v>131.3292389103035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0.47312295243815383</v>
      </c>
      <c r="DH153" s="21">
        <f>EXP(-LN(2)/2)*DH152+(1-EXP(-LN(2)/2))/(LN(2)/2)*DB153*DE153*VLOOKUP('Données projet'!$B$13,Paramètres!$A$1:$I$89,3,0)*0.475*44/12</f>
        <v>4.5648115298535523E-18</v>
      </c>
      <c r="DI153" s="22">
        <f t="shared" si="123"/>
        <v>0.47312295243815383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>
        <f>VLOOKUP(A153,'Données projet'!$A$165:$I$185,2,0)</f>
        <v>453.55769230769226</v>
      </c>
      <c r="DM153" s="12">
        <f>VLOOKUP(A153,'Données projet'!$A$165:$I$185,9,0)</f>
        <v>7.2314102564102543</v>
      </c>
      <c r="DN153" s="12">
        <f t="array" ref="DN153">INDEX(DM:DM,MIN(IF(ISNUMBER(DM153:DM349),ROW(DM153:DM349),"")))</f>
        <v>7.2314102564102543</v>
      </c>
      <c r="DO153" s="12">
        <f>IF('Données projet'!$A$166&gt;35,DO152+DN153-DW152,IF(A153&lt;'Données projet'!$A$166,$DL$205^A153,IF(A153='Données projet'!$A$166,'Données projet'!$B$166,DO152+DN153-DW152)))</f>
        <v>453.55769230769153</v>
      </c>
      <c r="DP153" s="17">
        <f>DO153*VLOOKUP('Données projet'!$B$14,Paramètres!$A$1:$I$89,3,0)*VLOOKUP('Données projet'!$B$14,Paramètres!$A$1:$I$89,5,0)</f>
        <v>438.68099999999924</v>
      </c>
      <c r="DQ153" s="13">
        <f t="shared" si="151"/>
        <v>99.576020617501342</v>
      </c>
      <c r="DR153" s="20">
        <f t="shared" si="124"/>
        <v>937.46431090881333</v>
      </c>
      <c r="DS153" s="59">
        <f t="shared" si="125"/>
        <v>1230.7976442421466</v>
      </c>
      <c r="DT153" s="59">
        <f ca="1">AVERAGE(OFFSET($DS$3,0,0,'Données projet'!$E$14+1,1))-AVERAGE(OFFSET($H$3,0,0,'Données projet'!$E$14+1,1))</f>
        <v>340.4659523898373</v>
      </c>
      <c r="DU153" s="59">
        <f t="shared" si="152"/>
        <v>170.54530785680572</v>
      </c>
      <c r="DV153" s="15">
        <f>IF(ISNA(VLOOKUP(A153,'Données projet'!$A$165:$I$185,3,0)),0,VLOOKUP(A153,'Données projet'!$A$165:$I$185,3,0))</f>
        <v>14</v>
      </c>
      <c r="DW153" s="15">
        <f>IF(ISNA(VLOOKUP(A153,'Données projet'!$A$165:$I$185,4,0)),0,VLOOKUP(A153,'Données projet'!$A$165:$I$185,4,0))</f>
        <v>178.72435897435898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6.2499999999999947</v>
      </c>
      <c r="EJ153" s="12">
        <f>IF('Données projet'!$A$192&gt;35,EJ152+EI153-ER152,IF(A153&lt;'Données projet'!$A$192,$EG$205^A153,IF(A153='Données projet'!$A$192,'Données projet'!$B$192,EJ152+EI153-ER152)))</f>
        <v>346.83974358974297</v>
      </c>
      <c r="EK153" s="17">
        <f>EJ153*VLOOKUP('Données projet'!$B$15,Paramètres!$A$1:$I$89,3,0)*VLOOKUP('Données projet'!$B$15,Paramètres!$A$1:$I$89,5,0)</f>
        <v>335.46339999999941</v>
      </c>
      <c r="EL153" s="13">
        <f t="shared" si="153"/>
        <v>78.561924637814627</v>
      </c>
      <c r="EM153" s="20">
        <f t="shared" si="127"/>
        <v>721.09410707752613</v>
      </c>
      <c r="EN153" s="59">
        <f t="shared" si="128"/>
        <v>1014.4274404108594</v>
      </c>
      <c r="EO153" s="59">
        <f ca="1">AVERAGE(OFFSET($EN$3,0,0,'Données projet'!$E$15+1,1))-AVERAGE(OFFSET($H$3,0,0,'Données projet'!$E$15+1,1))</f>
        <v>262.20955982183017</v>
      </c>
      <c r="EP153" s="59">
        <f t="shared" si="154"/>
        <v>101.35842063036193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5.6843418860808015E-14</v>
      </c>
      <c r="FF153" s="17">
        <f>FE153*VLOOKUP('Données projet'!$B$16,Paramètres!$A$1:$I$89,3,0)*VLOOKUP('Données projet'!$B$16,Paramètres!$A$1:$I$89,5,0)</f>
        <v>4.5224624045658861E-14</v>
      </c>
      <c r="FG153" s="13">
        <f t="shared" si="155"/>
        <v>7.4514601661523691E-13</v>
      </c>
      <c r="FH153" s="20">
        <f t="shared" si="130"/>
        <v>1.3765621991510601E-12</v>
      </c>
      <c r="FI153" s="59">
        <f t="shared" si="131"/>
        <v>293.33333333333468</v>
      </c>
      <c r="FJ153" s="59">
        <f ca="1">AVERAGE(OFFSET($FI$3,0,0,'Données projet'!$E$16+1,1))-AVERAGE(OFFSET($H$3,0,0,'Données projet'!$E$16+1,1))</f>
        <v>199.58763537752952</v>
      </c>
      <c r="FK153" s="59">
        <f t="shared" si="156"/>
        <v>242.62852778451929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0.36912619234020577</v>
      </c>
      <c r="FS153" s="21">
        <f>EXP(-LN(2)/2)*FS152+(1-EXP(-LN(2)/2))/(LN(2)/2)*FM153*FP153*VLOOKUP('Données projet'!$B$16,Paramètres!$A$1:$I$89,3,0)*0.475*44/12</f>
        <v>9.3341639914071814E-18</v>
      </c>
      <c r="FT153" s="22">
        <f t="shared" si="132"/>
        <v>0.36912619234020577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5.6843418860808015E-14</v>
      </c>
      <c r="GA153" s="17">
        <f>FZ153*VLOOKUP('Données projet'!$B$17,Paramètres!$A$1:$I$89,3,0)*VLOOKUP('Données projet'!$B$17,Paramètres!$A$1:$I$89,5,0)</f>
        <v>4.1677594708744434E-14</v>
      </c>
      <c r="GB153" s="13">
        <f t="shared" si="157"/>
        <v>6.9326303456159188E-13</v>
      </c>
      <c r="GC153" s="20">
        <f t="shared" si="133"/>
        <v>1.2800215959791691E-12</v>
      </c>
      <c r="GD153" s="59">
        <f t="shared" si="134"/>
        <v>293.33333333333462</v>
      </c>
      <c r="GE153" s="59">
        <f ca="1">AVERAGE(OFFSET($GD$3,0,0,'Données projet'!$E$17+1,1))-AVERAGE(OFFSET($H$3,0,0,'Données projet'!$E$17+1,1))</f>
        <v>178.12968684094687</v>
      </c>
      <c r="GF153" s="59">
        <f t="shared" si="158"/>
        <v>219.36004077210373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0.27599113382151513</v>
      </c>
      <c r="GN153" s="21">
        <f>EXP(-LN(2)/2)*GN152+(1-EXP(-LN(2)/2))/(LN(2)/2)*GH153*GK153*VLOOKUP('Données projet'!$B$17,Paramètres!$A$1:$I$89,3,0)*0.475*44/12</f>
        <v>8.6020726979634734E-18</v>
      </c>
      <c r="GO153" s="21">
        <f t="shared" si="135"/>
        <v>0.27599113382151513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5.6843418860808015E-14</v>
      </c>
      <c r="GV153" s="17">
        <f>GU153*VLOOKUP('Données projet'!$B$18,Paramètres!$A$1:$I$89,3,0)*VLOOKUP('Données projet'!$B$18,Paramètres!$A$1:$I$89,5,0)</f>
        <v>4.5224624045658861E-14</v>
      </c>
      <c r="GW153" s="13">
        <f t="shared" si="159"/>
        <v>7.4514601661523691E-13</v>
      </c>
      <c r="GX153" s="20">
        <f t="shared" si="136"/>
        <v>1.3765621991510601E-12</v>
      </c>
      <c r="GY153" s="59">
        <f t="shared" si="137"/>
        <v>293.33333333333468</v>
      </c>
      <c r="GZ153" s="59">
        <f ca="1">AVERAGE(OFFSET($GY$3,0,0,'Données projet'!$E$18+1,1))-AVERAGE(OFFSET($H$3,0,0,'Données projet'!$E$18+1,1))</f>
        <v>199.58763537752952</v>
      </c>
      <c r="HA153" s="59">
        <f t="shared" si="160"/>
        <v>242.62852778451929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0</v>
      </c>
      <c r="HH153" s="21">
        <f>EXP(-LN(2)/25)*HH152+(1-EXP(-LN(2)/25))/(LN(2)/25)*Calculateur!HC153*Calculateur!HE153*VLOOKUP('Données projet'!$B$18,Paramètres!$A$1:$I$89,3,0)*0.475*44/12</f>
        <v>0.36912619234020577</v>
      </c>
      <c r="HI153" s="21">
        <f>EXP(-LN(2)/2)*HI152+(1-EXP(-LN(2)/2))/(LN(2)/2)*HC153*HF153*VLOOKUP('Données projet'!$B$18,Paramètres!$A$1:$I$89,3,0)*0.475*44/12</f>
        <v>9.3341639914071814E-18</v>
      </c>
      <c r="HJ153" s="22">
        <f t="shared" si="138"/>
        <v>0.36912619234020577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6.0235042735042912</v>
      </c>
      <c r="N154" s="13">
        <f>IF('Données projet'!$A$36&gt;35,N153+M154-V153,IF(A154&lt;'Données projet'!$A$36,$K$205^A154,IF(A154='Données projet'!$A$36,'Données projet'!$B$36,N153+M154-V153)))</f>
        <v>280.85683760683685</v>
      </c>
      <c r="O154" s="13">
        <f>N154*VLOOKUP('Données projet'!$B$9,Paramètres!$A$1:$I$89,3,0)*VLOOKUP('Données projet'!$B$9,Paramètres!$A$1:$I$89,5,0)</f>
        <v>254.11926666666599</v>
      </c>
      <c r="P154" s="13">
        <f t="shared" si="141"/>
        <v>61.467179070182553</v>
      </c>
      <c r="Q154" s="20">
        <f t="shared" ref="Q154:Q203" si="162">(O154+P154)*0.475*44/12</f>
        <v>549.64639299167777</v>
      </c>
      <c r="R154" s="59">
        <f t="shared" si="109"/>
        <v>842.97972632501114</v>
      </c>
      <c r="S154" s="59">
        <f ca="1">AVERAGE(OFFSET($R$3,0,0,'Données projet'!$E$9+1,1))-AVERAGE(OFFSET($H$3,0,0,'Données projet'!$E$9+1,1))</f>
        <v>309.07357540707869</v>
      </c>
      <c r="T154" s="59">
        <f t="shared" si="142"/>
        <v>155.9593924683299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6.2499999999999947</v>
      </c>
      <c r="AI154" s="13">
        <f>IF('Données projet'!$A$62&gt;35,AI153+AH154-AQ153,IF(A154&lt;'Données projet'!$A$62,$AF$205^A154,IF(A154='Données projet'!$A$62,'Données projet'!$B$62,AI153+AH154-AQ153)))</f>
        <v>353.08974358974297</v>
      </c>
      <c r="AJ154" s="13">
        <f>AI154*VLOOKUP('Données projet'!$B$10,Paramètres!$A$1:$I$89,3,0)*VLOOKUP('Données projet'!$B$10,Paramètres!$A$1:$I$89,5,0)</f>
        <v>319.47559999999947</v>
      </c>
      <c r="AK154" s="13">
        <f t="shared" ref="AK154:AK203" si="164">EXP(-1.0587+0.8836*LN(AJ154)+0.284)</f>
        <v>75.244231631502288</v>
      </c>
      <c r="AL154" s="20">
        <f t="shared" ref="AL154:AL203" si="165">(AJ154+AK154)*0.475*44/12</f>
        <v>687.47037342486556</v>
      </c>
      <c r="AM154" s="59">
        <f t="shared" si="113"/>
        <v>980.80370675819881</v>
      </c>
      <c r="AN154" s="59">
        <f ca="1">AVERAGE(OFFSET($AM$3,0,0,'Données projet'!$E$10+1,1))-AVERAGE(OFFSET($H$3,0,0,'Données projet'!$E$10+1,1))</f>
        <v>234.30804102916278</v>
      </c>
      <c r="AO154" s="59">
        <f t="shared" si="144"/>
        <v>91.137993288782411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3.4106051316484809E-13</v>
      </c>
      <c r="BE154" s="13">
        <f>BD154*VLOOKUP('Données projet'!$B$11,Paramètres!$A$1:$I$89,3,0)*VLOOKUP('Données projet'!$B$11,Paramètres!$A$1:$I$89,5,0)</f>
        <v>1.5961632016114892E-13</v>
      </c>
      <c r="BF154" s="13">
        <f t="shared" ref="BF154:BF203" si="167">EXP(-1.0587+0.8836*LN(BE154)+0.284)</f>
        <v>2.2708641912150958E-12</v>
      </c>
      <c r="BG154" s="20">
        <f t="shared" ref="BG154:BG203" si="168">(BE154+BF154)*0.475*44/12</f>
        <v>4.2330868906469593E-12</v>
      </c>
      <c r="BH154" s="59">
        <f t="shared" si="116"/>
        <v>293.33333333333752</v>
      </c>
      <c r="BI154" s="59">
        <f ca="1">AVERAGE(OFFSET($BH$3,0,0,'Données projet'!$E$11+1,1))-AVERAGE(OFFSET($H$3,0,0,'Données projet'!$E$11+1,1))</f>
        <v>158.58786357608489</v>
      </c>
      <c r="BJ154" s="59">
        <f t="shared" si="146"/>
        <v>163.20074068819849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5.6843418860808015E-13</v>
      </c>
      <c r="BZ154" s="13">
        <f>BY154*VLOOKUP('Données projet'!$B$12,Paramètres!$A$1:$I$89,3,0)*VLOOKUP('Données projet'!$B$12,Paramètres!$A$1:$I$89,5,0)</f>
        <v>2.6602720026858149E-13</v>
      </c>
      <c r="CA154" s="13">
        <f t="shared" ref="CA154:CA203" si="170">EXP(-1.0587+0.8836*LN(BZ154)+0.284)</f>
        <v>3.5662905043956649E-12</v>
      </c>
      <c r="CB154" s="20">
        <f t="shared" ref="CB154:CB203" si="171">(BZ154+CA154)*0.475*44/12</f>
        <v>6.6746200022902298E-12</v>
      </c>
      <c r="CC154" s="59">
        <f t="shared" si="119"/>
        <v>293.33333333333997</v>
      </c>
      <c r="CD154" s="59">
        <f ca="1">AVERAGE(OFFSET($CC$3,0,0,'Données projet'!$E$12+1,1))-AVERAGE(OFFSET($H$3,0,0,'Données projet'!$E$12+1,1))</f>
        <v>123.2823358462245</v>
      </c>
      <c r="CE154" s="59">
        <f t="shared" si="148"/>
        <v>92.75115399786057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-2.8421709430404007E-13</v>
      </c>
      <c r="CU154" s="17">
        <f>CT154*VLOOKUP('Données projet'!$B$13,Paramètres!$A$1:$I$89,3,0)*VLOOKUP('Données projet'!$B$13,Paramètres!$A$1:$I$89,5,0)</f>
        <v>-1.69961822393816E-13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179.32848817523677</v>
      </c>
      <c r="CZ154" s="59">
        <f t="shared" si="150"/>
        <v>131.3292389103035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0.46018538042327778</v>
      </c>
      <c r="DH154" s="21">
        <f>EXP(-LN(2)/2)*DH153+(1-EXP(-LN(2)/2))/(LN(2)/2)*DB154*DE154*VLOOKUP('Données projet'!$B$13,Paramètres!$A$1:$I$89,3,0)*0.475*44/12</f>
        <v>3.2278091875979851E-18</v>
      </c>
      <c r="DI154" s="22">
        <f t="shared" ref="DI154:DI203" si="175">SUM(DF154:DH154)</f>
        <v>0.46018538042327778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6.0235042735042912</v>
      </c>
      <c r="DO154" s="12">
        <f>IF('Données projet'!$A$166&gt;35,DO153+DN154-DW153,IF(A154&lt;'Données projet'!$A$166,$DL$205^A154,IF(A154='Données projet'!$A$166,'Données projet'!$B$166,DO153+DN154-DW153)))</f>
        <v>280.85683760683685</v>
      </c>
      <c r="DP154" s="17">
        <f>DO154*VLOOKUP('Données projet'!$B$14,Paramètres!$A$1:$I$89,3,0)*VLOOKUP('Données projet'!$B$14,Paramètres!$A$1:$I$89,5,0)</f>
        <v>271.64473333333257</v>
      </c>
      <c r="DQ154" s="13">
        <f t="shared" ref="DQ154:DQ203" si="176">EXP(-1.0587+0.8836*LN(DP154)+0.284)</f>
        <v>65.198199740505061</v>
      </c>
      <c r="DR154" s="20">
        <f t="shared" ref="DR154:DR203" si="177">(DP154+DQ154)*0.475*44/12</f>
        <v>586.66810843693384</v>
      </c>
      <c r="DS154" s="59">
        <f t="shared" si="125"/>
        <v>880.00144177026709</v>
      </c>
      <c r="DT154" s="59">
        <f ca="1">AVERAGE(OFFSET($DS$3,0,0,'Données projet'!$E$14+1,1))-AVERAGE(OFFSET($H$3,0,0,'Données projet'!$E$14+1,1))</f>
        <v>340.4659523898373</v>
      </c>
      <c r="DU154" s="59">
        <f t="shared" si="152"/>
        <v>170.54530785680572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6.2499999999999947</v>
      </c>
      <c r="EJ154" s="12">
        <f>IF('Données projet'!$A$192&gt;35,EJ153+EI154-ER153,IF(A154&lt;'Données projet'!$A$192,$EG$205^A154,IF(A154='Données projet'!$A$192,'Données projet'!$B$192,EJ153+EI154-ER153)))</f>
        <v>353.08974358974297</v>
      </c>
      <c r="EK154" s="17">
        <f>EJ154*VLOOKUP('Données projet'!$B$15,Paramètres!$A$1:$I$89,3,0)*VLOOKUP('Données projet'!$B$15,Paramètres!$A$1:$I$89,5,0)</f>
        <v>341.50839999999943</v>
      </c>
      <c r="EL154" s="13">
        <f t="shared" ref="EL154:EL203" si="179">EXP(-1.0587+0.8836*LN(EK154)+0.284)</f>
        <v>79.811511076995075</v>
      </c>
      <c r="EM154" s="20">
        <f t="shared" ref="EM154:EM203" si="180">(EK154+EL154)*0.475*44/12</f>
        <v>733.79884512576552</v>
      </c>
      <c r="EN154" s="59">
        <f t="shared" si="128"/>
        <v>1027.1321784590989</v>
      </c>
      <c r="EO154" s="59">
        <f ca="1">AVERAGE(OFFSET($EN$3,0,0,'Données projet'!$E$15+1,1))-AVERAGE(OFFSET($H$3,0,0,'Données projet'!$E$15+1,1))</f>
        <v>262.20955982183017</v>
      </c>
      <c r="EP154" s="59">
        <f t="shared" si="154"/>
        <v>101.35842063036193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5.6843418860808015E-14</v>
      </c>
      <c r="FF154" s="17">
        <f>FE154*VLOOKUP('Données projet'!$B$16,Paramètres!$A$1:$I$89,3,0)*VLOOKUP('Données projet'!$B$16,Paramètres!$A$1:$I$89,5,0)</f>
        <v>4.5224624045658861E-14</v>
      </c>
      <c r="FG154" s="13">
        <f t="shared" ref="FG154:FG203" si="182">EXP(-1.0587+0.8836*LN(FF154)+0.284)</f>
        <v>7.4514601661523691E-13</v>
      </c>
      <c r="FH154" s="20">
        <f t="shared" ref="FH154:FH203" si="183">(FF154+FG154)*0.475*44/12</f>
        <v>1.3765621991510601E-12</v>
      </c>
      <c r="FI154" s="59">
        <f t="shared" si="131"/>
        <v>293.33333333333468</v>
      </c>
      <c r="FJ154" s="59">
        <f ca="1">AVERAGE(OFFSET($FI$3,0,0,'Données projet'!$E$16+1,1))-AVERAGE(OFFSET($H$3,0,0,'Données projet'!$E$16+1,1))</f>
        <v>199.58763537752952</v>
      </c>
      <c r="FK154" s="59">
        <f t="shared" si="156"/>
        <v>242.62852778451929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0.35903241719916001</v>
      </c>
      <c r="FS154" s="21">
        <f>EXP(-LN(2)/2)*FS153+(1-EXP(-LN(2)/2))/(LN(2)/2)*FM154*FP154*VLOOKUP('Données projet'!$B$16,Paramètres!$A$1:$I$89,3,0)*0.475*44/12</f>
        <v>6.600250655031309E-18</v>
      </c>
      <c r="FT154" s="22">
        <f t="shared" ref="FT154:FT203" si="184">SUM(FQ154:FS154)</f>
        <v>0.35903241719916001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5.6843418860808015E-14</v>
      </c>
      <c r="GA154" s="17">
        <f>FZ154*VLOOKUP('Données projet'!$B$17,Paramètres!$A$1:$I$89,3,0)*VLOOKUP('Données projet'!$B$17,Paramètres!$A$1:$I$89,5,0)</f>
        <v>4.1677594708744434E-14</v>
      </c>
      <c r="GB154" s="13">
        <f t="shared" ref="GB154:GB203" si="185">EXP(-1.0587+0.8836*LN(GA154)+0.284)</f>
        <v>6.9326303456159188E-13</v>
      </c>
      <c r="GC154" s="20">
        <f t="shared" ref="GC154:GC203" si="186">(GA154+GB154)*0.475*44/12</f>
        <v>1.2800215959791691E-12</v>
      </c>
      <c r="GD154" s="59">
        <f t="shared" si="134"/>
        <v>293.33333333333462</v>
      </c>
      <c r="GE154" s="59">
        <f ca="1">AVERAGE(OFFSET($GD$3,0,0,'Données projet'!$E$17+1,1))-AVERAGE(OFFSET($H$3,0,0,'Données projet'!$E$17+1,1))</f>
        <v>178.12968684094687</v>
      </c>
      <c r="GF154" s="59">
        <f t="shared" si="158"/>
        <v>219.36004077210373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0.26844414175342285</v>
      </c>
      <c r="GN154" s="21">
        <f>EXP(-LN(2)/2)*GN153+(1-EXP(-LN(2)/2))/(LN(2)/2)*GH154*GK154*VLOOKUP('Données projet'!$B$17,Paramètres!$A$1:$I$89,3,0)*0.475*44/12</f>
        <v>6.0825839369896324E-18</v>
      </c>
      <c r="GO154" s="21">
        <f t="shared" ref="GO154:GO203" si="187">SUM(GL154:GN154)</f>
        <v>0.26844414175342285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5.6843418860808015E-14</v>
      </c>
      <c r="GV154" s="17">
        <f>GU154*VLOOKUP('Données projet'!$B$18,Paramètres!$A$1:$I$89,3,0)*VLOOKUP('Données projet'!$B$18,Paramètres!$A$1:$I$89,5,0)</f>
        <v>4.5224624045658861E-14</v>
      </c>
      <c r="GW154" s="13">
        <f t="shared" ref="GW154:GW203" si="188">EXP(-1.0587+0.8836*LN(GV154)+0.284)</f>
        <v>7.4514601661523691E-13</v>
      </c>
      <c r="GX154" s="20">
        <f t="shared" ref="GX154:GX203" si="189">(GV154+GW154)*0.475*44/12</f>
        <v>1.3765621991510601E-12</v>
      </c>
      <c r="GY154" s="59">
        <f t="shared" si="137"/>
        <v>293.33333333333468</v>
      </c>
      <c r="GZ154" s="59">
        <f ca="1">AVERAGE(OFFSET($GY$3,0,0,'Données projet'!$E$18+1,1))-AVERAGE(OFFSET($H$3,0,0,'Données projet'!$E$18+1,1))</f>
        <v>199.58763537752952</v>
      </c>
      <c r="HA154" s="59">
        <f t="shared" si="160"/>
        <v>242.62852778451929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0</v>
      </c>
      <c r="HH154" s="21">
        <f>EXP(-LN(2)/25)*HH153+(1-EXP(-LN(2)/25))/(LN(2)/25)*Calculateur!HC154*Calculateur!HE154*VLOOKUP('Données projet'!$B$18,Paramètres!$A$1:$I$89,3,0)*0.475*44/12</f>
        <v>0.35903241719916001</v>
      </c>
      <c r="HI154" s="21">
        <f>EXP(-LN(2)/2)*HI153+(1-EXP(-LN(2)/2))/(LN(2)/2)*HC154*HF154*VLOOKUP('Données projet'!$B$18,Paramètres!$A$1:$I$89,3,0)*0.475*44/12</f>
        <v>6.600250655031309E-18</v>
      </c>
      <c r="HJ154" s="22">
        <f t="shared" ref="HJ154:HJ203" si="190">SUM(HG154:HI154)</f>
        <v>0.35903241719916001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6.0235042735042912</v>
      </c>
      <c r="N155" s="13">
        <f>IF('Données projet'!$A$36&gt;35,N154+M155-V154,IF(A155&lt;'Données projet'!$A$36,$K$205^A155,IF(A155='Données projet'!$A$36,'Données projet'!$B$36,N154+M155-V154)))</f>
        <v>286.88034188034112</v>
      </c>
      <c r="O155" s="13">
        <f>N155*VLOOKUP('Données projet'!$B$9,Paramètres!$A$1:$I$89,3,0)*VLOOKUP('Données projet'!$B$9,Paramètres!$A$1:$I$89,5,0)</f>
        <v>259.56933333333262</v>
      </c>
      <c r="P155" s="13">
        <f t="shared" si="141"/>
        <v>62.63056837113065</v>
      </c>
      <c r="Q155" s="20">
        <f t="shared" si="162"/>
        <v>561.16482880194019</v>
      </c>
      <c r="R155" s="59">
        <f t="shared" si="109"/>
        <v>854.49816213527356</v>
      </c>
      <c r="S155" s="59">
        <f ca="1">AVERAGE(OFFSET($R$3,0,0,'Données projet'!$E$9+1,1))-AVERAGE(OFFSET($H$3,0,0,'Données projet'!$E$9+1,1))</f>
        <v>309.07357540707869</v>
      </c>
      <c r="T155" s="59">
        <f t="shared" si="142"/>
        <v>155.9593924683299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6.2499999999999947</v>
      </c>
      <c r="AI155" s="13">
        <f>IF('Données projet'!$A$62&gt;35,AI154+AH155-AQ154,IF(A155&lt;'Données projet'!$A$62,$AF$205^A155,IF(A155='Données projet'!$A$62,'Données projet'!$B$62,AI154+AH155-AQ154)))</f>
        <v>359.33974358974297</v>
      </c>
      <c r="AJ155" s="13">
        <f>AI155*VLOOKUP('Données projet'!$B$10,Paramètres!$A$1:$I$89,3,0)*VLOOKUP('Données projet'!$B$10,Paramètres!$A$1:$I$89,5,0)</f>
        <v>325.13059999999939</v>
      </c>
      <c r="AK155" s="13">
        <f t="shared" si="164"/>
        <v>76.419884531487398</v>
      </c>
      <c r="AL155" s="20">
        <f t="shared" si="165"/>
        <v>699.36709389233954</v>
      </c>
      <c r="AM155" s="59">
        <f t="shared" si="113"/>
        <v>992.70042722567291</v>
      </c>
      <c r="AN155" s="59">
        <f ca="1">AVERAGE(OFFSET($AM$3,0,0,'Données projet'!$E$10+1,1))-AVERAGE(OFFSET($H$3,0,0,'Données projet'!$E$10+1,1))</f>
        <v>234.30804102916278</v>
      </c>
      <c r="AO155" s="59">
        <f t="shared" si="144"/>
        <v>91.137993288782411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3.4106051316484809E-13</v>
      </c>
      <c r="BE155" s="13">
        <f>BD155*VLOOKUP('Données projet'!$B$11,Paramètres!$A$1:$I$89,3,0)*VLOOKUP('Données projet'!$B$11,Paramètres!$A$1:$I$89,5,0)</f>
        <v>1.5961632016114892E-13</v>
      </c>
      <c r="BF155" s="13">
        <f t="shared" si="167"/>
        <v>2.2708641912150958E-12</v>
      </c>
      <c r="BG155" s="20">
        <f t="shared" si="168"/>
        <v>4.2330868906469593E-12</v>
      </c>
      <c r="BH155" s="59">
        <f t="shared" si="116"/>
        <v>293.33333333333752</v>
      </c>
      <c r="BI155" s="59">
        <f ca="1">AVERAGE(OFFSET($BH$3,0,0,'Données projet'!$E$11+1,1))-AVERAGE(OFFSET($H$3,0,0,'Données projet'!$E$11+1,1))</f>
        <v>158.58786357608489</v>
      </c>
      <c r="BJ155" s="59">
        <f t="shared" si="146"/>
        <v>163.20074068819849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5.6843418860808015E-13</v>
      </c>
      <c r="BZ155" s="13">
        <f>BY155*VLOOKUP('Données projet'!$B$12,Paramètres!$A$1:$I$89,3,0)*VLOOKUP('Données projet'!$B$12,Paramètres!$A$1:$I$89,5,0)</f>
        <v>2.6602720026858149E-13</v>
      </c>
      <c r="CA155" s="13">
        <f t="shared" si="170"/>
        <v>3.5662905043956649E-12</v>
      </c>
      <c r="CB155" s="20">
        <f t="shared" si="171"/>
        <v>6.6746200022902298E-12</v>
      </c>
      <c r="CC155" s="59">
        <f t="shared" si="119"/>
        <v>293.33333333333997</v>
      </c>
      <c r="CD155" s="59">
        <f ca="1">AVERAGE(OFFSET($CC$3,0,0,'Données projet'!$E$12+1,1))-AVERAGE(OFFSET($H$3,0,0,'Données projet'!$E$12+1,1))</f>
        <v>123.2823358462245</v>
      </c>
      <c r="CE155" s="59">
        <f t="shared" si="148"/>
        <v>92.75115399786057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-2.8421709430404007E-13</v>
      </c>
      <c r="CU155" s="17">
        <f>CT155*VLOOKUP('Données projet'!$B$13,Paramètres!$A$1:$I$89,3,0)*VLOOKUP('Données projet'!$B$13,Paramètres!$A$1:$I$89,5,0)</f>
        <v>-1.69961822393816E-13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179.32848817523677</v>
      </c>
      <c r="CZ155" s="59">
        <f t="shared" si="150"/>
        <v>131.3292389103035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0.44760158699550584</v>
      </c>
      <c r="DH155" s="21">
        <f>EXP(-LN(2)/2)*DH154+(1-EXP(-LN(2)/2))/(LN(2)/2)*DB155*DE155*VLOOKUP('Données projet'!$B$13,Paramètres!$A$1:$I$89,3,0)*0.475*44/12</f>
        <v>2.2824057649267761E-18</v>
      </c>
      <c r="DI155" s="22">
        <f t="shared" si="175"/>
        <v>0.44760158699550584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6.0235042735042912</v>
      </c>
      <c r="DO155" s="12">
        <f>IF('Données projet'!$A$166&gt;35,DO154+DN155-DW154,IF(A155&lt;'Données projet'!$A$166,$DL$205^A155,IF(A155='Données projet'!$A$166,'Données projet'!$B$166,DO154+DN155-DW154)))</f>
        <v>286.88034188034112</v>
      </c>
      <c r="DP155" s="17">
        <f>DO155*VLOOKUP('Données projet'!$B$14,Paramètres!$A$1:$I$89,3,0)*VLOOKUP('Données projet'!$B$14,Paramètres!$A$1:$I$89,5,0)</f>
        <v>277.47066666666598</v>
      </c>
      <c r="DQ155" s="13">
        <f t="shared" si="176"/>
        <v>66.432206069843431</v>
      </c>
      <c r="DR155" s="20">
        <f t="shared" si="177"/>
        <v>598.96417001608711</v>
      </c>
      <c r="DS155" s="59">
        <f t="shared" si="125"/>
        <v>892.29750334942037</v>
      </c>
      <c r="DT155" s="59">
        <f ca="1">AVERAGE(OFFSET($DS$3,0,0,'Données projet'!$E$14+1,1))-AVERAGE(OFFSET($H$3,0,0,'Données projet'!$E$14+1,1))</f>
        <v>340.4659523898373</v>
      </c>
      <c r="DU155" s="59">
        <f t="shared" si="152"/>
        <v>170.54530785680572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6.2499999999999947</v>
      </c>
      <c r="EJ155" s="12">
        <f>IF('Données projet'!$A$192&gt;35,EJ154+EI155-ER154,IF(A155&lt;'Données projet'!$A$192,$EG$205^A155,IF(A155='Données projet'!$A$192,'Données projet'!$B$192,EJ154+EI155-ER154)))</f>
        <v>359.33974358974297</v>
      </c>
      <c r="EK155" s="17">
        <f>EJ155*VLOOKUP('Données projet'!$B$15,Paramètres!$A$1:$I$89,3,0)*VLOOKUP('Données projet'!$B$15,Paramètres!$A$1:$I$89,5,0)</f>
        <v>347.55339999999939</v>
      </c>
      <c r="EL155" s="13">
        <f t="shared" si="179"/>
        <v>81.058525398430177</v>
      </c>
      <c r="EM155" s="20">
        <f t="shared" si="180"/>
        <v>746.49910340226472</v>
      </c>
      <c r="EN155" s="59">
        <f t="shared" si="128"/>
        <v>1039.8324367355981</v>
      </c>
      <c r="EO155" s="59">
        <f ca="1">AVERAGE(OFFSET($EN$3,0,0,'Données projet'!$E$15+1,1))-AVERAGE(OFFSET($H$3,0,0,'Données projet'!$E$15+1,1))</f>
        <v>262.20955982183017</v>
      </c>
      <c r="EP155" s="59">
        <f t="shared" si="154"/>
        <v>101.35842063036193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5.6843418860808015E-14</v>
      </c>
      <c r="FF155" s="17">
        <f>FE155*VLOOKUP('Données projet'!$B$16,Paramètres!$A$1:$I$89,3,0)*VLOOKUP('Données projet'!$B$16,Paramètres!$A$1:$I$89,5,0)</f>
        <v>4.5224624045658861E-14</v>
      </c>
      <c r="FG155" s="13">
        <f t="shared" si="182"/>
        <v>7.4514601661523691E-13</v>
      </c>
      <c r="FH155" s="20">
        <f t="shared" si="183"/>
        <v>1.3765621991510601E-12</v>
      </c>
      <c r="FI155" s="59">
        <f t="shared" si="131"/>
        <v>293.33333333333468</v>
      </c>
      <c r="FJ155" s="59">
        <f ca="1">AVERAGE(OFFSET($FI$3,0,0,'Données projet'!$E$16+1,1))-AVERAGE(OFFSET($H$3,0,0,'Données projet'!$E$16+1,1))</f>
        <v>199.58763537752952</v>
      </c>
      <c r="FK155" s="59">
        <f t="shared" si="156"/>
        <v>242.62852778451929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0.34921465687015474</v>
      </c>
      <c r="FS155" s="21">
        <f>EXP(-LN(2)/2)*FS154+(1-EXP(-LN(2)/2))/(LN(2)/2)*FM155*FP155*VLOOKUP('Données projet'!$B$16,Paramètres!$A$1:$I$89,3,0)*0.475*44/12</f>
        <v>4.6670819957035907E-18</v>
      </c>
      <c r="FT155" s="22">
        <f t="shared" si="184"/>
        <v>0.34921465687015474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5.6843418860808015E-14</v>
      </c>
      <c r="GA155" s="17">
        <f>FZ155*VLOOKUP('Données projet'!$B$17,Paramètres!$A$1:$I$89,3,0)*VLOOKUP('Données projet'!$B$17,Paramètres!$A$1:$I$89,5,0)</f>
        <v>4.1677594708744434E-14</v>
      </c>
      <c r="GB155" s="13">
        <f t="shared" si="185"/>
        <v>6.9326303456159188E-13</v>
      </c>
      <c r="GC155" s="20">
        <f t="shared" si="186"/>
        <v>1.2800215959791691E-12</v>
      </c>
      <c r="GD155" s="59">
        <f t="shared" si="134"/>
        <v>293.33333333333462</v>
      </c>
      <c r="GE155" s="59">
        <f ca="1">AVERAGE(OFFSET($GD$3,0,0,'Données projet'!$E$17+1,1))-AVERAGE(OFFSET($H$3,0,0,'Données projet'!$E$17+1,1))</f>
        <v>178.12968684094687</v>
      </c>
      <c r="GF155" s="59">
        <f t="shared" si="158"/>
        <v>219.36004077210373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0.26110352258031161</v>
      </c>
      <c r="GN155" s="21">
        <f>EXP(-LN(2)/2)*GN154+(1-EXP(-LN(2)/2))/(LN(2)/2)*GH155*GK155*VLOOKUP('Données projet'!$B$17,Paramètres!$A$1:$I$89,3,0)*0.475*44/12</f>
        <v>4.3010363489817367E-18</v>
      </c>
      <c r="GO155" s="21">
        <f t="shared" si="187"/>
        <v>0.26110352258031161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5.6843418860808015E-14</v>
      </c>
      <c r="GV155" s="17">
        <f>GU155*VLOOKUP('Données projet'!$B$18,Paramètres!$A$1:$I$89,3,0)*VLOOKUP('Données projet'!$B$18,Paramètres!$A$1:$I$89,5,0)</f>
        <v>4.5224624045658861E-14</v>
      </c>
      <c r="GW155" s="13">
        <f t="shared" si="188"/>
        <v>7.4514601661523691E-13</v>
      </c>
      <c r="GX155" s="20">
        <f t="shared" si="189"/>
        <v>1.3765621991510601E-12</v>
      </c>
      <c r="GY155" s="59">
        <f t="shared" si="137"/>
        <v>293.33333333333468</v>
      </c>
      <c r="GZ155" s="59">
        <f ca="1">AVERAGE(OFFSET($GY$3,0,0,'Données projet'!$E$18+1,1))-AVERAGE(OFFSET($H$3,0,0,'Données projet'!$E$18+1,1))</f>
        <v>199.58763537752952</v>
      </c>
      <c r="HA155" s="59">
        <f t="shared" si="160"/>
        <v>242.62852778451929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0</v>
      </c>
      <c r="HH155" s="21">
        <f>EXP(-LN(2)/25)*HH154+(1-EXP(-LN(2)/25))/(LN(2)/25)*Calculateur!HC155*Calculateur!HE155*VLOOKUP('Données projet'!$B$18,Paramètres!$A$1:$I$89,3,0)*0.475*44/12</f>
        <v>0.34921465687015474</v>
      </c>
      <c r="HI155" s="21">
        <f>EXP(-LN(2)/2)*HI154+(1-EXP(-LN(2)/2))/(LN(2)/2)*HC155*HF155*VLOOKUP('Données projet'!$B$18,Paramètres!$A$1:$I$89,3,0)*0.475*44/12</f>
        <v>4.6670819957035907E-18</v>
      </c>
      <c r="HJ155" s="22">
        <f t="shared" si="190"/>
        <v>0.34921465687015474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292.90384615384613</v>
      </c>
      <c r="L156" s="12">
        <f>VLOOKUP(A156,'Données projet'!$A$35:$I$55,9,0)</f>
        <v>6.0235042735042912</v>
      </c>
      <c r="M156" s="12">
        <f t="array" ref="M156">INDEX(L:L,MIN(IF(ISNUMBER(L156:L352),ROW(L156:L352),"")))</f>
        <v>6.0235042735042912</v>
      </c>
      <c r="N156" s="13">
        <f>IF('Données projet'!$A$36&gt;35,N155+M156-V155,IF(A156&lt;'Données projet'!$A$36,$K$205^A156,IF(A156='Données projet'!$A$36,'Données projet'!$B$36,N155+M156-V155)))</f>
        <v>292.90384615384539</v>
      </c>
      <c r="O156" s="13">
        <f>N156*VLOOKUP('Données projet'!$B$9,Paramètres!$A$1:$I$89,3,0)*VLOOKUP('Données projet'!$B$9,Paramètres!$A$1:$I$89,5,0)</f>
        <v>265.01939999999934</v>
      </c>
      <c r="P156" s="13">
        <f t="shared" si="141"/>
        <v>63.791117598380389</v>
      </c>
      <c r="Q156" s="20">
        <f t="shared" si="162"/>
        <v>572.67831815051125</v>
      </c>
      <c r="R156" s="59">
        <f t="shared" si="109"/>
        <v>866.01165148384462</v>
      </c>
      <c r="S156" s="59">
        <f ca="1">AVERAGE(OFFSET($R$3,0,0,'Données projet'!$E$9+1,1))-AVERAGE(OFFSET($H$3,0,0,'Données projet'!$E$9+1,1))</f>
        <v>309.07357540707869</v>
      </c>
      <c r="T156" s="59">
        <f t="shared" si="142"/>
        <v>155.9593924683299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105.26282051282051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6.2499999999999947</v>
      </c>
      <c r="AI156" s="13">
        <f>IF('Données projet'!$A$62&gt;35,AI155+AH156-AQ155,IF(A156&lt;'Données projet'!$A$62,$AF$205^A156,IF(A156='Données projet'!$A$62,'Données projet'!$B$62,AI155+AH156-AQ155)))</f>
        <v>365.58974358974297</v>
      </c>
      <c r="AJ156" s="13">
        <f>AI156*VLOOKUP('Données projet'!$B$10,Paramètres!$A$1:$I$89,3,0)*VLOOKUP('Données projet'!$B$10,Paramètres!$A$1:$I$89,5,0)</f>
        <v>330.78559999999942</v>
      </c>
      <c r="AK156" s="13">
        <f t="shared" si="164"/>
        <v>77.593159548575585</v>
      </c>
      <c r="AL156" s="20">
        <f t="shared" si="165"/>
        <v>711.25967288043466</v>
      </c>
      <c r="AM156" s="59">
        <f t="shared" si="113"/>
        <v>1004.5930062137679</v>
      </c>
      <c r="AN156" s="59">
        <f ca="1">AVERAGE(OFFSET($AM$3,0,0,'Données projet'!$E$10+1,1))-AVERAGE(OFFSET($H$3,0,0,'Données projet'!$E$10+1,1))</f>
        <v>234.30804102916278</v>
      </c>
      <c r="AO156" s="59">
        <f t="shared" si="144"/>
        <v>91.137993288782411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3.4106051316484809E-13</v>
      </c>
      <c r="BE156" s="13">
        <f>BD156*VLOOKUP('Données projet'!$B$11,Paramètres!$A$1:$I$89,3,0)*VLOOKUP('Données projet'!$B$11,Paramètres!$A$1:$I$89,5,0)</f>
        <v>1.5961632016114892E-13</v>
      </c>
      <c r="BF156" s="13">
        <f t="shared" si="167"/>
        <v>2.2708641912150958E-12</v>
      </c>
      <c r="BG156" s="20">
        <f t="shared" si="168"/>
        <v>4.2330868906469593E-12</v>
      </c>
      <c r="BH156" s="59">
        <f t="shared" si="116"/>
        <v>293.33333333333752</v>
      </c>
      <c r="BI156" s="59">
        <f ca="1">AVERAGE(OFFSET($BH$3,0,0,'Données projet'!$E$11+1,1))-AVERAGE(OFFSET($H$3,0,0,'Données projet'!$E$11+1,1))</f>
        <v>158.58786357608489</v>
      </c>
      <c r="BJ156" s="59">
        <f t="shared" si="146"/>
        <v>163.20074068819849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5.6843418860808015E-13</v>
      </c>
      <c r="BZ156" s="13">
        <f>BY156*VLOOKUP('Données projet'!$B$12,Paramètres!$A$1:$I$89,3,0)*VLOOKUP('Données projet'!$B$12,Paramètres!$A$1:$I$89,5,0)</f>
        <v>2.6602720026858149E-13</v>
      </c>
      <c r="CA156" s="13">
        <f t="shared" si="170"/>
        <v>3.5662905043956649E-12</v>
      </c>
      <c r="CB156" s="20">
        <f t="shared" si="171"/>
        <v>6.6746200022902298E-12</v>
      </c>
      <c r="CC156" s="59">
        <f t="shared" si="119"/>
        <v>293.33333333333997</v>
      </c>
      <c r="CD156" s="59">
        <f ca="1">AVERAGE(OFFSET($CC$3,0,0,'Données projet'!$E$12+1,1))-AVERAGE(OFFSET($H$3,0,0,'Données projet'!$E$12+1,1))</f>
        <v>123.2823358462245</v>
      </c>
      <c r="CE156" s="59">
        <f t="shared" si="148"/>
        <v>92.75115399786057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-2.8421709430404007E-13</v>
      </c>
      <c r="CU156" s="17">
        <f>CT156*VLOOKUP('Données projet'!$B$13,Paramètres!$A$1:$I$89,3,0)*VLOOKUP('Données projet'!$B$13,Paramètres!$A$1:$I$89,5,0)</f>
        <v>-1.69961822393816E-13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179.32848817523677</v>
      </c>
      <c r="CZ156" s="59">
        <f t="shared" si="150"/>
        <v>131.3292389103035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0.4353618980607693</v>
      </c>
      <c r="DH156" s="21">
        <f>EXP(-LN(2)/2)*DH155+(1-EXP(-LN(2)/2))/(LN(2)/2)*DB156*DE156*VLOOKUP('Données projet'!$B$13,Paramètres!$A$1:$I$89,3,0)*0.475*44/12</f>
        <v>1.6139045937989925E-18</v>
      </c>
      <c r="DI156" s="22">
        <f t="shared" si="175"/>
        <v>0.4353618980607693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292.90384615384613</v>
      </c>
      <c r="DM156" s="12">
        <f>VLOOKUP(A156,'Données projet'!$A$165:$I$185,9,0)</f>
        <v>6.0235042735042912</v>
      </c>
      <c r="DN156" s="12">
        <f t="array" ref="DN156">INDEX(DM:DM,MIN(IF(ISNUMBER(DM156:DM352),ROW(DM156:DM352),"")))</f>
        <v>6.0235042735042912</v>
      </c>
      <c r="DO156" s="12">
        <f>IF('Données projet'!$A$166&gt;35,DO155+DN156-DW155,IF(A156&lt;'Données projet'!$A$166,$DL$205^A156,IF(A156='Données projet'!$A$166,'Données projet'!$B$166,DO155+DN156-DW155)))</f>
        <v>292.90384615384539</v>
      </c>
      <c r="DP156" s="17">
        <f>DO156*VLOOKUP('Données projet'!$B$14,Paramètres!$A$1:$I$89,3,0)*VLOOKUP('Données projet'!$B$14,Paramètres!$A$1:$I$89,5,0)</f>
        <v>283.29659999999927</v>
      </c>
      <c r="DQ156" s="13">
        <f t="shared" si="176"/>
        <v>67.663199934724119</v>
      </c>
      <c r="DR156" s="20">
        <f t="shared" si="177"/>
        <v>611.2549848863099</v>
      </c>
      <c r="DS156" s="59">
        <f t="shared" si="125"/>
        <v>904.58831821964327</v>
      </c>
      <c r="DT156" s="59">
        <f ca="1">AVERAGE(OFFSET($DS$3,0,0,'Données projet'!$E$14+1,1))-AVERAGE(OFFSET($H$3,0,0,'Données projet'!$E$14+1,1))</f>
        <v>340.4659523898373</v>
      </c>
      <c r="DU156" s="59">
        <f t="shared" si="152"/>
        <v>170.54530785680572</v>
      </c>
      <c r="DV156" s="15">
        <f>IF(ISNA(VLOOKUP(A156,'Données projet'!$A$165:$I$185,3,0)),0,VLOOKUP(A156,'Données projet'!$A$165:$I$185,3,0))</f>
        <v>15</v>
      </c>
      <c r="DW156" s="15">
        <f>IF(ISNA(VLOOKUP(A156,'Données projet'!$A$165:$I$185,4,0)),0,VLOOKUP(A156,'Données projet'!$A$165:$I$185,4,0))</f>
        <v>105.26282051282051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6.2499999999999947</v>
      </c>
      <c r="EJ156" s="12">
        <f>IF('Données projet'!$A$192&gt;35,EJ155+EI156-ER155,IF(A156&lt;'Données projet'!$A$192,$EG$205^A156,IF(A156='Données projet'!$A$192,'Données projet'!$B$192,EJ155+EI156-ER155)))</f>
        <v>365.58974358974297</v>
      </c>
      <c r="EK156" s="17">
        <f>EJ156*VLOOKUP('Données projet'!$B$15,Paramètres!$A$1:$I$89,3,0)*VLOOKUP('Données projet'!$B$15,Paramètres!$A$1:$I$89,5,0)</f>
        <v>353.5983999999994</v>
      </c>
      <c r="EL156" s="13">
        <f t="shared" si="179"/>
        <v>82.303017500911778</v>
      </c>
      <c r="EM156" s="20">
        <f t="shared" si="180"/>
        <v>759.19496881408702</v>
      </c>
      <c r="EN156" s="59">
        <f t="shared" si="128"/>
        <v>1052.5283021474204</v>
      </c>
      <c r="EO156" s="59">
        <f ca="1">AVERAGE(OFFSET($EN$3,0,0,'Données projet'!$E$15+1,1))-AVERAGE(OFFSET($H$3,0,0,'Données projet'!$E$15+1,1))</f>
        <v>262.20955982183017</v>
      </c>
      <c r="EP156" s="59">
        <f t="shared" si="154"/>
        <v>101.35842063036193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5.6843418860808015E-14</v>
      </c>
      <c r="FF156" s="17">
        <f>FE156*VLOOKUP('Données projet'!$B$16,Paramètres!$A$1:$I$89,3,0)*VLOOKUP('Données projet'!$B$16,Paramètres!$A$1:$I$89,5,0)</f>
        <v>4.5224624045658861E-14</v>
      </c>
      <c r="FG156" s="13">
        <f t="shared" si="182"/>
        <v>7.4514601661523691E-13</v>
      </c>
      <c r="FH156" s="20">
        <f t="shared" si="183"/>
        <v>1.3765621991510601E-12</v>
      </c>
      <c r="FI156" s="59">
        <f t="shared" si="131"/>
        <v>293.33333333333468</v>
      </c>
      <c r="FJ156" s="59">
        <f ca="1">AVERAGE(OFFSET($FI$3,0,0,'Données projet'!$E$16+1,1))-AVERAGE(OFFSET($H$3,0,0,'Données projet'!$E$16+1,1))</f>
        <v>199.58763537752952</v>
      </c>
      <c r="FK156" s="59">
        <f t="shared" si="156"/>
        <v>242.62852778451929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0.3396653637136397</v>
      </c>
      <c r="FS156" s="21">
        <f>EXP(-LN(2)/2)*FS155+(1-EXP(-LN(2)/2))/(LN(2)/2)*FM156*FP156*VLOOKUP('Données projet'!$B$16,Paramètres!$A$1:$I$89,3,0)*0.475*44/12</f>
        <v>3.3001253275156545E-18</v>
      </c>
      <c r="FT156" s="22">
        <f t="shared" si="184"/>
        <v>0.3396653637136397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5.6843418860808015E-14</v>
      </c>
      <c r="GA156" s="17">
        <f>FZ156*VLOOKUP('Données projet'!$B$17,Paramètres!$A$1:$I$89,3,0)*VLOOKUP('Données projet'!$B$17,Paramètres!$A$1:$I$89,5,0)</f>
        <v>4.1677594708744434E-14</v>
      </c>
      <c r="GB156" s="13">
        <f t="shared" si="185"/>
        <v>6.9326303456159188E-13</v>
      </c>
      <c r="GC156" s="20">
        <f t="shared" si="186"/>
        <v>1.2800215959791691E-12</v>
      </c>
      <c r="GD156" s="59">
        <f t="shared" si="134"/>
        <v>293.33333333333462</v>
      </c>
      <c r="GE156" s="59">
        <f ca="1">AVERAGE(OFFSET($GD$3,0,0,'Données projet'!$E$17+1,1))-AVERAGE(OFFSET($H$3,0,0,'Données projet'!$E$17+1,1))</f>
        <v>178.12968684094687</v>
      </c>
      <c r="GF156" s="59">
        <f t="shared" si="158"/>
        <v>219.36004077210373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0.25396363302451552</v>
      </c>
      <c r="GN156" s="21">
        <f>EXP(-LN(2)/2)*GN155+(1-EXP(-LN(2)/2))/(LN(2)/2)*GH156*GK156*VLOOKUP('Données projet'!$B$17,Paramètres!$A$1:$I$89,3,0)*0.475*44/12</f>
        <v>3.0412919684948162E-18</v>
      </c>
      <c r="GO156" s="21">
        <f t="shared" si="187"/>
        <v>0.25396363302451552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5.6843418860808015E-14</v>
      </c>
      <c r="GV156" s="17">
        <f>GU156*VLOOKUP('Données projet'!$B$18,Paramètres!$A$1:$I$89,3,0)*VLOOKUP('Données projet'!$B$18,Paramètres!$A$1:$I$89,5,0)</f>
        <v>4.5224624045658861E-14</v>
      </c>
      <c r="GW156" s="13">
        <f t="shared" si="188"/>
        <v>7.4514601661523691E-13</v>
      </c>
      <c r="GX156" s="20">
        <f t="shared" si="189"/>
        <v>1.3765621991510601E-12</v>
      </c>
      <c r="GY156" s="59">
        <f t="shared" si="137"/>
        <v>293.33333333333468</v>
      </c>
      <c r="GZ156" s="59">
        <f ca="1">AVERAGE(OFFSET($GY$3,0,0,'Données projet'!$E$18+1,1))-AVERAGE(OFFSET($H$3,0,0,'Données projet'!$E$18+1,1))</f>
        <v>199.58763537752952</v>
      </c>
      <c r="HA156" s="59">
        <f t="shared" si="160"/>
        <v>242.62852778451929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0</v>
      </c>
      <c r="HH156" s="21">
        <f>EXP(-LN(2)/25)*HH155+(1-EXP(-LN(2)/25))/(LN(2)/25)*Calculateur!HC156*Calculateur!HE156*VLOOKUP('Données projet'!$B$18,Paramètres!$A$1:$I$89,3,0)*0.475*44/12</f>
        <v>0.3396653637136397</v>
      </c>
      <c r="HI156" s="21">
        <f>EXP(-LN(2)/2)*HI155+(1-EXP(-LN(2)/2))/(LN(2)/2)*HC156*HF156*VLOOKUP('Données projet'!$B$18,Paramètres!$A$1:$I$89,3,0)*0.475*44/12</f>
        <v>3.3001253275156545E-18</v>
      </c>
      <c r="HJ156" s="22">
        <f t="shared" si="190"/>
        <v>0.3396653637136397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2.724358974358978</v>
      </c>
      <c r="N157" s="13">
        <f>IF('Données projet'!$A$36&gt;35,N156+M157-V156,IF(A157&lt;'Données projet'!$A$36,$K$205^A157,IF(A157='Données projet'!$A$36,'Données projet'!$B$36,N156+M157-V156)))</f>
        <v>190.3653846153839</v>
      </c>
      <c r="O157" s="13">
        <f>N157*VLOOKUP('Données projet'!$B$9,Paramètres!$A$1:$I$89,3,0)*VLOOKUP('Données projet'!$B$9,Paramètres!$A$1:$I$89,5,0)</f>
        <v>172.24259999999936</v>
      </c>
      <c r="P157" s="13">
        <f t="shared" si="141"/>
        <v>43.591907642239391</v>
      </c>
      <c r="Q157" s="20">
        <f t="shared" si="162"/>
        <v>375.91176747689912</v>
      </c>
      <c r="R157" s="59">
        <f t="shared" si="109"/>
        <v>669.24510081023243</v>
      </c>
      <c r="S157" s="59">
        <f ca="1">AVERAGE(OFFSET($R$3,0,0,'Données projet'!$E$9+1,1))-AVERAGE(OFFSET($H$3,0,0,'Données projet'!$E$9+1,1))</f>
        <v>309.07357540707869</v>
      </c>
      <c r="T157" s="59">
        <f t="shared" si="142"/>
        <v>155.9593924683299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371.83974358974359</v>
      </c>
      <c r="AG157" s="12">
        <f>VLOOKUP(A157,'Données projet'!$A$61:$I$81,9,0)</f>
        <v>6.2499999999999947</v>
      </c>
      <c r="AH157" s="12">
        <f t="array" ref="AH157">INDEX(AG:AG,MIN(IF(ISNUMBER(AG157:AG353),ROW(AG157:AG353),"")))</f>
        <v>6.2499999999999947</v>
      </c>
      <c r="AI157" s="13">
        <f>IF('Données projet'!$A$62&gt;35,AI156+AH157-AQ156,IF(A157&lt;'Données projet'!$A$62,$AF$205^A157,IF(A157='Données projet'!$A$62,'Données projet'!$B$62,AI156+AH157-AQ156)))</f>
        <v>371.83974358974297</v>
      </c>
      <c r="AJ157" s="13">
        <f>AI157*VLOOKUP('Données projet'!$B$10,Paramètres!$A$1:$I$89,3,0)*VLOOKUP('Données projet'!$B$10,Paramètres!$A$1:$I$89,5,0)</f>
        <v>336.44059999999939</v>
      </c>
      <c r="AK157" s="13">
        <f t="shared" si="164"/>
        <v>78.76410202541777</v>
      </c>
      <c r="AL157" s="20">
        <f t="shared" si="165"/>
        <v>723.14818936093491</v>
      </c>
      <c r="AM157" s="59">
        <f t="shared" si="113"/>
        <v>1016.4815226942683</v>
      </c>
      <c r="AN157" s="59">
        <f ca="1">AVERAGE(OFFSET($AM$3,0,0,'Données projet'!$E$10+1,1))-AVERAGE(OFFSET($H$3,0,0,'Données projet'!$E$10+1,1))</f>
        <v>234.30804102916278</v>
      </c>
      <c r="AO157" s="59">
        <f t="shared" si="144"/>
        <v>91.137993288782411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41.557692307692307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3.4106051316484809E-13</v>
      </c>
      <c r="BE157" s="13">
        <f>BD157*VLOOKUP('Données projet'!$B$11,Paramètres!$A$1:$I$89,3,0)*VLOOKUP('Données projet'!$B$11,Paramètres!$A$1:$I$89,5,0)</f>
        <v>1.5961632016114892E-13</v>
      </c>
      <c r="BF157" s="13">
        <f t="shared" si="167"/>
        <v>2.2708641912150958E-12</v>
      </c>
      <c r="BG157" s="20">
        <f t="shared" si="168"/>
        <v>4.2330868906469593E-12</v>
      </c>
      <c r="BH157" s="59">
        <f t="shared" si="116"/>
        <v>293.33333333333752</v>
      </c>
      <c r="BI157" s="59">
        <f ca="1">AVERAGE(OFFSET($BH$3,0,0,'Données projet'!$E$11+1,1))-AVERAGE(OFFSET($H$3,0,0,'Données projet'!$E$11+1,1))</f>
        <v>158.58786357608489</v>
      </c>
      <c r="BJ157" s="59">
        <f t="shared" si="146"/>
        <v>163.20074068819849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5.6843418860808015E-13</v>
      </c>
      <c r="BZ157" s="13">
        <f>BY157*VLOOKUP('Données projet'!$B$12,Paramètres!$A$1:$I$89,3,0)*VLOOKUP('Données projet'!$B$12,Paramètres!$A$1:$I$89,5,0)</f>
        <v>2.6602720026858149E-13</v>
      </c>
      <c r="CA157" s="13">
        <f t="shared" si="170"/>
        <v>3.5662905043956649E-12</v>
      </c>
      <c r="CB157" s="20">
        <f t="shared" si="171"/>
        <v>6.6746200022902298E-12</v>
      </c>
      <c r="CC157" s="59">
        <f t="shared" si="119"/>
        <v>293.33333333333997</v>
      </c>
      <c r="CD157" s="59">
        <f ca="1">AVERAGE(OFFSET($CC$3,0,0,'Données projet'!$E$12+1,1))-AVERAGE(OFFSET($H$3,0,0,'Données projet'!$E$12+1,1))</f>
        <v>123.2823358462245</v>
      </c>
      <c r="CE157" s="59">
        <f t="shared" si="148"/>
        <v>92.75115399786057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-2.8421709430404007E-13</v>
      </c>
      <c r="CU157" s="17">
        <f>CT157*VLOOKUP('Données projet'!$B$13,Paramètres!$A$1:$I$89,3,0)*VLOOKUP('Données projet'!$B$13,Paramètres!$A$1:$I$89,5,0)</f>
        <v>-1.69961822393816E-13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179.32848817523677</v>
      </c>
      <c r="CZ157" s="59">
        <f t="shared" si="150"/>
        <v>131.3292389103035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0.42345690406361036</v>
      </c>
      <c r="DH157" s="21">
        <f>EXP(-LN(2)/2)*DH156+(1-EXP(-LN(2)/2))/(LN(2)/2)*DB157*DE157*VLOOKUP('Données projet'!$B$13,Paramètres!$A$1:$I$89,3,0)*0.475*44/12</f>
        <v>1.1412028824633881E-18</v>
      </c>
      <c r="DI157" s="22">
        <f t="shared" si="175"/>
        <v>0.42345690406361036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2.724358974358978</v>
      </c>
      <c r="DO157" s="12">
        <f>IF('Données projet'!$A$166&gt;35,DO156+DN157-DW156,IF(A157&lt;'Données projet'!$A$166,$DL$205^A157,IF(A157='Données projet'!$A$166,'Données projet'!$B$166,DO156+DN157-DW156)))</f>
        <v>190.3653846153839</v>
      </c>
      <c r="DP157" s="17">
        <f>DO157*VLOOKUP('Données projet'!$B$14,Paramètres!$A$1:$I$89,3,0)*VLOOKUP('Données projet'!$B$14,Paramètres!$A$1:$I$89,5,0)</f>
        <v>184.12139999999931</v>
      </c>
      <c r="DQ157" s="13">
        <f t="shared" si="176"/>
        <v>46.237910125715722</v>
      </c>
      <c r="DR157" s="20">
        <f t="shared" si="177"/>
        <v>401.209131802287</v>
      </c>
      <c r="DS157" s="59">
        <f t="shared" si="125"/>
        <v>694.54246513562032</v>
      </c>
      <c r="DT157" s="59">
        <f ca="1">AVERAGE(OFFSET($DS$3,0,0,'Données projet'!$E$14+1,1))-AVERAGE(OFFSET($H$3,0,0,'Données projet'!$E$14+1,1))</f>
        <v>340.4659523898373</v>
      </c>
      <c r="DU157" s="59">
        <f t="shared" si="152"/>
        <v>170.54530785680572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>
        <f>VLOOKUP(A157,'Données projet'!$A$191:$I$211,2,0)</f>
        <v>371.83974358974359</v>
      </c>
      <c r="EH157" s="12">
        <f>VLOOKUP(A157,'Données projet'!$A$191:$I$211,9,0)</f>
        <v>6.2499999999999947</v>
      </c>
      <c r="EI157" s="12">
        <f t="array" ref="EI157">INDEX(EH:EH,MIN(IF(ISNUMBER(EH157:EH353),ROW(EH157:EH353),"")))</f>
        <v>6.2499999999999947</v>
      </c>
      <c r="EJ157" s="12">
        <f>IF('Données projet'!$A$192&gt;35,EJ156+EI157-ER156,IF(A157&lt;'Données projet'!$A$192,$EG$205^A157,IF(A157='Données projet'!$A$192,'Données projet'!$B$192,EJ156+EI157-ER156)))</f>
        <v>371.83974358974297</v>
      </c>
      <c r="EK157" s="17">
        <f>EJ157*VLOOKUP('Données projet'!$B$15,Paramètres!$A$1:$I$89,3,0)*VLOOKUP('Données projet'!$B$15,Paramètres!$A$1:$I$89,5,0)</f>
        <v>359.64339999999942</v>
      </c>
      <c r="EL157" s="13">
        <f t="shared" si="179"/>
        <v>83.545035479362198</v>
      </c>
      <c r="EM157" s="20">
        <f t="shared" si="180"/>
        <v>771.88652512655472</v>
      </c>
      <c r="EN157" s="59">
        <f t="shared" si="128"/>
        <v>1065.219858459888</v>
      </c>
      <c r="EO157" s="59">
        <f ca="1">AVERAGE(OFFSET($EN$3,0,0,'Données projet'!$E$15+1,1))-AVERAGE(OFFSET($H$3,0,0,'Données projet'!$E$15+1,1))</f>
        <v>262.20955982183017</v>
      </c>
      <c r="EP157" s="59">
        <f t="shared" si="154"/>
        <v>101.35842063036193</v>
      </c>
      <c r="EQ157" s="15">
        <f>IF(ISNA(VLOOKUP(A157,'Données projet'!$A$191:$I$211,3,0)),0,VLOOKUP(A157,'Données projet'!$A$191:$I$211,3,0))</f>
        <v>13</v>
      </c>
      <c r="ER157" s="15">
        <f>IF(ISNA(VLOOKUP(A157,'Données projet'!$A$191:$I$211,4,0)),0,VLOOKUP(A157,'Données projet'!$A$191:$I$211,4,0))</f>
        <v>41.557692307692307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5.6843418860808015E-14</v>
      </c>
      <c r="FF157" s="17">
        <f>FE157*VLOOKUP('Données projet'!$B$16,Paramètres!$A$1:$I$89,3,0)*VLOOKUP('Données projet'!$B$16,Paramètres!$A$1:$I$89,5,0)</f>
        <v>4.5224624045658861E-14</v>
      </c>
      <c r="FG157" s="13">
        <f t="shared" si="182"/>
        <v>7.4514601661523691E-13</v>
      </c>
      <c r="FH157" s="20">
        <f t="shared" si="183"/>
        <v>1.3765621991510601E-12</v>
      </c>
      <c r="FI157" s="59">
        <f t="shared" si="131"/>
        <v>293.33333333333468</v>
      </c>
      <c r="FJ157" s="59">
        <f ca="1">AVERAGE(OFFSET($FI$3,0,0,'Données projet'!$E$16+1,1))-AVERAGE(OFFSET($H$3,0,0,'Données projet'!$E$16+1,1))</f>
        <v>199.58763537752952</v>
      </c>
      <c r="FK157" s="59">
        <f t="shared" si="156"/>
        <v>242.62852778451929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0.33037719648066505</v>
      </c>
      <c r="FS157" s="21">
        <f>EXP(-LN(2)/2)*FS156+(1-EXP(-LN(2)/2))/(LN(2)/2)*FM157*FP157*VLOOKUP('Données projet'!$B$16,Paramètres!$A$1:$I$89,3,0)*0.475*44/12</f>
        <v>2.3335409978517954E-18</v>
      </c>
      <c r="FT157" s="22">
        <f t="shared" si="184"/>
        <v>0.33037719648066505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5.6843418860808015E-14</v>
      </c>
      <c r="GA157" s="17">
        <f>FZ157*VLOOKUP('Données projet'!$B$17,Paramètres!$A$1:$I$89,3,0)*VLOOKUP('Données projet'!$B$17,Paramètres!$A$1:$I$89,5,0)</f>
        <v>4.1677594708744434E-14</v>
      </c>
      <c r="GB157" s="13">
        <f t="shared" si="185"/>
        <v>6.9326303456159188E-13</v>
      </c>
      <c r="GC157" s="20">
        <f t="shared" si="186"/>
        <v>1.2800215959791691E-12</v>
      </c>
      <c r="GD157" s="59">
        <f t="shared" si="134"/>
        <v>293.33333333333462</v>
      </c>
      <c r="GE157" s="59">
        <f ca="1">AVERAGE(OFFSET($GD$3,0,0,'Données projet'!$E$17+1,1))-AVERAGE(OFFSET($H$3,0,0,'Données projet'!$E$17+1,1))</f>
        <v>178.12968684094687</v>
      </c>
      <c r="GF157" s="59">
        <f t="shared" si="158"/>
        <v>219.36004077210373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0.24701898412409312</v>
      </c>
      <c r="GN157" s="21">
        <f>EXP(-LN(2)/2)*GN156+(1-EXP(-LN(2)/2))/(LN(2)/2)*GH157*GK157*VLOOKUP('Données projet'!$B$17,Paramètres!$A$1:$I$89,3,0)*0.475*44/12</f>
        <v>2.1505181744908683E-18</v>
      </c>
      <c r="GO157" s="21">
        <f t="shared" si="187"/>
        <v>0.24701898412409312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5.6843418860808015E-14</v>
      </c>
      <c r="GV157" s="17">
        <f>GU157*VLOOKUP('Données projet'!$B$18,Paramètres!$A$1:$I$89,3,0)*VLOOKUP('Données projet'!$B$18,Paramètres!$A$1:$I$89,5,0)</f>
        <v>4.5224624045658861E-14</v>
      </c>
      <c r="GW157" s="13">
        <f t="shared" si="188"/>
        <v>7.4514601661523691E-13</v>
      </c>
      <c r="GX157" s="20">
        <f t="shared" si="189"/>
        <v>1.3765621991510601E-12</v>
      </c>
      <c r="GY157" s="59">
        <f t="shared" si="137"/>
        <v>293.33333333333468</v>
      </c>
      <c r="GZ157" s="59">
        <f ca="1">AVERAGE(OFFSET($GY$3,0,0,'Données projet'!$E$18+1,1))-AVERAGE(OFFSET($H$3,0,0,'Données projet'!$E$18+1,1))</f>
        <v>199.58763537752952</v>
      </c>
      <c r="HA157" s="59">
        <f t="shared" si="160"/>
        <v>242.62852778451929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0</v>
      </c>
      <c r="HH157" s="21">
        <f>EXP(-LN(2)/25)*HH156+(1-EXP(-LN(2)/25))/(LN(2)/25)*Calculateur!HC157*Calculateur!HE157*VLOOKUP('Données projet'!$B$18,Paramètres!$A$1:$I$89,3,0)*0.475*44/12</f>
        <v>0.33037719648066505</v>
      </c>
      <c r="HI157" s="21">
        <f>EXP(-LN(2)/2)*HI156+(1-EXP(-LN(2)/2))/(LN(2)/2)*HC157*HF157*VLOOKUP('Données projet'!$B$18,Paramètres!$A$1:$I$89,3,0)*0.475*44/12</f>
        <v>2.3335409978517954E-18</v>
      </c>
      <c r="HJ157" s="22">
        <f t="shared" si="190"/>
        <v>0.33037719648066505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2.724358974358978</v>
      </c>
      <c r="N158" s="13">
        <f>IF('Données projet'!$A$36&gt;35,N157+M158-V157,IF(A158&lt;'Données projet'!$A$36,$K$205^A158,IF(A158='Données projet'!$A$36,'Données projet'!$B$36,N157+M158-V157)))</f>
        <v>193.08974358974288</v>
      </c>
      <c r="O158" s="13">
        <f>N158*VLOOKUP('Données projet'!$B$9,Paramètres!$A$1:$I$89,3,0)*VLOOKUP('Données projet'!$B$9,Paramètres!$A$1:$I$89,5,0)</f>
        <v>174.70759999999936</v>
      </c>
      <c r="P158" s="13">
        <f t="shared" si="141"/>
        <v>44.142687394836166</v>
      </c>
      <c r="Q158" s="20">
        <f t="shared" si="162"/>
        <v>381.16425054600518</v>
      </c>
      <c r="R158" s="59">
        <f t="shared" si="109"/>
        <v>674.49758387933844</v>
      </c>
      <c r="S158" s="59">
        <f ca="1">AVERAGE(OFFSET($R$3,0,0,'Données projet'!$E$9+1,1))-AVERAGE(OFFSET($H$3,0,0,'Données projet'!$E$9+1,1))</f>
        <v>309.07357540707869</v>
      </c>
      <c r="T158" s="59">
        <f t="shared" si="142"/>
        <v>155.9593924683299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6.3403846153846128</v>
      </c>
      <c r="AI158" s="13">
        <f>IF('Données projet'!$A$62&gt;35,AI157+AH158-AQ157,IF(A158&lt;'Données projet'!$A$62,$AF$205^A158,IF(A158='Données projet'!$A$62,'Données projet'!$B$62,AI157+AH158-AQ157)))</f>
        <v>336.62243589743525</v>
      </c>
      <c r="AJ158" s="13">
        <f>AI158*VLOOKUP('Données projet'!$B$10,Paramètres!$A$1:$I$89,3,0)*VLOOKUP('Données projet'!$B$10,Paramètres!$A$1:$I$89,5,0)</f>
        <v>304.57597999999939</v>
      </c>
      <c r="AK158" s="13">
        <f t="shared" si="164"/>
        <v>72.134917834185984</v>
      </c>
      <c r="AL158" s="20">
        <f t="shared" si="165"/>
        <v>656.10481372787297</v>
      </c>
      <c r="AM158" s="59">
        <f t="shared" si="113"/>
        <v>949.43814706120634</v>
      </c>
      <c r="AN158" s="59">
        <f ca="1">AVERAGE(OFFSET($AM$3,0,0,'Données projet'!$E$10+1,1))-AVERAGE(OFFSET($H$3,0,0,'Données projet'!$E$10+1,1))</f>
        <v>234.30804102916278</v>
      </c>
      <c r="AO158" s="59">
        <f t="shared" si="144"/>
        <v>91.137993288782411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3.4106051316484809E-13</v>
      </c>
      <c r="BE158" s="13">
        <f>BD158*VLOOKUP('Données projet'!$B$11,Paramètres!$A$1:$I$89,3,0)*VLOOKUP('Données projet'!$B$11,Paramètres!$A$1:$I$89,5,0)</f>
        <v>1.5961632016114892E-13</v>
      </c>
      <c r="BF158" s="13">
        <f t="shared" si="167"/>
        <v>2.2708641912150958E-12</v>
      </c>
      <c r="BG158" s="20">
        <f t="shared" si="168"/>
        <v>4.2330868906469593E-12</v>
      </c>
      <c r="BH158" s="59">
        <f t="shared" si="116"/>
        <v>293.33333333333752</v>
      </c>
      <c r="BI158" s="59">
        <f ca="1">AVERAGE(OFFSET($BH$3,0,0,'Données projet'!$E$11+1,1))-AVERAGE(OFFSET($H$3,0,0,'Données projet'!$E$11+1,1))</f>
        <v>158.58786357608489</v>
      </c>
      <c r="BJ158" s="59">
        <f t="shared" si="146"/>
        <v>163.20074068819849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5.6843418860808015E-13</v>
      </c>
      <c r="BZ158" s="13">
        <f>BY158*VLOOKUP('Données projet'!$B$12,Paramètres!$A$1:$I$89,3,0)*VLOOKUP('Données projet'!$B$12,Paramètres!$A$1:$I$89,5,0)</f>
        <v>2.6602720026858149E-13</v>
      </c>
      <c r="CA158" s="13">
        <f t="shared" si="170"/>
        <v>3.5662905043956649E-12</v>
      </c>
      <c r="CB158" s="20">
        <f t="shared" si="171"/>
        <v>6.6746200022902298E-12</v>
      </c>
      <c r="CC158" s="59">
        <f t="shared" si="119"/>
        <v>293.33333333333997</v>
      </c>
      <c r="CD158" s="59">
        <f ca="1">AVERAGE(OFFSET($CC$3,0,0,'Données projet'!$E$12+1,1))-AVERAGE(OFFSET($H$3,0,0,'Données projet'!$E$12+1,1))</f>
        <v>123.2823358462245</v>
      </c>
      <c r="CE158" s="59">
        <f t="shared" si="148"/>
        <v>92.75115399786057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-2.8421709430404007E-13</v>
      </c>
      <c r="CU158" s="17">
        <f>CT158*VLOOKUP('Données projet'!$B$13,Paramètres!$A$1:$I$89,3,0)*VLOOKUP('Données projet'!$B$13,Paramètres!$A$1:$I$89,5,0)</f>
        <v>-1.69961822393816E-13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179.32848817523677</v>
      </c>
      <c r="CZ158" s="59">
        <f t="shared" si="150"/>
        <v>131.3292389103035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0.41187745275336018</v>
      </c>
      <c r="DH158" s="21">
        <f>EXP(-LN(2)/2)*DH157+(1-EXP(-LN(2)/2))/(LN(2)/2)*DB158*DE158*VLOOKUP('Données projet'!$B$13,Paramètres!$A$1:$I$89,3,0)*0.475*44/12</f>
        <v>8.0695229689949627E-19</v>
      </c>
      <c r="DI158" s="22">
        <f t="shared" si="175"/>
        <v>0.41187745275336018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2.724358974358978</v>
      </c>
      <c r="DO158" s="12">
        <f>IF('Données projet'!$A$166&gt;35,DO157+DN158-DW157,IF(A158&lt;'Données projet'!$A$166,$DL$205^A158,IF(A158='Données projet'!$A$166,'Données projet'!$B$166,DO157+DN158-DW157)))</f>
        <v>193.08974358974288</v>
      </c>
      <c r="DP158" s="17">
        <f>DO158*VLOOKUP('Données projet'!$B$14,Paramètres!$A$1:$I$89,3,0)*VLOOKUP('Données projet'!$B$14,Paramètres!$A$1:$I$89,5,0)</f>
        <v>186.7563999999993</v>
      </c>
      <c r="DQ158" s="13">
        <f t="shared" si="176"/>
        <v>46.822121876865488</v>
      </c>
      <c r="DR158" s="20">
        <f t="shared" si="177"/>
        <v>406.81592560220616</v>
      </c>
      <c r="DS158" s="59">
        <f t="shared" si="125"/>
        <v>700.14925893553948</v>
      </c>
      <c r="DT158" s="59">
        <f ca="1">AVERAGE(OFFSET($DS$3,0,0,'Données projet'!$E$14+1,1))-AVERAGE(OFFSET($H$3,0,0,'Données projet'!$E$14+1,1))</f>
        <v>340.4659523898373</v>
      </c>
      <c r="DU158" s="59">
        <f t="shared" si="152"/>
        <v>170.54530785680572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6.3403846153846128</v>
      </c>
      <c r="EJ158" s="12">
        <f>IF('Données projet'!$A$192&gt;35,EJ157+EI158-ER157,IF(A158&lt;'Données projet'!$A$192,$EG$205^A158,IF(A158='Données projet'!$A$192,'Données projet'!$B$192,EJ157+EI158-ER157)))</f>
        <v>336.62243589743525</v>
      </c>
      <c r="EK158" s="17">
        <f>EJ158*VLOOKUP('Données projet'!$B$15,Paramètres!$A$1:$I$89,3,0)*VLOOKUP('Données projet'!$B$15,Paramètres!$A$1:$I$89,5,0)</f>
        <v>325.5812199999994</v>
      </c>
      <c r="EL158" s="13">
        <f t="shared" si="179"/>
        <v>76.513463808844591</v>
      </c>
      <c r="EM158" s="20">
        <f t="shared" si="180"/>
        <v>700.31490763373665</v>
      </c>
      <c r="EN158" s="59">
        <f t="shared" si="128"/>
        <v>993.64824096707002</v>
      </c>
      <c r="EO158" s="59">
        <f ca="1">AVERAGE(OFFSET($EN$3,0,0,'Données projet'!$E$15+1,1))-AVERAGE(OFFSET($H$3,0,0,'Données projet'!$E$15+1,1))</f>
        <v>262.20955982183017</v>
      </c>
      <c r="EP158" s="59">
        <f t="shared" si="154"/>
        <v>101.35842063036193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5.6843418860808015E-14</v>
      </c>
      <c r="FF158" s="17">
        <f>FE158*VLOOKUP('Données projet'!$B$16,Paramètres!$A$1:$I$89,3,0)*VLOOKUP('Données projet'!$B$16,Paramètres!$A$1:$I$89,5,0)</f>
        <v>4.5224624045658861E-14</v>
      </c>
      <c r="FG158" s="13">
        <f t="shared" si="182"/>
        <v>7.4514601661523691E-13</v>
      </c>
      <c r="FH158" s="20">
        <f t="shared" si="183"/>
        <v>1.3765621991510601E-12</v>
      </c>
      <c r="FI158" s="59">
        <f t="shared" si="131"/>
        <v>293.33333333333468</v>
      </c>
      <c r="FJ158" s="59">
        <f ca="1">AVERAGE(OFFSET($FI$3,0,0,'Données projet'!$E$16+1,1))-AVERAGE(OFFSET($H$3,0,0,'Données projet'!$E$16+1,1))</f>
        <v>199.58763537752952</v>
      </c>
      <c r="FK158" s="59">
        <f t="shared" si="156"/>
        <v>242.62852778451929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0.32134301466911958</v>
      </c>
      <c r="FS158" s="21">
        <f>EXP(-LN(2)/2)*FS157+(1-EXP(-LN(2)/2))/(LN(2)/2)*FM158*FP158*VLOOKUP('Données projet'!$B$16,Paramètres!$A$1:$I$89,3,0)*0.475*44/12</f>
        <v>1.6500626637578272E-18</v>
      </c>
      <c r="FT158" s="22">
        <f t="shared" si="184"/>
        <v>0.32134301466911958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5.6843418860808015E-14</v>
      </c>
      <c r="GA158" s="17">
        <f>FZ158*VLOOKUP('Données projet'!$B$17,Paramètres!$A$1:$I$89,3,0)*VLOOKUP('Données projet'!$B$17,Paramètres!$A$1:$I$89,5,0)</f>
        <v>4.1677594708744434E-14</v>
      </c>
      <c r="GB158" s="13">
        <f t="shared" si="185"/>
        <v>6.9326303456159188E-13</v>
      </c>
      <c r="GC158" s="20">
        <f t="shared" si="186"/>
        <v>1.2800215959791691E-12</v>
      </c>
      <c r="GD158" s="59">
        <f t="shared" si="134"/>
        <v>293.33333333333462</v>
      </c>
      <c r="GE158" s="59">
        <f ca="1">AVERAGE(OFFSET($GD$3,0,0,'Données projet'!$E$17+1,1))-AVERAGE(OFFSET($H$3,0,0,'Données projet'!$E$17+1,1))</f>
        <v>178.12968684094687</v>
      </c>
      <c r="GF158" s="59">
        <f t="shared" si="158"/>
        <v>219.36004077210373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0.24026423701305599</v>
      </c>
      <c r="GN158" s="21">
        <f>EXP(-LN(2)/2)*GN157+(1-EXP(-LN(2)/2))/(LN(2)/2)*GH158*GK158*VLOOKUP('Données projet'!$B$17,Paramètres!$A$1:$I$89,3,0)*0.475*44/12</f>
        <v>1.5206459842474081E-18</v>
      </c>
      <c r="GO158" s="21">
        <f t="shared" si="187"/>
        <v>0.24026423701305599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5.6843418860808015E-14</v>
      </c>
      <c r="GV158" s="17">
        <f>GU158*VLOOKUP('Données projet'!$B$18,Paramètres!$A$1:$I$89,3,0)*VLOOKUP('Données projet'!$B$18,Paramètres!$A$1:$I$89,5,0)</f>
        <v>4.5224624045658861E-14</v>
      </c>
      <c r="GW158" s="13">
        <f t="shared" si="188"/>
        <v>7.4514601661523691E-13</v>
      </c>
      <c r="GX158" s="20">
        <f t="shared" si="189"/>
        <v>1.3765621991510601E-12</v>
      </c>
      <c r="GY158" s="59">
        <f t="shared" si="137"/>
        <v>293.33333333333468</v>
      </c>
      <c r="GZ158" s="59">
        <f ca="1">AVERAGE(OFFSET($GY$3,0,0,'Données projet'!$E$18+1,1))-AVERAGE(OFFSET($H$3,0,0,'Données projet'!$E$18+1,1))</f>
        <v>199.58763537752952</v>
      </c>
      <c r="HA158" s="59">
        <f t="shared" si="160"/>
        <v>242.62852778451929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0</v>
      </c>
      <c r="HH158" s="21">
        <f>EXP(-LN(2)/25)*HH157+(1-EXP(-LN(2)/25))/(LN(2)/25)*Calculateur!HC158*Calculateur!HE158*VLOOKUP('Données projet'!$B$18,Paramètres!$A$1:$I$89,3,0)*0.475*44/12</f>
        <v>0.32134301466911958</v>
      </c>
      <c r="HI158" s="21">
        <f>EXP(-LN(2)/2)*HI157+(1-EXP(-LN(2)/2))/(LN(2)/2)*HC158*HF158*VLOOKUP('Données projet'!$B$18,Paramètres!$A$1:$I$89,3,0)*0.475*44/12</f>
        <v>1.6500626637578272E-18</v>
      </c>
      <c r="HJ158" s="22">
        <f t="shared" si="190"/>
        <v>0.32134301466911958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195.81410256410257</v>
      </c>
      <c r="L159" s="12">
        <f>VLOOKUP(A159,'Données projet'!$A$35:$I$55,9,0)</f>
        <v>2.724358974358978</v>
      </c>
      <c r="M159" s="12">
        <f t="array" ref="M159">INDEX(L:L,MIN(IF(ISNUMBER(L159:L355),ROW(L159:L355),"")))</f>
        <v>2.724358974358978</v>
      </c>
      <c r="N159" s="13">
        <f>IF('Données projet'!$A$36&gt;35,N158+M159-V158,IF(A159&lt;'Données projet'!$A$36,$K$205^A159,IF(A159='Données projet'!$A$36,'Données projet'!$B$36,N158+M159-V158)))</f>
        <v>195.81410256410186</v>
      </c>
      <c r="O159" s="13">
        <f>N159*VLOOKUP('Données projet'!$B$9,Paramètres!$A$1:$I$89,3,0)*VLOOKUP('Données projet'!$B$9,Paramètres!$A$1:$I$89,5,0)</f>
        <v>177.17259999999936</v>
      </c>
      <c r="P159" s="13">
        <f t="shared" si="141"/>
        <v>44.692563300824965</v>
      </c>
      <c r="Q159" s="20">
        <f t="shared" si="162"/>
        <v>386.41515941560237</v>
      </c>
      <c r="R159" s="59">
        <f t="shared" si="109"/>
        <v>679.74849274893563</v>
      </c>
      <c r="S159" s="59">
        <f ca="1">AVERAGE(OFFSET($R$3,0,0,'Données projet'!$E$9+1,1))-AVERAGE(OFFSET($H$3,0,0,'Données projet'!$E$9+1,1))</f>
        <v>309.07357540707869</v>
      </c>
      <c r="T159" s="59">
        <f t="shared" si="142"/>
        <v>155.9593924683299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65.070512820512818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6.3403846153846128</v>
      </c>
      <c r="AI159" s="13">
        <f>IF('Données projet'!$A$62&gt;35,AI158+AH159-AQ158,IF(A159&lt;'Données projet'!$A$62,$AF$205^A159,IF(A159='Données projet'!$A$62,'Données projet'!$B$62,AI158+AH159-AQ158)))</f>
        <v>342.96282051281986</v>
      </c>
      <c r="AJ159" s="13">
        <f>AI159*VLOOKUP('Données projet'!$B$10,Paramètres!$A$1:$I$89,3,0)*VLOOKUP('Données projet'!$B$10,Paramètres!$A$1:$I$89,5,0)</f>
        <v>310.3127599999994</v>
      </c>
      <c r="AK159" s="13">
        <f t="shared" si="164"/>
        <v>73.334143074131532</v>
      </c>
      <c r="AL159" s="20">
        <f t="shared" si="165"/>
        <v>668.18502285411137</v>
      </c>
      <c r="AM159" s="59">
        <f t="shared" si="113"/>
        <v>961.51835618744462</v>
      </c>
      <c r="AN159" s="59">
        <f ca="1">AVERAGE(OFFSET($AM$3,0,0,'Données projet'!$E$10+1,1))-AVERAGE(OFFSET($H$3,0,0,'Données projet'!$E$10+1,1))</f>
        <v>234.30804102916278</v>
      </c>
      <c r="AO159" s="59">
        <f t="shared" si="144"/>
        <v>91.137993288782411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3.4106051316484809E-13</v>
      </c>
      <c r="BE159" s="13">
        <f>BD159*VLOOKUP('Données projet'!$B$11,Paramètres!$A$1:$I$89,3,0)*VLOOKUP('Données projet'!$B$11,Paramètres!$A$1:$I$89,5,0)</f>
        <v>1.5961632016114892E-13</v>
      </c>
      <c r="BF159" s="13">
        <f t="shared" si="167"/>
        <v>2.2708641912150958E-12</v>
      </c>
      <c r="BG159" s="20">
        <f t="shared" si="168"/>
        <v>4.2330868906469593E-12</v>
      </c>
      <c r="BH159" s="59">
        <f t="shared" si="116"/>
        <v>293.33333333333752</v>
      </c>
      <c r="BI159" s="59">
        <f ca="1">AVERAGE(OFFSET($BH$3,0,0,'Données projet'!$E$11+1,1))-AVERAGE(OFFSET($H$3,0,0,'Données projet'!$E$11+1,1))</f>
        <v>158.58786357608489</v>
      </c>
      <c r="BJ159" s="59">
        <f t="shared" si="146"/>
        <v>163.20074068819849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5.6843418860808015E-13</v>
      </c>
      <c r="BZ159" s="13">
        <f>BY159*VLOOKUP('Données projet'!$B$12,Paramètres!$A$1:$I$89,3,0)*VLOOKUP('Données projet'!$B$12,Paramètres!$A$1:$I$89,5,0)</f>
        <v>2.6602720026858149E-13</v>
      </c>
      <c r="CA159" s="13">
        <f t="shared" si="170"/>
        <v>3.5662905043956649E-12</v>
      </c>
      <c r="CB159" s="20">
        <f t="shared" si="171"/>
        <v>6.6746200022902298E-12</v>
      </c>
      <c r="CC159" s="59">
        <f t="shared" si="119"/>
        <v>293.33333333333997</v>
      </c>
      <c r="CD159" s="59">
        <f ca="1">AVERAGE(OFFSET($CC$3,0,0,'Données projet'!$E$12+1,1))-AVERAGE(OFFSET($H$3,0,0,'Données projet'!$E$12+1,1))</f>
        <v>123.2823358462245</v>
      </c>
      <c r="CE159" s="59">
        <f t="shared" si="148"/>
        <v>92.75115399786057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-2.8421709430404007E-13</v>
      </c>
      <c r="CU159" s="17">
        <f>CT159*VLOOKUP('Données projet'!$B$13,Paramètres!$A$1:$I$89,3,0)*VLOOKUP('Données projet'!$B$13,Paramètres!$A$1:$I$89,5,0)</f>
        <v>-1.69961822393816E-13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179.32848817523677</v>
      </c>
      <c r="CZ159" s="59">
        <f t="shared" si="150"/>
        <v>131.3292389103035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0.40061464214812564</v>
      </c>
      <c r="DH159" s="21">
        <f>EXP(-LN(2)/2)*DH158+(1-EXP(-LN(2)/2))/(LN(2)/2)*DB159*DE159*VLOOKUP('Données projet'!$B$13,Paramètres!$A$1:$I$89,3,0)*0.475*44/12</f>
        <v>5.7060144123169403E-19</v>
      </c>
      <c r="DI159" s="22">
        <f t="shared" si="175"/>
        <v>0.40061464214812564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>
        <f>VLOOKUP(A159,'Données projet'!$A$165:$I$185,2,0)</f>
        <v>195.81410256410257</v>
      </c>
      <c r="DM159" s="12">
        <f>VLOOKUP(A159,'Données projet'!$A$165:$I$185,9,0)</f>
        <v>2.724358974358978</v>
      </c>
      <c r="DN159" s="12">
        <f t="array" ref="DN159">INDEX(DM:DM,MIN(IF(ISNUMBER(DM159:DM355),ROW(DM159:DM355),"")))</f>
        <v>2.724358974358978</v>
      </c>
      <c r="DO159" s="12">
        <f>IF('Données projet'!$A$166&gt;35,DO158+DN159-DW158,IF(A159&lt;'Données projet'!$A$166,$DL$205^A159,IF(A159='Données projet'!$A$166,'Données projet'!$B$166,DO158+DN159-DW158)))</f>
        <v>195.81410256410186</v>
      </c>
      <c r="DP159" s="17">
        <f>DO159*VLOOKUP('Données projet'!$B$14,Paramètres!$A$1:$I$89,3,0)*VLOOKUP('Données projet'!$B$14,Paramètres!$A$1:$I$89,5,0)</f>
        <v>189.39139999999932</v>
      </c>
      <c r="DQ159" s="13">
        <f t="shared" si="176"/>
        <v>47.40537491846375</v>
      </c>
      <c r="DR159" s="20">
        <f t="shared" si="177"/>
        <v>412.42104964965648</v>
      </c>
      <c r="DS159" s="59">
        <f t="shared" si="125"/>
        <v>705.7543829829898</v>
      </c>
      <c r="DT159" s="59">
        <f ca="1">AVERAGE(OFFSET($DS$3,0,0,'Données projet'!$E$14+1,1))-AVERAGE(OFFSET($H$3,0,0,'Données projet'!$E$14+1,1))</f>
        <v>340.4659523898373</v>
      </c>
      <c r="DU159" s="59">
        <f t="shared" si="152"/>
        <v>170.54530785680572</v>
      </c>
      <c r="DV159" s="15">
        <f>IF(ISNA(VLOOKUP(A159,'Données projet'!$A$165:$I$185,3,0)),0,VLOOKUP(A159,'Données projet'!$A$165:$I$185,3,0))</f>
        <v>16</v>
      </c>
      <c r="DW159" s="15">
        <f>IF(ISNA(VLOOKUP(A159,'Données projet'!$A$165:$I$185,4,0)),0,VLOOKUP(A159,'Données projet'!$A$165:$I$185,4,0))</f>
        <v>65.070512820512818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6.3403846153846128</v>
      </c>
      <c r="EJ159" s="12">
        <f>IF('Données projet'!$A$192&gt;35,EJ158+EI159-ER158,IF(A159&lt;'Données projet'!$A$192,$EG$205^A159,IF(A159='Données projet'!$A$192,'Données projet'!$B$192,EJ158+EI159-ER158)))</f>
        <v>342.96282051281986</v>
      </c>
      <c r="EK159" s="17">
        <f>EJ159*VLOOKUP('Données projet'!$B$15,Paramètres!$A$1:$I$89,3,0)*VLOOKUP('Données projet'!$B$15,Paramètres!$A$1:$I$89,5,0)</f>
        <v>331.71363999999937</v>
      </c>
      <c r="EL159" s="13">
        <f t="shared" si="179"/>
        <v>77.785481297048364</v>
      </c>
      <c r="EM159" s="20">
        <f t="shared" si="180"/>
        <v>713.2109695923582</v>
      </c>
      <c r="EN159" s="59">
        <f t="shared" si="128"/>
        <v>1006.5443029256915</v>
      </c>
      <c r="EO159" s="59">
        <f ca="1">AVERAGE(OFFSET($EN$3,0,0,'Données projet'!$E$15+1,1))-AVERAGE(OFFSET($H$3,0,0,'Données projet'!$E$15+1,1))</f>
        <v>262.20955982183017</v>
      </c>
      <c r="EP159" s="59">
        <f t="shared" si="154"/>
        <v>101.35842063036193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5.6843418860808015E-14</v>
      </c>
      <c r="FF159" s="17">
        <f>FE159*VLOOKUP('Données projet'!$B$16,Paramètres!$A$1:$I$89,3,0)*VLOOKUP('Données projet'!$B$16,Paramètres!$A$1:$I$89,5,0)</f>
        <v>4.5224624045658861E-14</v>
      </c>
      <c r="FG159" s="13">
        <f t="shared" si="182"/>
        <v>7.4514601661523691E-13</v>
      </c>
      <c r="FH159" s="20">
        <f t="shared" si="183"/>
        <v>1.3765621991510601E-12</v>
      </c>
      <c r="FI159" s="59">
        <f t="shared" si="131"/>
        <v>293.33333333333468</v>
      </c>
      <c r="FJ159" s="59">
        <f ca="1">AVERAGE(OFFSET($FI$3,0,0,'Données projet'!$E$16+1,1))-AVERAGE(OFFSET($H$3,0,0,'Données projet'!$E$16+1,1))</f>
        <v>199.58763537752952</v>
      </c>
      <c r="FK159" s="59">
        <f t="shared" si="156"/>
        <v>242.62852778451929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0.31255587303429777</v>
      </c>
      <c r="FS159" s="21">
        <f>EXP(-LN(2)/2)*FS158+(1-EXP(-LN(2)/2))/(LN(2)/2)*FM159*FP159*VLOOKUP('Données projet'!$B$16,Paramètres!$A$1:$I$89,3,0)*0.475*44/12</f>
        <v>1.1667704989258977E-18</v>
      </c>
      <c r="FT159" s="22">
        <f t="shared" si="184"/>
        <v>0.31255587303429777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5.6843418860808015E-14</v>
      </c>
      <c r="GA159" s="17">
        <f>FZ159*VLOOKUP('Données projet'!$B$17,Paramètres!$A$1:$I$89,3,0)*VLOOKUP('Données projet'!$B$17,Paramètres!$A$1:$I$89,5,0)</f>
        <v>4.1677594708744434E-14</v>
      </c>
      <c r="GB159" s="13">
        <f t="shared" si="185"/>
        <v>6.9326303456159188E-13</v>
      </c>
      <c r="GC159" s="20">
        <f t="shared" si="186"/>
        <v>1.2800215959791691E-12</v>
      </c>
      <c r="GD159" s="59">
        <f t="shared" si="134"/>
        <v>293.33333333333462</v>
      </c>
      <c r="GE159" s="59">
        <f ca="1">AVERAGE(OFFSET($GD$3,0,0,'Données projet'!$E$17+1,1))-AVERAGE(OFFSET($H$3,0,0,'Données projet'!$E$17+1,1))</f>
        <v>178.12968684094687</v>
      </c>
      <c r="GF159" s="59">
        <f t="shared" si="158"/>
        <v>219.36004077210373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0.23369419881698689</v>
      </c>
      <c r="GN159" s="21">
        <f>EXP(-LN(2)/2)*GN158+(1-EXP(-LN(2)/2))/(LN(2)/2)*GH159*GK159*VLOOKUP('Données projet'!$B$17,Paramètres!$A$1:$I$89,3,0)*0.475*44/12</f>
        <v>1.0752590872454342E-18</v>
      </c>
      <c r="GO159" s="21">
        <f t="shared" si="187"/>
        <v>0.23369419881698689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5.6843418860808015E-14</v>
      </c>
      <c r="GV159" s="17">
        <f>GU159*VLOOKUP('Données projet'!$B$18,Paramètres!$A$1:$I$89,3,0)*VLOOKUP('Données projet'!$B$18,Paramètres!$A$1:$I$89,5,0)</f>
        <v>4.5224624045658861E-14</v>
      </c>
      <c r="GW159" s="13">
        <f t="shared" si="188"/>
        <v>7.4514601661523691E-13</v>
      </c>
      <c r="GX159" s="20">
        <f t="shared" si="189"/>
        <v>1.3765621991510601E-12</v>
      </c>
      <c r="GY159" s="59">
        <f t="shared" si="137"/>
        <v>293.33333333333468</v>
      </c>
      <c r="GZ159" s="59">
        <f ca="1">AVERAGE(OFFSET($GY$3,0,0,'Données projet'!$E$18+1,1))-AVERAGE(OFFSET($H$3,0,0,'Données projet'!$E$18+1,1))</f>
        <v>199.58763537752952</v>
      </c>
      <c r="HA159" s="59">
        <f t="shared" si="160"/>
        <v>242.62852778451929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0</v>
      </c>
      <c r="HH159" s="21">
        <f>EXP(-LN(2)/25)*HH158+(1-EXP(-LN(2)/25))/(LN(2)/25)*Calculateur!HC159*Calculateur!HE159*VLOOKUP('Données projet'!$B$18,Paramètres!$A$1:$I$89,3,0)*0.475*44/12</f>
        <v>0.31255587303429777</v>
      </c>
      <c r="HI159" s="21">
        <f>EXP(-LN(2)/2)*HI158+(1-EXP(-LN(2)/2))/(LN(2)/2)*HC159*HF159*VLOOKUP('Données projet'!$B$18,Paramètres!$A$1:$I$89,3,0)*0.475*44/12</f>
        <v>1.1667704989258977E-18</v>
      </c>
      <c r="HJ159" s="22">
        <f t="shared" si="190"/>
        <v>0.31255587303429777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1.6025641025640975</v>
      </c>
      <c r="N160" s="13">
        <f>IF('Données projet'!$A$36&gt;35,N159+M160-V159,IF(A160&lt;'Données projet'!$A$36,$K$205^A160,IF(A160='Données projet'!$A$36,'Données projet'!$B$36,N159+M160-V159)))</f>
        <v>132.34615384615313</v>
      </c>
      <c r="O160" s="13">
        <f>N160*VLOOKUP('Données projet'!$B$9,Paramètres!$A$1:$I$89,3,0)*VLOOKUP('Données projet'!$B$9,Paramètres!$A$1:$I$89,5,0)</f>
        <v>119.74679999999935</v>
      </c>
      <c r="P160" s="13">
        <f t="shared" si="141"/>
        <v>31.615937294397835</v>
      </c>
      <c r="Q160" s="20">
        <f t="shared" si="162"/>
        <v>263.62343412107509</v>
      </c>
      <c r="R160" s="59">
        <f t="shared" si="109"/>
        <v>556.95676745440846</v>
      </c>
      <c r="S160" s="59">
        <f ca="1">AVERAGE(OFFSET($R$3,0,0,'Données projet'!$E$9+1,1))-AVERAGE(OFFSET($H$3,0,0,'Données projet'!$E$9+1,1))</f>
        <v>309.07357540707869</v>
      </c>
      <c r="T160" s="59">
        <f t="shared" si="142"/>
        <v>155.9593924683299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6.3403846153846128</v>
      </c>
      <c r="AI160" s="13">
        <f>IF('Données projet'!$A$62&gt;35,AI159+AH160-AQ159,IF(A160&lt;'Données projet'!$A$62,$AF$205^A160,IF(A160='Données projet'!$A$62,'Données projet'!$B$62,AI159+AH160-AQ159)))</f>
        <v>349.30320512820447</v>
      </c>
      <c r="AJ160" s="13">
        <f>AI160*VLOOKUP('Données projet'!$B$10,Paramètres!$A$1:$I$89,3,0)*VLOOKUP('Données projet'!$B$10,Paramètres!$A$1:$I$89,5,0)</f>
        <v>316.04953999999941</v>
      </c>
      <c r="AK160" s="13">
        <f t="shared" si="164"/>
        <v>74.530790323887828</v>
      </c>
      <c r="AL160" s="20">
        <f t="shared" si="165"/>
        <v>680.26074198077015</v>
      </c>
      <c r="AM160" s="59">
        <f t="shared" si="113"/>
        <v>973.59407531410352</v>
      </c>
      <c r="AN160" s="59">
        <f ca="1">AVERAGE(OFFSET($AM$3,0,0,'Données projet'!$E$10+1,1))-AVERAGE(OFFSET($H$3,0,0,'Données projet'!$E$10+1,1))</f>
        <v>234.30804102916278</v>
      </c>
      <c r="AO160" s="59">
        <f t="shared" si="144"/>
        <v>91.137993288782411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3.4106051316484809E-13</v>
      </c>
      <c r="BE160" s="13">
        <f>BD160*VLOOKUP('Données projet'!$B$11,Paramètres!$A$1:$I$89,3,0)*VLOOKUP('Données projet'!$B$11,Paramètres!$A$1:$I$89,5,0)</f>
        <v>1.5961632016114892E-13</v>
      </c>
      <c r="BF160" s="13">
        <f t="shared" si="167"/>
        <v>2.2708641912150958E-12</v>
      </c>
      <c r="BG160" s="20">
        <f t="shared" si="168"/>
        <v>4.2330868906469593E-12</v>
      </c>
      <c r="BH160" s="59">
        <f t="shared" si="116"/>
        <v>293.33333333333752</v>
      </c>
      <c r="BI160" s="59">
        <f ca="1">AVERAGE(OFFSET($BH$3,0,0,'Données projet'!$E$11+1,1))-AVERAGE(OFFSET($H$3,0,0,'Données projet'!$E$11+1,1))</f>
        <v>158.58786357608489</v>
      </c>
      <c r="BJ160" s="59">
        <f t="shared" si="146"/>
        <v>163.20074068819849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5.6843418860808015E-13</v>
      </c>
      <c r="BZ160" s="13">
        <f>BY160*VLOOKUP('Données projet'!$B$12,Paramètres!$A$1:$I$89,3,0)*VLOOKUP('Données projet'!$B$12,Paramètres!$A$1:$I$89,5,0)</f>
        <v>2.6602720026858149E-13</v>
      </c>
      <c r="CA160" s="13">
        <f t="shared" si="170"/>
        <v>3.5662905043956649E-12</v>
      </c>
      <c r="CB160" s="20">
        <f t="shared" si="171"/>
        <v>6.6746200022902298E-12</v>
      </c>
      <c r="CC160" s="59">
        <f t="shared" si="119"/>
        <v>293.33333333333997</v>
      </c>
      <c r="CD160" s="59">
        <f ca="1">AVERAGE(OFFSET($CC$3,0,0,'Données projet'!$E$12+1,1))-AVERAGE(OFFSET($H$3,0,0,'Données projet'!$E$12+1,1))</f>
        <v>123.2823358462245</v>
      </c>
      <c r="CE160" s="59">
        <f t="shared" si="148"/>
        <v>92.75115399786057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-2.8421709430404007E-13</v>
      </c>
      <c r="CU160" s="17">
        <f>CT160*VLOOKUP('Données projet'!$B$13,Paramètres!$A$1:$I$89,3,0)*VLOOKUP('Données projet'!$B$13,Paramètres!$A$1:$I$89,5,0)</f>
        <v>-1.69961822393816E-13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179.32848817523677</v>
      </c>
      <c r="CZ160" s="59">
        <f t="shared" si="150"/>
        <v>131.3292389103035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0.38965981369117675</v>
      </c>
      <c r="DH160" s="21">
        <f>EXP(-LN(2)/2)*DH159+(1-EXP(-LN(2)/2))/(LN(2)/2)*DB160*DE160*VLOOKUP('Données projet'!$B$13,Paramètres!$A$1:$I$89,3,0)*0.475*44/12</f>
        <v>4.0347614844974813E-19</v>
      </c>
      <c r="DI160" s="22">
        <f t="shared" si="175"/>
        <v>0.38965981369117675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1.6025641025640975</v>
      </c>
      <c r="DO160" s="12">
        <f>IF('Données projet'!$A$166&gt;35,DO159+DN160-DW159,IF(A160&lt;'Données projet'!$A$166,$DL$205^A160,IF(A160='Données projet'!$A$166,'Données projet'!$B$166,DO159+DN160-DW159)))</f>
        <v>132.34615384615313</v>
      </c>
      <c r="DP160" s="17">
        <f>DO160*VLOOKUP('Données projet'!$B$14,Paramètres!$A$1:$I$89,3,0)*VLOOKUP('Données projet'!$B$14,Paramètres!$A$1:$I$89,5,0)</f>
        <v>128.00519999999929</v>
      </c>
      <c r="DQ160" s="13">
        <f t="shared" si="176"/>
        <v>33.535005605997647</v>
      </c>
      <c r="DR160" s="20">
        <f t="shared" si="177"/>
        <v>281.34919143044465</v>
      </c>
      <c r="DS160" s="59">
        <f t="shared" si="125"/>
        <v>574.68252476377802</v>
      </c>
      <c r="DT160" s="59">
        <f ca="1">AVERAGE(OFFSET($DS$3,0,0,'Données projet'!$E$14+1,1))-AVERAGE(OFFSET($H$3,0,0,'Données projet'!$E$14+1,1))</f>
        <v>340.4659523898373</v>
      </c>
      <c r="DU160" s="59">
        <f t="shared" si="152"/>
        <v>170.54530785680572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6.3403846153846128</v>
      </c>
      <c r="EJ160" s="12">
        <f>IF('Données projet'!$A$192&gt;35,EJ159+EI160-ER159,IF(A160&lt;'Données projet'!$A$192,$EG$205^A160,IF(A160='Données projet'!$A$192,'Données projet'!$B$192,EJ159+EI160-ER159)))</f>
        <v>349.30320512820447</v>
      </c>
      <c r="EK160" s="17">
        <f>EJ160*VLOOKUP('Données projet'!$B$15,Paramètres!$A$1:$I$89,3,0)*VLOOKUP('Données projet'!$B$15,Paramètres!$A$1:$I$89,5,0)</f>
        <v>337.8460599999994</v>
      </c>
      <c r="EL160" s="13">
        <f t="shared" si="179"/>
        <v>79.054764312614367</v>
      </c>
      <c r="EM160" s="20">
        <f t="shared" si="180"/>
        <v>726.10226901113549</v>
      </c>
      <c r="EN160" s="59">
        <f t="shared" si="128"/>
        <v>1019.4356023444689</v>
      </c>
      <c r="EO160" s="59">
        <f ca="1">AVERAGE(OFFSET($EN$3,0,0,'Données projet'!$E$15+1,1))-AVERAGE(OFFSET($H$3,0,0,'Données projet'!$E$15+1,1))</f>
        <v>262.20955982183017</v>
      </c>
      <c r="EP160" s="59">
        <f t="shared" si="154"/>
        <v>101.35842063036193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5.6843418860808015E-14</v>
      </c>
      <c r="FF160" s="17">
        <f>FE160*VLOOKUP('Données projet'!$B$16,Paramètres!$A$1:$I$89,3,0)*VLOOKUP('Données projet'!$B$16,Paramètres!$A$1:$I$89,5,0)</f>
        <v>4.5224624045658861E-14</v>
      </c>
      <c r="FG160" s="13">
        <f t="shared" si="182"/>
        <v>7.4514601661523691E-13</v>
      </c>
      <c r="FH160" s="20">
        <f t="shared" si="183"/>
        <v>1.3765621991510601E-12</v>
      </c>
      <c r="FI160" s="59">
        <f t="shared" si="131"/>
        <v>293.33333333333468</v>
      </c>
      <c r="FJ160" s="59">
        <f ca="1">AVERAGE(OFFSET($FI$3,0,0,'Données projet'!$E$16+1,1))-AVERAGE(OFFSET($H$3,0,0,'Données projet'!$E$16+1,1))</f>
        <v>199.58763537752952</v>
      </c>
      <c r="FK160" s="59">
        <f t="shared" si="156"/>
        <v>242.62852778451929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0.30400901624957588</v>
      </c>
      <c r="FS160" s="21">
        <f>EXP(-LN(2)/2)*FS159+(1-EXP(-LN(2)/2))/(LN(2)/2)*FM160*FP160*VLOOKUP('Données projet'!$B$16,Paramètres!$A$1:$I$89,3,0)*0.475*44/12</f>
        <v>8.2503133187891362E-19</v>
      </c>
      <c r="FT160" s="22">
        <f t="shared" si="184"/>
        <v>0.30400901624957588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5.6843418860808015E-14</v>
      </c>
      <c r="GA160" s="17">
        <f>FZ160*VLOOKUP('Données projet'!$B$17,Paramètres!$A$1:$I$89,3,0)*VLOOKUP('Données projet'!$B$17,Paramètres!$A$1:$I$89,5,0)</f>
        <v>4.1677594708744434E-14</v>
      </c>
      <c r="GB160" s="13">
        <f t="shared" si="185"/>
        <v>6.9326303456159188E-13</v>
      </c>
      <c r="GC160" s="20">
        <f t="shared" si="186"/>
        <v>1.2800215959791691E-12</v>
      </c>
      <c r="GD160" s="59">
        <f t="shared" si="134"/>
        <v>293.33333333333462</v>
      </c>
      <c r="GE160" s="59">
        <f ca="1">AVERAGE(OFFSET($GD$3,0,0,'Données projet'!$E$17+1,1))-AVERAGE(OFFSET($H$3,0,0,'Données projet'!$E$17+1,1))</f>
        <v>178.12968684094687</v>
      </c>
      <c r="GF160" s="59">
        <f t="shared" si="158"/>
        <v>219.36004077210373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0.22730381866089258</v>
      </c>
      <c r="GN160" s="21">
        <f>EXP(-LN(2)/2)*GN159+(1-EXP(-LN(2)/2))/(LN(2)/2)*GH160*GK160*VLOOKUP('Données projet'!$B$17,Paramètres!$A$1:$I$89,3,0)*0.475*44/12</f>
        <v>7.6032299212370404E-19</v>
      </c>
      <c r="GO160" s="21">
        <f t="shared" si="187"/>
        <v>0.22730381866089258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5.6843418860808015E-14</v>
      </c>
      <c r="GV160" s="17">
        <f>GU160*VLOOKUP('Données projet'!$B$18,Paramètres!$A$1:$I$89,3,0)*VLOOKUP('Données projet'!$B$18,Paramètres!$A$1:$I$89,5,0)</f>
        <v>4.5224624045658861E-14</v>
      </c>
      <c r="GW160" s="13">
        <f t="shared" si="188"/>
        <v>7.4514601661523691E-13</v>
      </c>
      <c r="GX160" s="20">
        <f t="shared" si="189"/>
        <v>1.3765621991510601E-12</v>
      </c>
      <c r="GY160" s="59">
        <f t="shared" si="137"/>
        <v>293.33333333333468</v>
      </c>
      <c r="GZ160" s="59">
        <f ca="1">AVERAGE(OFFSET($GY$3,0,0,'Données projet'!$E$18+1,1))-AVERAGE(OFFSET($H$3,0,0,'Données projet'!$E$18+1,1))</f>
        <v>199.58763537752952</v>
      </c>
      <c r="HA160" s="59">
        <f t="shared" si="160"/>
        <v>242.62852778451929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0</v>
      </c>
      <c r="HH160" s="21">
        <f>EXP(-LN(2)/25)*HH159+(1-EXP(-LN(2)/25))/(LN(2)/25)*Calculateur!HC160*Calculateur!HE160*VLOOKUP('Données projet'!$B$18,Paramètres!$A$1:$I$89,3,0)*0.475*44/12</f>
        <v>0.30400901624957588</v>
      </c>
      <c r="HI160" s="21">
        <f>EXP(-LN(2)/2)*HI159+(1-EXP(-LN(2)/2))/(LN(2)/2)*HC160*HF160*VLOOKUP('Données projet'!$B$18,Paramètres!$A$1:$I$89,3,0)*0.475*44/12</f>
        <v>8.2503133187891362E-19</v>
      </c>
      <c r="HJ160" s="22">
        <f t="shared" si="190"/>
        <v>0.30400901624957588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1.6025641025640975</v>
      </c>
      <c r="N161" s="13">
        <f>IF('Données projet'!$A$36&gt;35,N160+M161-V160,IF(A161&lt;'Données projet'!$A$36,$K$205^A161,IF(A161='Données projet'!$A$36,'Données projet'!$B$36,N160+M161-V160)))</f>
        <v>133.94871794871722</v>
      </c>
      <c r="O161" s="13">
        <f>N161*VLOOKUP('Données projet'!$B$9,Paramètres!$A$1:$I$89,3,0)*VLOOKUP('Données projet'!$B$9,Paramètres!$A$1:$I$89,5,0)</f>
        <v>121.19679999999934</v>
      </c>
      <c r="P161" s="13">
        <f t="shared" si="141"/>
        <v>31.953971815874091</v>
      </c>
      <c r="Q161" s="20">
        <f t="shared" si="162"/>
        <v>266.73759424597955</v>
      </c>
      <c r="R161" s="59">
        <f t="shared" si="109"/>
        <v>560.07092757931287</v>
      </c>
      <c r="S161" s="59">
        <f ca="1">AVERAGE(OFFSET($R$3,0,0,'Données projet'!$E$9+1,1))-AVERAGE(OFFSET($H$3,0,0,'Données projet'!$E$9+1,1))</f>
        <v>309.07357540707869</v>
      </c>
      <c r="T161" s="59">
        <f t="shared" si="142"/>
        <v>155.9593924683299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6.3403846153846128</v>
      </c>
      <c r="AI161" s="13">
        <f>IF('Données projet'!$A$62&gt;35,AI160+AH161-AQ160,IF(A161&lt;'Données projet'!$A$62,$AF$205^A161,IF(A161='Données projet'!$A$62,'Données projet'!$B$62,AI160+AH161-AQ160)))</f>
        <v>355.64358974358908</v>
      </c>
      <c r="AJ161" s="13">
        <f>AI161*VLOOKUP('Données projet'!$B$10,Paramètres!$A$1:$I$89,3,0)*VLOOKUP('Données projet'!$B$10,Paramètres!$A$1:$I$89,5,0)</f>
        <v>321.78631999999936</v>
      </c>
      <c r="AK161" s="13">
        <f t="shared" si="164"/>
        <v>75.724911775401807</v>
      </c>
      <c r="AL161" s="20">
        <f t="shared" si="165"/>
        <v>692.33206200882353</v>
      </c>
      <c r="AM161" s="59">
        <f t="shared" si="113"/>
        <v>985.6653953421569</v>
      </c>
      <c r="AN161" s="59">
        <f ca="1">AVERAGE(OFFSET($AM$3,0,0,'Données projet'!$E$10+1,1))-AVERAGE(OFFSET($H$3,0,0,'Données projet'!$E$10+1,1))</f>
        <v>234.30804102916278</v>
      </c>
      <c r="AO161" s="59">
        <f t="shared" si="144"/>
        <v>91.137993288782411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3.4106051316484809E-13</v>
      </c>
      <c r="BE161" s="13">
        <f>BD161*VLOOKUP('Données projet'!$B$11,Paramètres!$A$1:$I$89,3,0)*VLOOKUP('Données projet'!$B$11,Paramètres!$A$1:$I$89,5,0)</f>
        <v>1.5961632016114892E-13</v>
      </c>
      <c r="BF161" s="13">
        <f t="shared" si="167"/>
        <v>2.2708641912150958E-12</v>
      </c>
      <c r="BG161" s="20">
        <f t="shared" si="168"/>
        <v>4.2330868906469593E-12</v>
      </c>
      <c r="BH161" s="59">
        <f t="shared" si="116"/>
        <v>293.33333333333752</v>
      </c>
      <c r="BI161" s="59">
        <f ca="1">AVERAGE(OFFSET($BH$3,0,0,'Données projet'!$E$11+1,1))-AVERAGE(OFFSET($H$3,0,0,'Données projet'!$E$11+1,1))</f>
        <v>158.58786357608489</v>
      </c>
      <c r="BJ161" s="59">
        <f t="shared" si="146"/>
        <v>163.20074068819849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5.6843418860808015E-13</v>
      </c>
      <c r="BZ161" s="13">
        <f>BY161*VLOOKUP('Données projet'!$B$12,Paramètres!$A$1:$I$89,3,0)*VLOOKUP('Données projet'!$B$12,Paramètres!$A$1:$I$89,5,0)</f>
        <v>2.6602720026858149E-13</v>
      </c>
      <c r="CA161" s="13">
        <f t="shared" si="170"/>
        <v>3.5662905043956649E-12</v>
      </c>
      <c r="CB161" s="20">
        <f t="shared" si="171"/>
        <v>6.6746200022902298E-12</v>
      </c>
      <c r="CC161" s="59">
        <f t="shared" si="119"/>
        <v>293.33333333333997</v>
      </c>
      <c r="CD161" s="59">
        <f ca="1">AVERAGE(OFFSET($CC$3,0,0,'Données projet'!$E$12+1,1))-AVERAGE(OFFSET($H$3,0,0,'Données projet'!$E$12+1,1))</f>
        <v>123.2823358462245</v>
      </c>
      <c r="CE161" s="59">
        <f t="shared" si="148"/>
        <v>92.75115399786057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-2.8421709430404007E-13</v>
      </c>
      <c r="CU161" s="17">
        <f>CT161*VLOOKUP('Données projet'!$B$13,Paramètres!$A$1:$I$89,3,0)*VLOOKUP('Données projet'!$B$13,Paramètres!$A$1:$I$89,5,0)</f>
        <v>-1.69961822393816E-13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179.32848817523677</v>
      </c>
      <c r="CZ161" s="59">
        <f t="shared" si="150"/>
        <v>131.3292389103035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0.3790045455944725</v>
      </c>
      <c r="DH161" s="21">
        <f>EXP(-LN(2)/2)*DH160+(1-EXP(-LN(2)/2))/(LN(2)/2)*DB161*DE161*VLOOKUP('Données projet'!$B$13,Paramètres!$A$1:$I$89,3,0)*0.475*44/12</f>
        <v>2.8530072061584702E-19</v>
      </c>
      <c r="DI161" s="22">
        <f t="shared" si="175"/>
        <v>0.3790045455944725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1.6025641025640975</v>
      </c>
      <c r="DO161" s="12">
        <f>IF('Données projet'!$A$166&gt;35,DO160+DN161-DW160,IF(A161&lt;'Données projet'!$A$166,$DL$205^A161,IF(A161='Données projet'!$A$166,'Données projet'!$B$166,DO160+DN161-DW160)))</f>
        <v>133.94871794871722</v>
      </c>
      <c r="DP161" s="17">
        <f>DO161*VLOOKUP('Données projet'!$B$14,Paramètres!$A$1:$I$89,3,0)*VLOOKUP('Données projet'!$B$14,Paramètres!$A$1:$I$89,5,0)</f>
        <v>129.5551999999993</v>
      </c>
      <c r="DQ161" s="13">
        <f t="shared" si="176"/>
        <v>33.89355861890278</v>
      </c>
      <c r="DR161" s="20">
        <f t="shared" si="177"/>
        <v>284.67325459458777</v>
      </c>
      <c r="DS161" s="59">
        <f t="shared" si="125"/>
        <v>578.00658792792115</v>
      </c>
      <c r="DT161" s="59">
        <f ca="1">AVERAGE(OFFSET($DS$3,0,0,'Données projet'!$E$14+1,1))-AVERAGE(OFFSET($H$3,0,0,'Données projet'!$E$14+1,1))</f>
        <v>340.4659523898373</v>
      </c>
      <c r="DU161" s="59">
        <f t="shared" si="152"/>
        <v>170.54530785680572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6.3403846153846128</v>
      </c>
      <c r="EJ161" s="12">
        <f>IF('Données projet'!$A$192&gt;35,EJ160+EI161-ER160,IF(A161&lt;'Données projet'!$A$192,$EG$205^A161,IF(A161='Données projet'!$A$192,'Données projet'!$B$192,EJ160+EI161-ER160)))</f>
        <v>355.64358974358908</v>
      </c>
      <c r="EK161" s="17">
        <f>EJ161*VLOOKUP('Données projet'!$B$15,Paramètres!$A$1:$I$89,3,0)*VLOOKUP('Données projet'!$B$15,Paramètres!$A$1:$I$89,5,0)</f>
        <v>343.97847999999937</v>
      </c>
      <c r="EL161" s="13">
        <f t="shared" si="179"/>
        <v>80.321368215509153</v>
      </c>
      <c r="EM161" s="20">
        <f t="shared" si="180"/>
        <v>738.98890230867721</v>
      </c>
      <c r="EN161" s="59">
        <f t="shared" si="128"/>
        <v>1032.3222356420106</v>
      </c>
      <c r="EO161" s="59">
        <f ca="1">AVERAGE(OFFSET($EN$3,0,0,'Données projet'!$E$15+1,1))-AVERAGE(OFFSET($H$3,0,0,'Données projet'!$E$15+1,1))</f>
        <v>262.20955982183017</v>
      </c>
      <c r="EP161" s="59">
        <f t="shared" si="154"/>
        <v>101.35842063036193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5.6843418860808015E-14</v>
      </c>
      <c r="FF161" s="17">
        <f>FE161*VLOOKUP('Données projet'!$B$16,Paramètres!$A$1:$I$89,3,0)*VLOOKUP('Données projet'!$B$16,Paramètres!$A$1:$I$89,5,0)</f>
        <v>4.5224624045658861E-14</v>
      </c>
      <c r="FG161" s="13">
        <f t="shared" si="182"/>
        <v>7.4514601661523691E-13</v>
      </c>
      <c r="FH161" s="20">
        <f t="shared" si="183"/>
        <v>1.3765621991510601E-12</v>
      </c>
      <c r="FI161" s="59">
        <f t="shared" si="131"/>
        <v>293.33333333333468</v>
      </c>
      <c r="FJ161" s="59">
        <f ca="1">AVERAGE(OFFSET($FI$3,0,0,'Données projet'!$E$16+1,1))-AVERAGE(OFFSET($H$3,0,0,'Données projet'!$E$16+1,1))</f>
        <v>199.58763537752952</v>
      </c>
      <c r="FK161" s="59">
        <f t="shared" si="156"/>
        <v>242.62852778451929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0.29569587371309186</v>
      </c>
      <c r="FS161" s="21">
        <f>EXP(-LN(2)/2)*FS160+(1-EXP(-LN(2)/2))/(LN(2)/2)*FM161*FP161*VLOOKUP('Données projet'!$B$16,Paramètres!$A$1:$I$89,3,0)*0.475*44/12</f>
        <v>5.8338524946294884E-19</v>
      </c>
      <c r="FT161" s="22">
        <f t="shared" si="184"/>
        <v>0.29569587371309186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5.6843418860808015E-14</v>
      </c>
      <c r="GA161" s="17">
        <f>FZ161*VLOOKUP('Données projet'!$B$17,Paramètres!$A$1:$I$89,3,0)*VLOOKUP('Données projet'!$B$17,Paramètres!$A$1:$I$89,5,0)</f>
        <v>4.1677594708744434E-14</v>
      </c>
      <c r="GB161" s="13">
        <f t="shared" si="185"/>
        <v>6.9326303456159188E-13</v>
      </c>
      <c r="GC161" s="20">
        <f t="shared" si="186"/>
        <v>1.2800215959791691E-12</v>
      </c>
      <c r="GD161" s="59">
        <f t="shared" si="134"/>
        <v>293.33333333333462</v>
      </c>
      <c r="GE161" s="59">
        <f ca="1">AVERAGE(OFFSET($GD$3,0,0,'Données projet'!$E$17+1,1))-AVERAGE(OFFSET($H$3,0,0,'Données projet'!$E$17+1,1))</f>
        <v>178.12968684094687</v>
      </c>
      <c r="GF161" s="59">
        <f t="shared" si="158"/>
        <v>219.36004077210373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0.22108818378622216</v>
      </c>
      <c r="GN161" s="21">
        <f>EXP(-LN(2)/2)*GN160+(1-EXP(-LN(2)/2))/(LN(2)/2)*GH161*GK161*VLOOKUP('Données projet'!$B$17,Paramètres!$A$1:$I$89,3,0)*0.475*44/12</f>
        <v>5.3762954362271709E-19</v>
      </c>
      <c r="GO161" s="21">
        <f t="shared" si="187"/>
        <v>0.22108818378622216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5.6843418860808015E-14</v>
      </c>
      <c r="GV161" s="17">
        <f>GU161*VLOOKUP('Données projet'!$B$18,Paramètres!$A$1:$I$89,3,0)*VLOOKUP('Données projet'!$B$18,Paramètres!$A$1:$I$89,5,0)</f>
        <v>4.5224624045658861E-14</v>
      </c>
      <c r="GW161" s="13">
        <f t="shared" si="188"/>
        <v>7.4514601661523691E-13</v>
      </c>
      <c r="GX161" s="20">
        <f t="shared" si="189"/>
        <v>1.3765621991510601E-12</v>
      </c>
      <c r="GY161" s="59">
        <f t="shared" si="137"/>
        <v>293.33333333333468</v>
      </c>
      <c r="GZ161" s="59">
        <f ca="1">AVERAGE(OFFSET($GY$3,0,0,'Données projet'!$E$18+1,1))-AVERAGE(OFFSET($H$3,0,0,'Données projet'!$E$18+1,1))</f>
        <v>199.58763537752952</v>
      </c>
      <c r="HA161" s="59">
        <f t="shared" si="160"/>
        <v>242.62852778451929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0</v>
      </c>
      <c r="HH161" s="21">
        <f>EXP(-LN(2)/25)*HH160+(1-EXP(-LN(2)/25))/(LN(2)/25)*Calculateur!HC161*Calculateur!HE161*VLOOKUP('Données projet'!$B$18,Paramètres!$A$1:$I$89,3,0)*0.475*44/12</f>
        <v>0.29569587371309186</v>
      </c>
      <c r="HI161" s="21">
        <f>EXP(-LN(2)/2)*HI160+(1-EXP(-LN(2)/2))/(LN(2)/2)*HC161*HF161*VLOOKUP('Données projet'!$B$18,Paramètres!$A$1:$I$89,3,0)*0.475*44/12</f>
        <v>5.8338524946294884E-19</v>
      </c>
      <c r="HJ161" s="22">
        <f t="shared" si="190"/>
        <v>0.29569587371309186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135.55128205128204</v>
      </c>
      <c r="L162" s="12">
        <f>VLOOKUP(A162,'Données projet'!$A$35:$I$55,9,0)</f>
        <v>1.6025641025640975</v>
      </c>
      <c r="M162" s="12">
        <f t="array" ref="M162">INDEX(L:L,MIN(IF(ISNUMBER(L162:L358),ROW(L162:L358),"")))</f>
        <v>1.6025641025640975</v>
      </c>
      <c r="N162" s="13">
        <f>IF('Données projet'!$A$36&gt;35,N161+M162-V161,IF(A162&lt;'Données projet'!$A$36,$K$205^A162,IF(A162='Données projet'!$A$36,'Données projet'!$B$36,N161+M162-V161)))</f>
        <v>135.55128205128131</v>
      </c>
      <c r="O162" s="13">
        <f>N162*VLOOKUP('Données projet'!$B$9,Paramètres!$A$1:$I$89,3,0)*VLOOKUP('Données projet'!$B$9,Paramètres!$A$1:$I$89,5,0)</f>
        <v>122.64679999999932</v>
      </c>
      <c r="P162" s="13">
        <f t="shared" si="141"/>
        <v>32.291535902514525</v>
      </c>
      <c r="Q162" s="20">
        <f t="shared" si="162"/>
        <v>269.85093503021159</v>
      </c>
      <c r="R162" s="59">
        <f t="shared" si="109"/>
        <v>563.1842683635449</v>
      </c>
      <c r="S162" s="59">
        <f ca="1">AVERAGE(OFFSET($R$3,0,0,'Données projet'!$E$9+1,1))-AVERAGE(OFFSET($H$3,0,0,'Données projet'!$E$9+1,1))</f>
        <v>309.07357540707869</v>
      </c>
      <c r="T162" s="59">
        <f t="shared" si="142"/>
        <v>155.9593924683299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135.55128205128204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6.3403846153846128</v>
      </c>
      <c r="AI162" s="13">
        <f>IF('Données projet'!$A$62&gt;35,AI161+AH162-AQ161,IF(A162&lt;'Données projet'!$A$62,$AF$205^A162,IF(A162='Données projet'!$A$62,'Données projet'!$B$62,AI161+AH162-AQ161)))</f>
        <v>361.98397435897368</v>
      </c>
      <c r="AJ162" s="13">
        <f>AI162*VLOOKUP('Données projet'!$B$10,Paramètres!$A$1:$I$89,3,0)*VLOOKUP('Données projet'!$B$10,Paramètres!$A$1:$I$89,5,0)</f>
        <v>327.52309999999937</v>
      </c>
      <c r="AK162" s="13">
        <f t="shared" si="164"/>
        <v>76.916557653095737</v>
      </c>
      <c r="AL162" s="20">
        <f t="shared" si="165"/>
        <v>704.39907041247386</v>
      </c>
      <c r="AM162" s="59">
        <f t="shared" si="113"/>
        <v>997.73240374580723</v>
      </c>
      <c r="AN162" s="59">
        <f ca="1">AVERAGE(OFFSET($AM$3,0,0,'Données projet'!$E$10+1,1))-AVERAGE(OFFSET($H$3,0,0,'Données projet'!$E$10+1,1))</f>
        <v>234.30804102916278</v>
      </c>
      <c r="AO162" s="59">
        <f t="shared" si="144"/>
        <v>91.137993288782411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3.4106051316484809E-13</v>
      </c>
      <c r="BE162" s="13">
        <f>BD162*VLOOKUP('Données projet'!$B$11,Paramètres!$A$1:$I$89,3,0)*VLOOKUP('Données projet'!$B$11,Paramètres!$A$1:$I$89,5,0)</f>
        <v>1.5961632016114892E-13</v>
      </c>
      <c r="BF162" s="13">
        <f t="shared" si="167"/>
        <v>2.2708641912150958E-12</v>
      </c>
      <c r="BG162" s="20">
        <f t="shared" si="168"/>
        <v>4.2330868906469593E-12</v>
      </c>
      <c r="BH162" s="59">
        <f t="shared" si="116"/>
        <v>293.33333333333752</v>
      </c>
      <c r="BI162" s="59">
        <f ca="1">AVERAGE(OFFSET($BH$3,0,0,'Données projet'!$E$11+1,1))-AVERAGE(OFFSET($H$3,0,0,'Données projet'!$E$11+1,1))</f>
        <v>158.58786357608489</v>
      </c>
      <c r="BJ162" s="59">
        <f t="shared" si="146"/>
        <v>163.20074068819849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5.6843418860808015E-13</v>
      </c>
      <c r="BZ162" s="13">
        <f>BY162*VLOOKUP('Données projet'!$B$12,Paramètres!$A$1:$I$89,3,0)*VLOOKUP('Données projet'!$B$12,Paramètres!$A$1:$I$89,5,0)</f>
        <v>2.6602720026858149E-13</v>
      </c>
      <c r="CA162" s="13">
        <f t="shared" si="170"/>
        <v>3.5662905043956649E-12</v>
      </c>
      <c r="CB162" s="20">
        <f t="shared" si="171"/>
        <v>6.6746200022902298E-12</v>
      </c>
      <c r="CC162" s="59">
        <f t="shared" si="119"/>
        <v>293.33333333333997</v>
      </c>
      <c r="CD162" s="59">
        <f ca="1">AVERAGE(OFFSET($CC$3,0,0,'Données projet'!$E$12+1,1))-AVERAGE(OFFSET($H$3,0,0,'Données projet'!$E$12+1,1))</f>
        <v>123.2823358462245</v>
      </c>
      <c r="CE162" s="59">
        <f t="shared" si="148"/>
        <v>92.75115399786057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-2.8421709430404007E-13</v>
      </c>
      <c r="CU162" s="17">
        <f>CT162*VLOOKUP('Données projet'!$B$13,Paramètres!$A$1:$I$89,3,0)*VLOOKUP('Données projet'!$B$13,Paramètres!$A$1:$I$89,5,0)</f>
        <v>-1.69961822393816E-13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179.32848817523677</v>
      </c>
      <c r="CZ162" s="59">
        <f t="shared" si="150"/>
        <v>131.3292389103035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0.36864064636420885</v>
      </c>
      <c r="DH162" s="21">
        <f>EXP(-LN(2)/2)*DH161+(1-EXP(-LN(2)/2))/(LN(2)/2)*DB162*DE162*VLOOKUP('Données projet'!$B$13,Paramètres!$A$1:$I$89,3,0)*0.475*44/12</f>
        <v>2.0173807422487407E-19</v>
      </c>
      <c r="DI162" s="22">
        <f t="shared" si="175"/>
        <v>0.36864064636420885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>
        <f>VLOOKUP(A162,'Données projet'!$A$165:$I$185,2,0)</f>
        <v>135.55128205128204</v>
      </c>
      <c r="DM162" s="12">
        <f>VLOOKUP(A162,'Données projet'!$A$165:$I$185,9,0)</f>
        <v>1.6025641025640975</v>
      </c>
      <c r="DN162" s="12">
        <f t="array" ref="DN162">INDEX(DM:DM,MIN(IF(ISNUMBER(DM162:DM358),ROW(DM162:DM358),"")))</f>
        <v>1.6025641025640975</v>
      </c>
      <c r="DO162" s="12">
        <f>IF('Données projet'!$A$166&gt;35,DO161+DN162-DW161,IF(A162&lt;'Données projet'!$A$166,$DL$205^A162,IF(A162='Données projet'!$A$166,'Données projet'!$B$166,DO161+DN162-DW161)))</f>
        <v>135.55128205128131</v>
      </c>
      <c r="DP162" s="17">
        <f>DO162*VLOOKUP('Données projet'!$B$14,Paramètres!$A$1:$I$89,3,0)*VLOOKUP('Données projet'!$B$14,Paramètres!$A$1:$I$89,5,0)</f>
        <v>131.10519999999929</v>
      </c>
      <c r="DQ162" s="13">
        <f t="shared" si="176"/>
        <v>34.251612641861549</v>
      </c>
      <c r="DR162" s="20">
        <f t="shared" si="177"/>
        <v>287.99644868457426</v>
      </c>
      <c r="DS162" s="59">
        <f t="shared" si="125"/>
        <v>581.32978201790752</v>
      </c>
      <c r="DT162" s="59">
        <f ca="1">AVERAGE(OFFSET($DS$3,0,0,'Données projet'!$E$14+1,1))-AVERAGE(OFFSET($H$3,0,0,'Données projet'!$E$14+1,1))</f>
        <v>340.4659523898373</v>
      </c>
      <c r="DU162" s="59">
        <f t="shared" si="152"/>
        <v>170.54530785680572</v>
      </c>
      <c r="DV162" s="15">
        <f>IF(ISNA(VLOOKUP(A162,'Données projet'!$A$165:$I$185,3,0)),0,VLOOKUP(A162,'Données projet'!$A$165:$I$185,3,0))</f>
        <v>17</v>
      </c>
      <c r="DW162" s="15">
        <f>IF(ISNA(VLOOKUP(A162,'Données projet'!$A$165:$I$185,4,0)),0,VLOOKUP(A162,'Données projet'!$A$165:$I$185,4,0))</f>
        <v>135.55128205128204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6.3403846153846128</v>
      </c>
      <c r="EJ162" s="12">
        <f>IF('Données projet'!$A$192&gt;35,EJ161+EI162-ER161,IF(A162&lt;'Données projet'!$A$192,$EG$205^A162,IF(A162='Données projet'!$A$192,'Données projet'!$B$192,EJ161+EI162-ER161)))</f>
        <v>361.98397435897368</v>
      </c>
      <c r="EK162" s="17">
        <f>EJ162*VLOOKUP('Données projet'!$B$15,Paramètres!$A$1:$I$89,3,0)*VLOOKUP('Données projet'!$B$15,Paramètres!$A$1:$I$89,5,0)</f>
        <v>350.11089999999933</v>
      </c>
      <c r="EL162" s="13">
        <f t="shared" si="179"/>
        <v>81.585346278747323</v>
      </c>
      <c r="EM162" s="20">
        <f t="shared" si="180"/>
        <v>751.87096226881715</v>
      </c>
      <c r="EN162" s="59">
        <f t="shared" si="128"/>
        <v>1045.2042956021505</v>
      </c>
      <c r="EO162" s="59">
        <f ca="1">AVERAGE(OFFSET($EN$3,0,0,'Données projet'!$E$15+1,1))-AVERAGE(OFFSET($H$3,0,0,'Données projet'!$E$15+1,1))</f>
        <v>262.20955982183017</v>
      </c>
      <c r="EP162" s="59">
        <f t="shared" si="154"/>
        <v>101.35842063036193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5.6843418860808015E-14</v>
      </c>
      <c r="FF162" s="17">
        <f>FE162*VLOOKUP('Données projet'!$B$16,Paramètres!$A$1:$I$89,3,0)*VLOOKUP('Données projet'!$B$16,Paramètres!$A$1:$I$89,5,0)</f>
        <v>4.5224624045658861E-14</v>
      </c>
      <c r="FG162" s="13">
        <f t="shared" si="182"/>
        <v>7.4514601661523691E-13</v>
      </c>
      <c r="FH162" s="20">
        <f t="shared" si="183"/>
        <v>1.3765621991510601E-12</v>
      </c>
      <c r="FI162" s="59">
        <f t="shared" si="131"/>
        <v>293.33333333333468</v>
      </c>
      <c r="FJ162" s="59">
        <f ca="1">AVERAGE(OFFSET($FI$3,0,0,'Données projet'!$E$16+1,1))-AVERAGE(OFFSET($H$3,0,0,'Données projet'!$E$16+1,1))</f>
        <v>199.58763537752952</v>
      </c>
      <c r="FK162" s="59">
        <f t="shared" si="156"/>
        <v>242.62852778451929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0.28761005449643717</v>
      </c>
      <c r="FS162" s="21">
        <f>EXP(-LN(2)/2)*FS161+(1-EXP(-LN(2)/2))/(LN(2)/2)*FM162*FP162*VLOOKUP('Données projet'!$B$16,Paramètres!$A$1:$I$89,3,0)*0.475*44/12</f>
        <v>4.1251566593945681E-19</v>
      </c>
      <c r="FT162" s="22">
        <f t="shared" si="184"/>
        <v>0.28761005449643717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5.6843418860808015E-14</v>
      </c>
      <c r="GA162" s="17">
        <f>FZ162*VLOOKUP('Données projet'!$B$17,Paramètres!$A$1:$I$89,3,0)*VLOOKUP('Données projet'!$B$17,Paramètres!$A$1:$I$89,5,0)</f>
        <v>4.1677594708744434E-14</v>
      </c>
      <c r="GB162" s="13">
        <f t="shared" si="185"/>
        <v>6.9326303456159188E-13</v>
      </c>
      <c r="GC162" s="20">
        <f t="shared" si="186"/>
        <v>1.2800215959791691E-12</v>
      </c>
      <c r="GD162" s="59">
        <f t="shared" si="134"/>
        <v>293.33333333333462</v>
      </c>
      <c r="GE162" s="59">
        <f ca="1">AVERAGE(OFFSET($GD$3,0,0,'Données projet'!$E$17+1,1))-AVERAGE(OFFSET($H$3,0,0,'Données projet'!$E$17+1,1))</f>
        <v>178.12968684094687</v>
      </c>
      <c r="GF162" s="59">
        <f t="shared" si="158"/>
        <v>219.36004077210373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0.21504251577406563</v>
      </c>
      <c r="GN162" s="21">
        <f>EXP(-LN(2)/2)*GN161+(1-EXP(-LN(2)/2))/(LN(2)/2)*GH162*GK162*VLOOKUP('Données projet'!$B$17,Paramètres!$A$1:$I$89,3,0)*0.475*44/12</f>
        <v>3.8016149606185202E-19</v>
      </c>
      <c r="GO162" s="21">
        <f t="shared" si="187"/>
        <v>0.21504251577406563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5.6843418860808015E-14</v>
      </c>
      <c r="GV162" s="17">
        <f>GU162*VLOOKUP('Données projet'!$B$18,Paramètres!$A$1:$I$89,3,0)*VLOOKUP('Données projet'!$B$18,Paramètres!$A$1:$I$89,5,0)</f>
        <v>4.5224624045658861E-14</v>
      </c>
      <c r="GW162" s="13">
        <f t="shared" si="188"/>
        <v>7.4514601661523691E-13</v>
      </c>
      <c r="GX162" s="20">
        <f t="shared" si="189"/>
        <v>1.3765621991510601E-12</v>
      </c>
      <c r="GY162" s="59">
        <f t="shared" si="137"/>
        <v>293.33333333333468</v>
      </c>
      <c r="GZ162" s="59">
        <f ca="1">AVERAGE(OFFSET($GY$3,0,0,'Données projet'!$E$18+1,1))-AVERAGE(OFFSET($H$3,0,0,'Données projet'!$E$18+1,1))</f>
        <v>199.58763537752952</v>
      </c>
      <c r="HA162" s="59">
        <f t="shared" si="160"/>
        <v>242.62852778451929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0</v>
      </c>
      <c r="HH162" s="21">
        <f>EXP(-LN(2)/25)*HH161+(1-EXP(-LN(2)/25))/(LN(2)/25)*Calculateur!HC162*Calculateur!HE162*VLOOKUP('Données projet'!$B$18,Paramètres!$A$1:$I$89,3,0)*0.475*44/12</f>
        <v>0.28761005449643717</v>
      </c>
      <c r="HI162" s="21">
        <f>EXP(-LN(2)/2)*HI161+(1-EXP(-LN(2)/2))/(LN(2)/2)*HC162*HF162*VLOOKUP('Données projet'!$B$18,Paramètres!$A$1:$I$89,3,0)*0.475*44/12</f>
        <v>4.1251566593945681E-19</v>
      </c>
      <c r="HJ162" s="22">
        <f t="shared" si="190"/>
        <v>0.28761005449643717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-7.3896444519050419E-13</v>
      </c>
      <c r="O163" s="13">
        <f>N163*VLOOKUP('Données projet'!$B$9,Paramètres!$A$1:$I$89,3,0)*VLOOKUP('Données projet'!$B$9,Paramètres!$A$1:$I$89,5,0)</f>
        <v>-6.6861503000836817E-13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309.07357540707869</v>
      </c>
      <c r="T163" s="59">
        <f t="shared" si="142"/>
        <v>155.9593924683299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6.3403846153846128</v>
      </c>
      <c r="AI163" s="13">
        <f>IF('Données projet'!$A$62&gt;35,AI162+AH163-AQ162,IF(A163&lt;'Données projet'!$A$62,$AF$205^A163,IF(A163='Données projet'!$A$62,'Données projet'!$B$62,AI162+AH163-AQ162)))</f>
        <v>368.32435897435829</v>
      </c>
      <c r="AJ163" s="13">
        <f>AI163*VLOOKUP('Données projet'!$B$10,Paramètres!$A$1:$I$89,3,0)*VLOOKUP('Données projet'!$B$10,Paramètres!$A$1:$I$89,5,0)</f>
        <v>333.25987999999933</v>
      </c>
      <c r="AK163" s="13">
        <f t="shared" si="164"/>
        <v>78.105776321178581</v>
      </c>
      <c r="AL163" s="20">
        <f t="shared" si="165"/>
        <v>716.46185142605145</v>
      </c>
      <c r="AM163" s="59">
        <f t="shared" si="113"/>
        <v>1009.7951847593847</v>
      </c>
      <c r="AN163" s="59">
        <f ca="1">AVERAGE(OFFSET($AM$3,0,0,'Données projet'!$E$10+1,1))-AVERAGE(OFFSET($H$3,0,0,'Données projet'!$E$10+1,1))</f>
        <v>234.30804102916278</v>
      </c>
      <c r="AO163" s="59">
        <f t="shared" si="144"/>
        <v>91.137993288782411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3.4106051316484809E-13</v>
      </c>
      <c r="BE163" s="13">
        <f>BD163*VLOOKUP('Données projet'!$B$11,Paramètres!$A$1:$I$89,3,0)*VLOOKUP('Données projet'!$B$11,Paramètres!$A$1:$I$89,5,0)</f>
        <v>1.5961632016114892E-13</v>
      </c>
      <c r="BF163" s="13">
        <f t="shared" si="167"/>
        <v>2.2708641912150958E-12</v>
      </c>
      <c r="BG163" s="20">
        <f t="shared" si="168"/>
        <v>4.2330868906469593E-12</v>
      </c>
      <c r="BH163" s="59">
        <f t="shared" si="116"/>
        <v>293.33333333333752</v>
      </c>
      <c r="BI163" s="59">
        <f ca="1">AVERAGE(OFFSET($BH$3,0,0,'Données projet'!$E$11+1,1))-AVERAGE(OFFSET($H$3,0,0,'Données projet'!$E$11+1,1))</f>
        <v>158.58786357608489</v>
      </c>
      <c r="BJ163" s="59">
        <f t="shared" si="146"/>
        <v>163.20074068819849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5.6843418860808015E-13</v>
      </c>
      <c r="BZ163" s="13">
        <f>BY163*VLOOKUP('Données projet'!$B$12,Paramètres!$A$1:$I$89,3,0)*VLOOKUP('Données projet'!$B$12,Paramètres!$A$1:$I$89,5,0)</f>
        <v>2.6602720026858149E-13</v>
      </c>
      <c r="CA163" s="13">
        <f t="shared" si="170"/>
        <v>3.5662905043956649E-12</v>
      </c>
      <c r="CB163" s="20">
        <f t="shared" si="171"/>
        <v>6.6746200022902298E-12</v>
      </c>
      <c r="CC163" s="59">
        <f t="shared" si="119"/>
        <v>293.33333333333997</v>
      </c>
      <c r="CD163" s="59">
        <f ca="1">AVERAGE(OFFSET($CC$3,0,0,'Données projet'!$E$12+1,1))-AVERAGE(OFFSET($H$3,0,0,'Données projet'!$E$12+1,1))</f>
        <v>123.2823358462245</v>
      </c>
      <c r="CE163" s="59">
        <f t="shared" si="148"/>
        <v>92.75115399786057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-2.8421709430404007E-13</v>
      </c>
      <c r="CU163" s="17">
        <f>CT163*VLOOKUP('Données projet'!$B$13,Paramètres!$A$1:$I$89,3,0)*VLOOKUP('Données projet'!$B$13,Paramètres!$A$1:$I$89,5,0)</f>
        <v>-1.69961822393816E-13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179.32848817523677</v>
      </c>
      <c r="CZ163" s="59">
        <f t="shared" si="150"/>
        <v>131.3292389103035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0.3585601485034105</v>
      </c>
      <c r="DH163" s="21">
        <f>EXP(-LN(2)/2)*DH162+(1-EXP(-LN(2)/2))/(LN(2)/2)*DB163*DE163*VLOOKUP('Données projet'!$B$13,Paramètres!$A$1:$I$89,3,0)*0.475*44/12</f>
        <v>1.4265036030792351E-19</v>
      </c>
      <c r="DI163" s="22">
        <f t="shared" si="175"/>
        <v>0.3585601485034105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-7.3896444519050419E-13</v>
      </c>
      <c r="DP163" s="17">
        <f>DO163*VLOOKUP('Données projet'!$B$14,Paramètres!$A$1:$I$89,3,0)*VLOOKUP('Données projet'!$B$14,Paramètres!$A$1:$I$89,5,0)</f>
        <v>-7.147264113882557E-13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340.4659523898373</v>
      </c>
      <c r="DU163" s="59">
        <f t="shared" si="152"/>
        <v>170.54530785680572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6.3403846153846128</v>
      </c>
      <c r="EJ163" s="12">
        <f>IF('Données projet'!$A$192&gt;35,EJ162+EI163-ER162,IF(A163&lt;'Données projet'!$A$192,$EG$205^A163,IF(A163='Données projet'!$A$192,'Données projet'!$B$192,EJ162+EI163-ER162)))</f>
        <v>368.32435897435829</v>
      </c>
      <c r="EK163" s="17">
        <f>EJ163*VLOOKUP('Données projet'!$B$15,Paramètres!$A$1:$I$89,3,0)*VLOOKUP('Données projet'!$B$15,Paramètres!$A$1:$I$89,5,0)</f>
        <v>356.24331999999936</v>
      </c>
      <c r="EL163" s="13">
        <f t="shared" si="179"/>
        <v>82.846749802215825</v>
      </c>
      <c r="EM163" s="20">
        <f t="shared" si="180"/>
        <v>764.74853823885803</v>
      </c>
      <c r="EN163" s="59">
        <f t="shared" si="128"/>
        <v>1058.0818715721914</v>
      </c>
      <c r="EO163" s="59">
        <f ca="1">AVERAGE(OFFSET($EN$3,0,0,'Données projet'!$E$15+1,1))-AVERAGE(OFFSET($H$3,0,0,'Données projet'!$E$15+1,1))</f>
        <v>262.20955982183017</v>
      </c>
      <c r="EP163" s="59">
        <f t="shared" si="154"/>
        <v>101.35842063036193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5.6843418860808015E-14</v>
      </c>
      <c r="FF163" s="17">
        <f>FE163*VLOOKUP('Données projet'!$B$16,Paramètres!$A$1:$I$89,3,0)*VLOOKUP('Données projet'!$B$16,Paramètres!$A$1:$I$89,5,0)</f>
        <v>4.5224624045658861E-14</v>
      </c>
      <c r="FG163" s="13">
        <f t="shared" si="182"/>
        <v>7.4514601661523691E-13</v>
      </c>
      <c r="FH163" s="20">
        <f t="shared" si="183"/>
        <v>1.3765621991510601E-12</v>
      </c>
      <c r="FI163" s="59">
        <f t="shared" si="131"/>
        <v>293.33333333333468</v>
      </c>
      <c r="FJ163" s="59">
        <f ca="1">AVERAGE(OFFSET($FI$3,0,0,'Données projet'!$E$16+1,1))-AVERAGE(OFFSET($H$3,0,0,'Données projet'!$E$16+1,1))</f>
        <v>199.58763537752952</v>
      </c>
      <c r="FK163" s="59">
        <f t="shared" si="156"/>
        <v>242.62852778451929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0.2797453424314767</v>
      </c>
      <c r="FS163" s="21">
        <f>EXP(-LN(2)/2)*FS162+(1-EXP(-LN(2)/2))/(LN(2)/2)*FM163*FP163*VLOOKUP('Données projet'!$B$16,Paramètres!$A$1:$I$89,3,0)*0.475*44/12</f>
        <v>2.9169262473147442E-19</v>
      </c>
      <c r="FT163" s="22">
        <f t="shared" si="184"/>
        <v>0.2797453424314767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5.6843418860808015E-14</v>
      </c>
      <c r="GA163" s="17">
        <f>FZ163*VLOOKUP('Données projet'!$B$17,Paramètres!$A$1:$I$89,3,0)*VLOOKUP('Données projet'!$B$17,Paramètres!$A$1:$I$89,5,0)</f>
        <v>4.1677594708744434E-14</v>
      </c>
      <c r="GB163" s="13">
        <f t="shared" si="185"/>
        <v>6.9326303456159188E-13</v>
      </c>
      <c r="GC163" s="20">
        <f t="shared" si="186"/>
        <v>1.2800215959791691E-12</v>
      </c>
      <c r="GD163" s="59">
        <f t="shared" si="134"/>
        <v>293.33333333333462</v>
      </c>
      <c r="GE163" s="59">
        <f ca="1">AVERAGE(OFFSET($GD$3,0,0,'Données projet'!$E$17+1,1))-AVERAGE(OFFSET($H$3,0,0,'Données projet'!$E$17+1,1))</f>
        <v>178.12968684094687</v>
      </c>
      <c r="GF163" s="59">
        <f t="shared" si="158"/>
        <v>219.36004077210373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0.20916216687162939</v>
      </c>
      <c r="GN163" s="21">
        <f>EXP(-LN(2)/2)*GN162+(1-EXP(-LN(2)/2))/(LN(2)/2)*GH163*GK163*VLOOKUP('Données projet'!$B$17,Paramètres!$A$1:$I$89,3,0)*0.475*44/12</f>
        <v>2.6881477181135854E-19</v>
      </c>
      <c r="GO163" s="21">
        <f t="shared" si="187"/>
        <v>0.20916216687162939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5.6843418860808015E-14</v>
      </c>
      <c r="GV163" s="17">
        <f>GU163*VLOOKUP('Données projet'!$B$18,Paramètres!$A$1:$I$89,3,0)*VLOOKUP('Données projet'!$B$18,Paramètres!$A$1:$I$89,5,0)</f>
        <v>4.5224624045658861E-14</v>
      </c>
      <c r="GW163" s="13">
        <f t="shared" si="188"/>
        <v>7.4514601661523691E-13</v>
      </c>
      <c r="GX163" s="20">
        <f t="shared" si="189"/>
        <v>1.3765621991510601E-12</v>
      </c>
      <c r="GY163" s="59">
        <f t="shared" si="137"/>
        <v>293.33333333333468</v>
      </c>
      <c r="GZ163" s="59">
        <f ca="1">AVERAGE(OFFSET($GY$3,0,0,'Données projet'!$E$18+1,1))-AVERAGE(OFFSET($H$3,0,0,'Données projet'!$E$18+1,1))</f>
        <v>199.58763537752952</v>
      </c>
      <c r="HA163" s="59">
        <f t="shared" si="160"/>
        <v>242.62852778451929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0</v>
      </c>
      <c r="HH163" s="21">
        <f>EXP(-LN(2)/25)*HH162+(1-EXP(-LN(2)/25))/(LN(2)/25)*Calculateur!HC163*Calculateur!HE163*VLOOKUP('Données projet'!$B$18,Paramètres!$A$1:$I$89,3,0)*0.475*44/12</f>
        <v>0.2797453424314767</v>
      </c>
      <c r="HI163" s="21">
        <f>EXP(-LN(2)/2)*HI162+(1-EXP(-LN(2)/2))/(LN(2)/2)*HC163*HF163*VLOOKUP('Données projet'!$B$18,Paramètres!$A$1:$I$89,3,0)*0.475*44/12</f>
        <v>2.9169262473147442E-19</v>
      </c>
      <c r="HJ163" s="22">
        <f t="shared" si="190"/>
        <v>0.2797453424314767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-7.3896444519050419E-13</v>
      </c>
      <c r="O164" s="13">
        <f>N164*VLOOKUP('Données projet'!$B$9,Paramètres!$A$1:$I$89,3,0)*VLOOKUP('Données projet'!$B$9,Paramètres!$A$1:$I$89,5,0)</f>
        <v>-6.6861503000836817E-13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309.07357540707869</v>
      </c>
      <c r="T164" s="59">
        <f t="shared" si="142"/>
        <v>155.9593924683299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6.3403846153846128</v>
      </c>
      <c r="AI164" s="13">
        <f>IF('Données projet'!$A$62&gt;35,AI163+AH164-AQ163,IF(A164&lt;'Données projet'!$A$62,$AF$205^A164,IF(A164='Données projet'!$A$62,'Données projet'!$B$62,AI163+AH164-AQ163)))</f>
        <v>374.6647435897429</v>
      </c>
      <c r="AJ164" s="13">
        <f>AI164*VLOOKUP('Données projet'!$B$10,Paramètres!$A$1:$I$89,3,0)*VLOOKUP('Données projet'!$B$10,Paramètres!$A$1:$I$89,5,0)</f>
        <v>338.99665999999934</v>
      </c>
      <c r="AK164" s="13">
        <f t="shared" si="164"/>
        <v>79.292614383358782</v>
      </c>
      <c r="AL164" s="20">
        <f t="shared" si="165"/>
        <v>728.52048621768199</v>
      </c>
      <c r="AM164" s="59">
        <f t="shared" si="113"/>
        <v>1021.8538195510152</v>
      </c>
      <c r="AN164" s="59">
        <f ca="1">AVERAGE(OFFSET($AM$3,0,0,'Données projet'!$E$10+1,1))-AVERAGE(OFFSET($H$3,0,0,'Données projet'!$E$10+1,1))</f>
        <v>234.30804102916278</v>
      </c>
      <c r="AO164" s="59">
        <f t="shared" si="144"/>
        <v>91.137993288782411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3.4106051316484809E-13</v>
      </c>
      <c r="BE164" s="13">
        <f>BD164*VLOOKUP('Données projet'!$B$11,Paramètres!$A$1:$I$89,3,0)*VLOOKUP('Données projet'!$B$11,Paramètres!$A$1:$I$89,5,0)</f>
        <v>1.5961632016114892E-13</v>
      </c>
      <c r="BF164" s="13">
        <f t="shared" si="167"/>
        <v>2.2708641912150958E-12</v>
      </c>
      <c r="BG164" s="20">
        <f t="shared" si="168"/>
        <v>4.2330868906469593E-12</v>
      </c>
      <c r="BH164" s="59">
        <f t="shared" si="116"/>
        <v>293.33333333333752</v>
      </c>
      <c r="BI164" s="59">
        <f ca="1">AVERAGE(OFFSET($BH$3,0,0,'Données projet'!$E$11+1,1))-AVERAGE(OFFSET($H$3,0,0,'Données projet'!$E$11+1,1))</f>
        <v>158.58786357608489</v>
      </c>
      <c r="BJ164" s="59">
        <f t="shared" si="146"/>
        <v>163.20074068819849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5.6843418860808015E-13</v>
      </c>
      <c r="BZ164" s="13">
        <f>BY164*VLOOKUP('Données projet'!$B$12,Paramètres!$A$1:$I$89,3,0)*VLOOKUP('Données projet'!$B$12,Paramètres!$A$1:$I$89,5,0)</f>
        <v>2.6602720026858149E-13</v>
      </c>
      <c r="CA164" s="13">
        <f t="shared" si="170"/>
        <v>3.5662905043956649E-12</v>
      </c>
      <c r="CB164" s="20">
        <f t="shared" si="171"/>
        <v>6.6746200022902298E-12</v>
      </c>
      <c r="CC164" s="59">
        <f t="shared" si="119"/>
        <v>293.33333333333997</v>
      </c>
      <c r="CD164" s="59">
        <f ca="1">AVERAGE(OFFSET($CC$3,0,0,'Données projet'!$E$12+1,1))-AVERAGE(OFFSET($H$3,0,0,'Données projet'!$E$12+1,1))</f>
        <v>123.2823358462245</v>
      </c>
      <c r="CE164" s="59">
        <f t="shared" si="148"/>
        <v>92.75115399786057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-2.8421709430404007E-13</v>
      </c>
      <c r="CU164" s="17">
        <f>CT164*VLOOKUP('Données projet'!$B$13,Paramètres!$A$1:$I$89,3,0)*VLOOKUP('Données projet'!$B$13,Paramètres!$A$1:$I$89,5,0)</f>
        <v>-1.69961822393816E-13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179.32848817523677</v>
      </c>
      <c r="CZ164" s="59">
        <f t="shared" si="150"/>
        <v>131.3292389103035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0.34875530238672603</v>
      </c>
      <c r="DH164" s="21">
        <f>EXP(-LN(2)/2)*DH163+(1-EXP(-LN(2)/2))/(LN(2)/2)*DB164*DE164*VLOOKUP('Données projet'!$B$13,Paramètres!$A$1:$I$89,3,0)*0.475*44/12</f>
        <v>1.0086903711243703E-19</v>
      </c>
      <c r="DI164" s="22">
        <f t="shared" si="175"/>
        <v>0.34875530238672603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-7.3896444519050419E-13</v>
      </c>
      <c r="DP164" s="17">
        <f>DO164*VLOOKUP('Données projet'!$B$14,Paramètres!$A$1:$I$89,3,0)*VLOOKUP('Données projet'!$B$14,Paramètres!$A$1:$I$89,5,0)</f>
        <v>-7.147264113882557E-13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340.4659523898373</v>
      </c>
      <c r="DU164" s="59">
        <f t="shared" si="152"/>
        <v>170.54530785680572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6.3403846153846128</v>
      </c>
      <c r="EJ164" s="12">
        <f>IF('Données projet'!$A$192&gt;35,EJ163+EI164-ER163,IF(A164&lt;'Données projet'!$A$192,$EG$205^A164,IF(A164='Données projet'!$A$192,'Données projet'!$B$192,EJ163+EI164-ER163)))</f>
        <v>374.6647435897429</v>
      </c>
      <c r="EK164" s="17">
        <f>EJ164*VLOOKUP('Données projet'!$B$15,Paramètres!$A$1:$I$89,3,0)*VLOOKUP('Données projet'!$B$15,Paramètres!$A$1:$I$89,5,0)</f>
        <v>362.37573999999933</v>
      </c>
      <c r="EL164" s="13">
        <f t="shared" si="179"/>
        <v>84.105628218440401</v>
      </c>
      <c r="EM164" s="20">
        <f t="shared" si="180"/>
        <v>777.6217163137826</v>
      </c>
      <c r="EN164" s="59">
        <f t="shared" si="128"/>
        <v>1070.9550496471159</v>
      </c>
      <c r="EO164" s="59">
        <f ca="1">AVERAGE(OFFSET($EN$3,0,0,'Données projet'!$E$15+1,1))-AVERAGE(OFFSET($H$3,0,0,'Données projet'!$E$15+1,1))</f>
        <v>262.20955982183017</v>
      </c>
      <c r="EP164" s="59">
        <f t="shared" si="154"/>
        <v>101.35842063036193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5.6843418860808015E-14</v>
      </c>
      <c r="FF164" s="17">
        <f>FE164*VLOOKUP('Données projet'!$B$16,Paramètres!$A$1:$I$89,3,0)*VLOOKUP('Données projet'!$B$16,Paramètres!$A$1:$I$89,5,0)</f>
        <v>4.5224624045658861E-14</v>
      </c>
      <c r="FG164" s="13">
        <f t="shared" si="182"/>
        <v>7.4514601661523691E-13</v>
      </c>
      <c r="FH164" s="20">
        <f t="shared" si="183"/>
        <v>1.3765621991510601E-12</v>
      </c>
      <c r="FI164" s="59">
        <f t="shared" si="131"/>
        <v>293.33333333333468</v>
      </c>
      <c r="FJ164" s="59">
        <f ca="1">AVERAGE(OFFSET($FI$3,0,0,'Données projet'!$E$16+1,1))-AVERAGE(OFFSET($H$3,0,0,'Données projet'!$E$16+1,1))</f>
        <v>199.58763537752952</v>
      </c>
      <c r="FK164" s="59">
        <f t="shared" si="156"/>
        <v>242.62852778451929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0.27209569133151978</v>
      </c>
      <c r="FS164" s="21">
        <f>EXP(-LN(2)/2)*FS163+(1-EXP(-LN(2)/2))/(LN(2)/2)*FM164*FP164*VLOOKUP('Données projet'!$B$16,Paramètres!$A$1:$I$89,3,0)*0.475*44/12</f>
        <v>2.0625783296972841E-19</v>
      </c>
      <c r="FT164" s="22">
        <f t="shared" si="184"/>
        <v>0.27209569133151978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5.6843418860808015E-14</v>
      </c>
      <c r="GA164" s="17">
        <f>FZ164*VLOOKUP('Données projet'!$B$17,Paramètres!$A$1:$I$89,3,0)*VLOOKUP('Données projet'!$B$17,Paramètres!$A$1:$I$89,5,0)</f>
        <v>4.1677594708744434E-14</v>
      </c>
      <c r="GB164" s="13">
        <f t="shared" si="185"/>
        <v>6.9326303456159188E-13</v>
      </c>
      <c r="GC164" s="20">
        <f t="shared" si="186"/>
        <v>1.2800215959791691E-12</v>
      </c>
      <c r="GD164" s="59">
        <f t="shared" si="134"/>
        <v>293.33333333333462</v>
      </c>
      <c r="GE164" s="59">
        <f ca="1">AVERAGE(OFFSET($GD$3,0,0,'Données projet'!$E$17+1,1))-AVERAGE(OFFSET($H$3,0,0,'Données projet'!$E$17+1,1))</f>
        <v>178.12968684094687</v>
      </c>
      <c r="GF164" s="59">
        <f t="shared" si="158"/>
        <v>219.36004077210373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0.20344261641916436</v>
      </c>
      <c r="GN164" s="21">
        <f>EXP(-LN(2)/2)*GN163+(1-EXP(-LN(2)/2))/(LN(2)/2)*GH164*GK164*VLOOKUP('Données projet'!$B$17,Paramètres!$A$1:$I$89,3,0)*0.475*44/12</f>
        <v>1.9008074803092601E-19</v>
      </c>
      <c r="GO164" s="21">
        <f t="shared" si="187"/>
        <v>0.20344261641916436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5.6843418860808015E-14</v>
      </c>
      <c r="GV164" s="17">
        <f>GU164*VLOOKUP('Données projet'!$B$18,Paramètres!$A$1:$I$89,3,0)*VLOOKUP('Données projet'!$B$18,Paramètres!$A$1:$I$89,5,0)</f>
        <v>4.5224624045658861E-14</v>
      </c>
      <c r="GW164" s="13">
        <f t="shared" si="188"/>
        <v>7.4514601661523691E-13</v>
      </c>
      <c r="GX164" s="20">
        <f t="shared" si="189"/>
        <v>1.3765621991510601E-12</v>
      </c>
      <c r="GY164" s="59">
        <f t="shared" si="137"/>
        <v>293.33333333333468</v>
      </c>
      <c r="GZ164" s="59">
        <f ca="1">AVERAGE(OFFSET($GY$3,0,0,'Données projet'!$E$18+1,1))-AVERAGE(OFFSET($H$3,0,0,'Données projet'!$E$18+1,1))</f>
        <v>199.58763537752952</v>
      </c>
      <c r="HA164" s="59">
        <f t="shared" si="160"/>
        <v>242.62852778451929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0</v>
      </c>
      <c r="HH164" s="21">
        <f>EXP(-LN(2)/25)*HH163+(1-EXP(-LN(2)/25))/(LN(2)/25)*Calculateur!HC164*Calculateur!HE164*VLOOKUP('Données projet'!$B$18,Paramètres!$A$1:$I$89,3,0)*0.475*44/12</f>
        <v>0.27209569133151978</v>
      </c>
      <c r="HI164" s="21">
        <f>EXP(-LN(2)/2)*HI163+(1-EXP(-LN(2)/2))/(LN(2)/2)*HC164*HF164*VLOOKUP('Données projet'!$B$18,Paramètres!$A$1:$I$89,3,0)*0.475*44/12</f>
        <v>2.0625783296972841E-19</v>
      </c>
      <c r="HJ164" s="22">
        <f t="shared" si="190"/>
        <v>0.27209569133151978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-7.3896444519050419E-13</v>
      </c>
      <c r="O165" s="13">
        <f>N165*VLOOKUP('Données projet'!$B$9,Paramètres!$A$1:$I$89,3,0)*VLOOKUP('Données projet'!$B$9,Paramètres!$A$1:$I$89,5,0)</f>
        <v>-6.6861503000836817E-13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309.07357540707869</v>
      </c>
      <c r="T165" s="59">
        <f t="shared" si="142"/>
        <v>155.9593924683299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6.3403846153846128</v>
      </c>
      <c r="AI165" s="13">
        <f>IF('Données projet'!$A$62&gt;35,AI164+AH165-AQ164,IF(A165&lt;'Données projet'!$A$62,$AF$205^A165,IF(A165='Données projet'!$A$62,'Données projet'!$B$62,AI164+AH165-AQ164)))</f>
        <v>381.00512820512751</v>
      </c>
      <c r="AJ165" s="13">
        <f>AI165*VLOOKUP('Données projet'!$B$10,Paramètres!$A$1:$I$89,3,0)*VLOOKUP('Données projet'!$B$10,Paramètres!$A$1:$I$89,5,0)</f>
        <v>344.73343999999935</v>
      </c>
      <c r="AK165" s="13">
        <f t="shared" si="164"/>
        <v>80.477116775616508</v>
      </c>
      <c r="AL165" s="20">
        <f t="shared" si="165"/>
        <v>740.57505305086408</v>
      </c>
      <c r="AM165" s="59">
        <f t="shared" si="113"/>
        <v>1033.9083863841975</v>
      </c>
      <c r="AN165" s="59">
        <f ca="1">AVERAGE(OFFSET($AM$3,0,0,'Données projet'!$E$10+1,1))-AVERAGE(OFFSET($H$3,0,0,'Données projet'!$E$10+1,1))</f>
        <v>234.30804102916278</v>
      </c>
      <c r="AO165" s="59">
        <f t="shared" si="144"/>
        <v>91.137993288782411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3.4106051316484809E-13</v>
      </c>
      <c r="BE165" s="13">
        <f>BD165*VLOOKUP('Données projet'!$B$11,Paramètres!$A$1:$I$89,3,0)*VLOOKUP('Données projet'!$B$11,Paramètres!$A$1:$I$89,5,0)</f>
        <v>1.5961632016114892E-13</v>
      </c>
      <c r="BF165" s="13">
        <f t="shared" si="167"/>
        <v>2.2708641912150958E-12</v>
      </c>
      <c r="BG165" s="20">
        <f t="shared" si="168"/>
        <v>4.2330868906469593E-12</v>
      </c>
      <c r="BH165" s="59">
        <f t="shared" si="116"/>
        <v>293.33333333333752</v>
      </c>
      <c r="BI165" s="59">
        <f ca="1">AVERAGE(OFFSET($BH$3,0,0,'Données projet'!$E$11+1,1))-AVERAGE(OFFSET($H$3,0,0,'Données projet'!$E$11+1,1))</f>
        <v>158.58786357608489</v>
      </c>
      <c r="BJ165" s="59">
        <f t="shared" si="146"/>
        <v>163.20074068819849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5.6843418860808015E-13</v>
      </c>
      <c r="BZ165" s="13">
        <f>BY165*VLOOKUP('Données projet'!$B$12,Paramètres!$A$1:$I$89,3,0)*VLOOKUP('Données projet'!$B$12,Paramètres!$A$1:$I$89,5,0)</f>
        <v>2.6602720026858149E-13</v>
      </c>
      <c r="CA165" s="13">
        <f t="shared" si="170"/>
        <v>3.5662905043956649E-12</v>
      </c>
      <c r="CB165" s="20">
        <f t="shared" si="171"/>
        <v>6.6746200022902298E-12</v>
      </c>
      <c r="CC165" s="59">
        <f t="shared" si="119"/>
        <v>293.33333333333997</v>
      </c>
      <c r="CD165" s="59">
        <f ca="1">AVERAGE(OFFSET($CC$3,0,0,'Données projet'!$E$12+1,1))-AVERAGE(OFFSET($H$3,0,0,'Données projet'!$E$12+1,1))</f>
        <v>123.2823358462245</v>
      </c>
      <c r="CE165" s="59">
        <f t="shared" si="148"/>
        <v>92.75115399786057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-2.8421709430404007E-13</v>
      </c>
      <c r="CU165" s="17">
        <f>CT165*VLOOKUP('Données projet'!$B$13,Paramètres!$A$1:$I$89,3,0)*VLOOKUP('Données projet'!$B$13,Paramètres!$A$1:$I$89,5,0)</f>
        <v>-1.69961822393816E-13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179.32848817523677</v>
      </c>
      <c r="CZ165" s="59">
        <f t="shared" si="150"/>
        <v>131.3292389103035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0.33921857030271674</v>
      </c>
      <c r="DH165" s="21">
        <f>EXP(-LN(2)/2)*DH164+(1-EXP(-LN(2)/2))/(LN(2)/2)*DB165*DE165*VLOOKUP('Données projet'!$B$13,Paramètres!$A$1:$I$89,3,0)*0.475*44/12</f>
        <v>7.1325180153961754E-20</v>
      </c>
      <c r="DI165" s="22">
        <f t="shared" si="175"/>
        <v>0.33921857030271674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-7.3896444519050419E-13</v>
      </c>
      <c r="DP165" s="17">
        <f>DO165*VLOOKUP('Données projet'!$B$14,Paramètres!$A$1:$I$89,3,0)*VLOOKUP('Données projet'!$B$14,Paramètres!$A$1:$I$89,5,0)</f>
        <v>-7.147264113882557E-13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340.4659523898373</v>
      </c>
      <c r="DU165" s="59">
        <f t="shared" si="152"/>
        <v>170.54530785680572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6.3403846153846128</v>
      </c>
      <c r="EJ165" s="12">
        <f>IF('Données projet'!$A$192&gt;35,EJ164+EI165-ER164,IF(A165&lt;'Données projet'!$A$192,$EG$205^A165,IF(A165='Données projet'!$A$192,'Données projet'!$B$192,EJ164+EI165-ER164)))</f>
        <v>381.00512820512751</v>
      </c>
      <c r="EK165" s="17">
        <f>EJ165*VLOOKUP('Données projet'!$B$15,Paramètres!$A$1:$I$89,3,0)*VLOOKUP('Données projet'!$B$15,Paramètres!$A$1:$I$89,5,0)</f>
        <v>368.50815999999929</v>
      </c>
      <c r="EL165" s="13">
        <f t="shared" si="179"/>
        <v>85.362029190987684</v>
      </c>
      <c r="EM165" s="20">
        <f t="shared" si="180"/>
        <v>790.49057950763563</v>
      </c>
      <c r="EN165" s="59">
        <f t="shared" si="128"/>
        <v>1083.8239128409689</v>
      </c>
      <c r="EO165" s="59">
        <f ca="1">AVERAGE(OFFSET($EN$3,0,0,'Données projet'!$E$15+1,1))-AVERAGE(OFFSET($H$3,0,0,'Données projet'!$E$15+1,1))</f>
        <v>262.20955982183017</v>
      </c>
      <c r="EP165" s="59">
        <f t="shared" si="154"/>
        <v>101.35842063036193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5.6843418860808015E-14</v>
      </c>
      <c r="FF165" s="17">
        <f>FE165*VLOOKUP('Données projet'!$B$16,Paramètres!$A$1:$I$89,3,0)*VLOOKUP('Données projet'!$B$16,Paramètres!$A$1:$I$89,5,0)</f>
        <v>4.5224624045658861E-14</v>
      </c>
      <c r="FG165" s="13">
        <f t="shared" si="182"/>
        <v>7.4514601661523691E-13</v>
      </c>
      <c r="FH165" s="20">
        <f t="shared" si="183"/>
        <v>1.3765621991510601E-12</v>
      </c>
      <c r="FI165" s="59">
        <f t="shared" si="131"/>
        <v>293.33333333333468</v>
      </c>
      <c r="FJ165" s="59">
        <f ca="1">AVERAGE(OFFSET($FI$3,0,0,'Données projet'!$E$16+1,1))-AVERAGE(OFFSET($H$3,0,0,'Données projet'!$E$16+1,1))</f>
        <v>199.58763537752952</v>
      </c>
      <c r="FK165" s="59">
        <f t="shared" si="156"/>
        <v>242.62852778451929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0.26465522034316885</v>
      </c>
      <c r="FS165" s="21">
        <f>EXP(-LN(2)/2)*FS164+(1-EXP(-LN(2)/2))/(LN(2)/2)*FM165*FP165*VLOOKUP('Données projet'!$B$16,Paramètres!$A$1:$I$89,3,0)*0.475*44/12</f>
        <v>1.4584631236573721E-19</v>
      </c>
      <c r="FT165" s="22">
        <f t="shared" si="184"/>
        <v>0.26465522034316885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5.6843418860808015E-14</v>
      </c>
      <c r="GA165" s="17">
        <f>FZ165*VLOOKUP('Données projet'!$B$17,Paramètres!$A$1:$I$89,3,0)*VLOOKUP('Données projet'!$B$17,Paramètres!$A$1:$I$89,5,0)</f>
        <v>4.1677594708744434E-14</v>
      </c>
      <c r="GB165" s="13">
        <f t="shared" si="185"/>
        <v>6.9326303456159188E-13</v>
      </c>
      <c r="GC165" s="20">
        <f t="shared" si="186"/>
        <v>1.2800215959791691E-12</v>
      </c>
      <c r="GD165" s="59">
        <f t="shared" si="134"/>
        <v>293.33333333333462</v>
      </c>
      <c r="GE165" s="59">
        <f ca="1">AVERAGE(OFFSET($GD$3,0,0,'Données projet'!$E$17+1,1))-AVERAGE(OFFSET($H$3,0,0,'Données projet'!$E$17+1,1))</f>
        <v>178.12968684094687</v>
      </c>
      <c r="GF165" s="59">
        <f t="shared" si="158"/>
        <v>219.36004077210373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0.19787946737460008</v>
      </c>
      <c r="GN165" s="21">
        <f>EXP(-LN(2)/2)*GN164+(1-EXP(-LN(2)/2))/(LN(2)/2)*GH165*GK165*VLOOKUP('Données projet'!$B$17,Paramètres!$A$1:$I$89,3,0)*0.475*44/12</f>
        <v>1.3440738590567927E-19</v>
      </c>
      <c r="GO165" s="21">
        <f t="shared" si="187"/>
        <v>0.19787946737460008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5.6843418860808015E-14</v>
      </c>
      <c r="GV165" s="17">
        <f>GU165*VLOOKUP('Données projet'!$B$18,Paramètres!$A$1:$I$89,3,0)*VLOOKUP('Données projet'!$B$18,Paramètres!$A$1:$I$89,5,0)</f>
        <v>4.5224624045658861E-14</v>
      </c>
      <c r="GW165" s="13">
        <f t="shared" si="188"/>
        <v>7.4514601661523691E-13</v>
      </c>
      <c r="GX165" s="20">
        <f t="shared" si="189"/>
        <v>1.3765621991510601E-12</v>
      </c>
      <c r="GY165" s="59">
        <f t="shared" si="137"/>
        <v>293.33333333333468</v>
      </c>
      <c r="GZ165" s="59">
        <f ca="1">AVERAGE(OFFSET($GY$3,0,0,'Données projet'!$E$18+1,1))-AVERAGE(OFFSET($H$3,0,0,'Données projet'!$E$18+1,1))</f>
        <v>199.58763537752952</v>
      </c>
      <c r="HA165" s="59">
        <f t="shared" si="160"/>
        <v>242.62852778451929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0</v>
      </c>
      <c r="HH165" s="21">
        <f>EXP(-LN(2)/25)*HH164+(1-EXP(-LN(2)/25))/(LN(2)/25)*Calculateur!HC165*Calculateur!HE165*VLOOKUP('Données projet'!$B$18,Paramètres!$A$1:$I$89,3,0)*0.475*44/12</f>
        <v>0.26465522034316885</v>
      </c>
      <c r="HI165" s="21">
        <f>EXP(-LN(2)/2)*HI164+(1-EXP(-LN(2)/2))/(LN(2)/2)*HC165*HF165*VLOOKUP('Données projet'!$B$18,Paramètres!$A$1:$I$89,3,0)*0.475*44/12</f>
        <v>1.4584631236573721E-19</v>
      </c>
      <c r="HJ165" s="22">
        <f t="shared" si="190"/>
        <v>0.26465522034316885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-7.3896444519050419E-13</v>
      </c>
      <c r="O166" s="13">
        <f>N166*VLOOKUP('Données projet'!$B$9,Paramètres!$A$1:$I$89,3,0)*VLOOKUP('Données projet'!$B$9,Paramètres!$A$1:$I$89,5,0)</f>
        <v>-6.6861503000836817E-13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309.07357540707869</v>
      </c>
      <c r="T166" s="59">
        <f t="shared" si="142"/>
        <v>155.9593924683299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6.3403846153846128</v>
      </c>
      <c r="AI166" s="13">
        <f>IF('Données projet'!$A$62&gt;35,AI165+AH166-AQ165,IF(A166&lt;'Données projet'!$A$62,$AF$205^A166,IF(A166='Données projet'!$A$62,'Données projet'!$B$62,AI165+AH166-AQ165)))</f>
        <v>387.34551282051211</v>
      </c>
      <c r="AJ166" s="13">
        <f>AI166*VLOOKUP('Données projet'!$B$10,Paramètres!$A$1:$I$89,3,0)*VLOOKUP('Données projet'!$B$10,Paramètres!$A$1:$I$89,5,0)</f>
        <v>350.47021999999936</v>
      </c>
      <c r="AK166" s="13">
        <f t="shared" si="164"/>
        <v>81.659326852624957</v>
      </c>
      <c r="AL166" s="20">
        <f t="shared" si="165"/>
        <v>752.62562743498745</v>
      </c>
      <c r="AM166" s="59">
        <f t="shared" si="113"/>
        <v>1045.9589607683208</v>
      </c>
      <c r="AN166" s="59">
        <f ca="1">AVERAGE(OFFSET($AM$3,0,0,'Données projet'!$E$10+1,1))-AVERAGE(OFFSET($H$3,0,0,'Données projet'!$E$10+1,1))</f>
        <v>234.30804102916278</v>
      </c>
      <c r="AO166" s="59">
        <f t="shared" si="144"/>
        <v>91.137993288782411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3.4106051316484809E-13</v>
      </c>
      <c r="BE166" s="13">
        <f>BD166*VLOOKUP('Données projet'!$B$11,Paramètres!$A$1:$I$89,3,0)*VLOOKUP('Données projet'!$B$11,Paramètres!$A$1:$I$89,5,0)</f>
        <v>1.5961632016114892E-13</v>
      </c>
      <c r="BF166" s="13">
        <f t="shared" si="167"/>
        <v>2.2708641912150958E-12</v>
      </c>
      <c r="BG166" s="20">
        <f t="shared" si="168"/>
        <v>4.2330868906469593E-12</v>
      </c>
      <c r="BH166" s="59">
        <f t="shared" si="116"/>
        <v>293.33333333333752</v>
      </c>
      <c r="BI166" s="59">
        <f ca="1">AVERAGE(OFFSET($BH$3,0,0,'Données projet'!$E$11+1,1))-AVERAGE(OFFSET($H$3,0,0,'Données projet'!$E$11+1,1))</f>
        <v>158.58786357608489</v>
      </c>
      <c r="BJ166" s="59">
        <f t="shared" si="146"/>
        <v>163.20074068819849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5.6843418860808015E-13</v>
      </c>
      <c r="BZ166" s="13">
        <f>BY166*VLOOKUP('Données projet'!$B$12,Paramètres!$A$1:$I$89,3,0)*VLOOKUP('Données projet'!$B$12,Paramètres!$A$1:$I$89,5,0)</f>
        <v>2.6602720026858149E-13</v>
      </c>
      <c r="CA166" s="13">
        <f t="shared" si="170"/>
        <v>3.5662905043956649E-12</v>
      </c>
      <c r="CB166" s="20">
        <f t="shared" si="171"/>
        <v>6.6746200022902298E-12</v>
      </c>
      <c r="CC166" s="59">
        <f t="shared" si="119"/>
        <v>293.33333333333997</v>
      </c>
      <c r="CD166" s="59">
        <f ca="1">AVERAGE(OFFSET($CC$3,0,0,'Données projet'!$E$12+1,1))-AVERAGE(OFFSET($H$3,0,0,'Données projet'!$E$12+1,1))</f>
        <v>123.2823358462245</v>
      </c>
      <c r="CE166" s="59">
        <f t="shared" si="148"/>
        <v>92.75115399786057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-2.8421709430404007E-13</v>
      </c>
      <c r="CU166" s="17">
        <f>CT166*VLOOKUP('Données projet'!$B$13,Paramètres!$A$1:$I$89,3,0)*VLOOKUP('Données projet'!$B$13,Paramètres!$A$1:$I$89,5,0)</f>
        <v>-1.69961822393816E-13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179.32848817523677</v>
      </c>
      <c r="CZ166" s="59">
        <f t="shared" si="150"/>
        <v>131.3292389103035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0.3299426206590596</v>
      </c>
      <c r="DH166" s="21">
        <f>EXP(-LN(2)/2)*DH165+(1-EXP(-LN(2)/2))/(LN(2)/2)*DB166*DE166*VLOOKUP('Données projet'!$B$13,Paramètres!$A$1:$I$89,3,0)*0.475*44/12</f>
        <v>5.0434518556218517E-20</v>
      </c>
      <c r="DI166" s="22">
        <f t="shared" si="175"/>
        <v>0.3299426206590596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-7.3896444519050419E-13</v>
      </c>
      <c r="DP166" s="17">
        <f>DO166*VLOOKUP('Données projet'!$B$14,Paramètres!$A$1:$I$89,3,0)*VLOOKUP('Données projet'!$B$14,Paramètres!$A$1:$I$89,5,0)</f>
        <v>-7.147264113882557E-13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340.4659523898373</v>
      </c>
      <c r="DU166" s="59">
        <f t="shared" si="152"/>
        <v>170.54530785680572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6.3403846153846128</v>
      </c>
      <c r="EJ166" s="12">
        <f>IF('Données projet'!$A$192&gt;35,EJ165+EI166-ER165,IF(A166&lt;'Données projet'!$A$192,$EG$205^A166,IF(A166='Données projet'!$A$192,'Données projet'!$B$192,EJ165+EI166-ER165)))</f>
        <v>387.34551282051211</v>
      </c>
      <c r="EK166" s="17">
        <f>EJ166*VLOOKUP('Données projet'!$B$15,Paramètres!$A$1:$I$89,3,0)*VLOOKUP('Données projet'!$B$15,Paramètres!$A$1:$I$89,5,0)</f>
        <v>374.64057999999932</v>
      </c>
      <c r="EL166" s="13">
        <f t="shared" si="179"/>
        <v>86.615998706133865</v>
      </c>
      <c r="EM166" s="20">
        <f t="shared" si="180"/>
        <v>803.35520791318186</v>
      </c>
      <c r="EN166" s="59">
        <f t="shared" si="128"/>
        <v>1096.6885412465151</v>
      </c>
      <c r="EO166" s="59">
        <f ca="1">AVERAGE(OFFSET($EN$3,0,0,'Données projet'!$E$15+1,1))-AVERAGE(OFFSET($H$3,0,0,'Données projet'!$E$15+1,1))</f>
        <v>262.20955982183017</v>
      </c>
      <c r="EP166" s="59">
        <f t="shared" si="154"/>
        <v>101.35842063036193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5.6843418860808015E-14</v>
      </c>
      <c r="FF166" s="17">
        <f>FE166*VLOOKUP('Données projet'!$B$16,Paramètres!$A$1:$I$89,3,0)*VLOOKUP('Données projet'!$B$16,Paramètres!$A$1:$I$89,5,0)</f>
        <v>4.5224624045658861E-14</v>
      </c>
      <c r="FG166" s="13">
        <f t="shared" si="182"/>
        <v>7.4514601661523691E-13</v>
      </c>
      <c r="FH166" s="20">
        <f t="shared" si="183"/>
        <v>1.3765621991510601E-12</v>
      </c>
      <c r="FI166" s="59">
        <f t="shared" si="131"/>
        <v>293.33333333333468</v>
      </c>
      <c r="FJ166" s="59">
        <f ca="1">AVERAGE(OFFSET($FI$3,0,0,'Données projet'!$E$16+1,1))-AVERAGE(OFFSET($H$3,0,0,'Données projet'!$E$16+1,1))</f>
        <v>199.58763537752952</v>
      </c>
      <c r="FK166" s="59">
        <f t="shared" si="156"/>
        <v>242.62852778451929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0.25741820942527172</v>
      </c>
      <c r="FS166" s="21">
        <f>EXP(-LN(2)/2)*FS165+(1-EXP(-LN(2)/2))/(LN(2)/2)*FM166*FP166*VLOOKUP('Données projet'!$B$16,Paramètres!$A$1:$I$89,3,0)*0.475*44/12</f>
        <v>1.031289164848642E-19</v>
      </c>
      <c r="FT166" s="22">
        <f t="shared" si="184"/>
        <v>0.25741820942527172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5.6843418860808015E-14</v>
      </c>
      <c r="GA166" s="17">
        <f>FZ166*VLOOKUP('Données projet'!$B$17,Paramètres!$A$1:$I$89,3,0)*VLOOKUP('Données projet'!$B$17,Paramètres!$A$1:$I$89,5,0)</f>
        <v>4.1677594708744434E-14</v>
      </c>
      <c r="GB166" s="13">
        <f t="shared" si="185"/>
        <v>6.9326303456159188E-13</v>
      </c>
      <c r="GC166" s="20">
        <f t="shared" si="186"/>
        <v>1.2800215959791691E-12</v>
      </c>
      <c r="GD166" s="59">
        <f t="shared" si="134"/>
        <v>293.33333333333462</v>
      </c>
      <c r="GE166" s="59">
        <f ca="1">AVERAGE(OFFSET($GD$3,0,0,'Données projet'!$E$17+1,1))-AVERAGE(OFFSET($H$3,0,0,'Données projet'!$E$17+1,1))</f>
        <v>178.12968684094687</v>
      </c>
      <c r="GF166" s="59">
        <f t="shared" si="158"/>
        <v>219.36004077210373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0.19246844293321272</v>
      </c>
      <c r="GN166" s="21">
        <f>EXP(-LN(2)/2)*GN165+(1-EXP(-LN(2)/2))/(LN(2)/2)*GH166*GK166*VLOOKUP('Données projet'!$B$17,Paramètres!$A$1:$I$89,3,0)*0.475*44/12</f>
        <v>9.5040374015463006E-20</v>
      </c>
      <c r="GO166" s="21">
        <f t="shared" si="187"/>
        <v>0.19246844293321272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5.6843418860808015E-14</v>
      </c>
      <c r="GV166" s="17">
        <f>GU166*VLOOKUP('Données projet'!$B$18,Paramètres!$A$1:$I$89,3,0)*VLOOKUP('Données projet'!$B$18,Paramètres!$A$1:$I$89,5,0)</f>
        <v>4.5224624045658861E-14</v>
      </c>
      <c r="GW166" s="13">
        <f t="shared" si="188"/>
        <v>7.4514601661523691E-13</v>
      </c>
      <c r="GX166" s="20">
        <f t="shared" si="189"/>
        <v>1.3765621991510601E-12</v>
      </c>
      <c r="GY166" s="59">
        <f t="shared" si="137"/>
        <v>293.33333333333468</v>
      </c>
      <c r="GZ166" s="59">
        <f ca="1">AVERAGE(OFFSET($GY$3,0,0,'Données projet'!$E$18+1,1))-AVERAGE(OFFSET($H$3,0,0,'Données projet'!$E$18+1,1))</f>
        <v>199.58763537752952</v>
      </c>
      <c r="HA166" s="59">
        <f t="shared" si="160"/>
        <v>242.62852778451929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0</v>
      </c>
      <c r="HH166" s="21">
        <f>EXP(-LN(2)/25)*HH165+(1-EXP(-LN(2)/25))/(LN(2)/25)*Calculateur!HC166*Calculateur!HE166*VLOOKUP('Données projet'!$B$18,Paramètres!$A$1:$I$89,3,0)*0.475*44/12</f>
        <v>0.25741820942527172</v>
      </c>
      <c r="HI166" s="21">
        <f>EXP(-LN(2)/2)*HI165+(1-EXP(-LN(2)/2))/(LN(2)/2)*HC166*HF166*VLOOKUP('Données projet'!$B$18,Paramètres!$A$1:$I$89,3,0)*0.475*44/12</f>
        <v>1.031289164848642E-19</v>
      </c>
      <c r="HJ166" s="22">
        <f t="shared" si="190"/>
        <v>0.25741820942527172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-7.3896444519050419E-13</v>
      </c>
      <c r="O167" s="13">
        <f>N167*VLOOKUP('Données projet'!$B$9,Paramètres!$A$1:$I$89,3,0)*VLOOKUP('Données projet'!$B$9,Paramètres!$A$1:$I$89,5,0)</f>
        <v>-6.6861503000836817E-13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309.07357540707869</v>
      </c>
      <c r="T167" s="59">
        <f t="shared" si="142"/>
        <v>155.9593924683299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393.6858974358974</v>
      </c>
      <c r="AG167" s="12">
        <f>VLOOKUP(A167,'Données projet'!$A$61:$I$81,9,0)</f>
        <v>6.3403846153846128</v>
      </c>
      <c r="AH167" s="12">
        <f t="array" ref="AH167">INDEX(AG:AG,MIN(IF(ISNUMBER(AG167:AG363),ROW(AG167:AG363),"")))</f>
        <v>6.3403846153846128</v>
      </c>
      <c r="AI167" s="13">
        <f>IF('Données projet'!$A$62&gt;35,AI166+AH167-AQ166,IF(A167&lt;'Données projet'!$A$62,$AF$205^A167,IF(A167='Données projet'!$A$62,'Données projet'!$B$62,AI166+AH167-AQ166)))</f>
        <v>393.68589743589672</v>
      </c>
      <c r="AJ167" s="13">
        <f>AI167*VLOOKUP('Données projet'!$B$10,Paramètres!$A$1:$I$89,3,0)*VLOOKUP('Données projet'!$B$10,Paramètres!$A$1:$I$89,5,0)</f>
        <v>356.20699999999937</v>
      </c>
      <c r="AK167" s="13">
        <f t="shared" si="164"/>
        <v>82.839286468353521</v>
      </c>
      <c r="AL167" s="20">
        <f t="shared" si="165"/>
        <v>764.67228226571444</v>
      </c>
      <c r="AM167" s="59">
        <f t="shared" si="113"/>
        <v>1058.0056155990478</v>
      </c>
      <c r="AN167" s="59">
        <f ca="1">AVERAGE(OFFSET($AM$3,0,0,'Données projet'!$E$10+1,1))-AVERAGE(OFFSET($H$3,0,0,'Données projet'!$E$10+1,1))</f>
        <v>234.30804102916278</v>
      </c>
      <c r="AO167" s="59">
        <f t="shared" si="144"/>
        <v>91.137993288782411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44.814102564102562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3.4106051316484809E-13</v>
      </c>
      <c r="BE167" s="13">
        <f>BD167*VLOOKUP('Données projet'!$B$11,Paramètres!$A$1:$I$89,3,0)*VLOOKUP('Données projet'!$B$11,Paramètres!$A$1:$I$89,5,0)</f>
        <v>1.5961632016114892E-13</v>
      </c>
      <c r="BF167" s="13">
        <f t="shared" si="167"/>
        <v>2.2708641912150958E-12</v>
      </c>
      <c r="BG167" s="20">
        <f t="shared" si="168"/>
        <v>4.2330868906469593E-12</v>
      </c>
      <c r="BH167" s="59">
        <f t="shared" si="116"/>
        <v>293.33333333333752</v>
      </c>
      <c r="BI167" s="59">
        <f ca="1">AVERAGE(OFFSET($BH$3,0,0,'Données projet'!$E$11+1,1))-AVERAGE(OFFSET($H$3,0,0,'Données projet'!$E$11+1,1))</f>
        <v>158.58786357608489</v>
      </c>
      <c r="BJ167" s="59">
        <f t="shared" si="146"/>
        <v>163.20074068819849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5.6843418860808015E-13</v>
      </c>
      <c r="BZ167" s="13">
        <f>BY167*VLOOKUP('Données projet'!$B$12,Paramètres!$A$1:$I$89,3,0)*VLOOKUP('Données projet'!$B$12,Paramètres!$A$1:$I$89,5,0)</f>
        <v>2.6602720026858149E-13</v>
      </c>
      <c r="CA167" s="13">
        <f t="shared" si="170"/>
        <v>3.5662905043956649E-12</v>
      </c>
      <c r="CB167" s="20">
        <f t="shared" si="171"/>
        <v>6.6746200022902298E-12</v>
      </c>
      <c r="CC167" s="59">
        <f t="shared" si="119"/>
        <v>293.33333333333997</v>
      </c>
      <c r="CD167" s="59">
        <f ca="1">AVERAGE(OFFSET($CC$3,0,0,'Données projet'!$E$12+1,1))-AVERAGE(OFFSET($H$3,0,0,'Données projet'!$E$12+1,1))</f>
        <v>123.2823358462245</v>
      </c>
      <c r="CE167" s="59">
        <f t="shared" si="148"/>
        <v>92.75115399786057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-2.8421709430404007E-13</v>
      </c>
      <c r="CU167" s="17">
        <f>CT167*VLOOKUP('Données projet'!$B$13,Paramètres!$A$1:$I$89,3,0)*VLOOKUP('Données projet'!$B$13,Paramètres!$A$1:$I$89,5,0)</f>
        <v>-1.69961822393816E-13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179.32848817523677</v>
      </c>
      <c r="CZ167" s="59">
        <f t="shared" si="150"/>
        <v>131.3292389103035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0.32092032234620932</v>
      </c>
      <c r="DH167" s="21">
        <f>EXP(-LN(2)/2)*DH166+(1-EXP(-LN(2)/2))/(LN(2)/2)*DB167*DE167*VLOOKUP('Données projet'!$B$13,Paramètres!$A$1:$I$89,3,0)*0.475*44/12</f>
        <v>3.5662590076980877E-20</v>
      </c>
      <c r="DI167" s="22">
        <f t="shared" si="175"/>
        <v>0.32092032234620932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-7.3896444519050419E-13</v>
      </c>
      <c r="DP167" s="17">
        <f>DO167*VLOOKUP('Données projet'!$B$14,Paramètres!$A$1:$I$89,3,0)*VLOOKUP('Données projet'!$B$14,Paramètres!$A$1:$I$89,5,0)</f>
        <v>-7.147264113882557E-13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340.4659523898373</v>
      </c>
      <c r="DU167" s="59">
        <f t="shared" si="152"/>
        <v>170.54530785680572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>
        <f>VLOOKUP(A167,'Données projet'!$A$191:$I$211,2,0)</f>
        <v>393.6858974358974</v>
      </c>
      <c r="EH167" s="12">
        <f>VLOOKUP(A167,'Données projet'!$A$191:$I$211,9,0)</f>
        <v>6.3403846153846128</v>
      </c>
      <c r="EI167" s="12">
        <f t="array" ref="EI167">INDEX(EH:EH,MIN(IF(ISNUMBER(EH167:EH363),ROW(EH167:EH363),"")))</f>
        <v>6.3403846153846128</v>
      </c>
      <c r="EJ167" s="12">
        <f>IF('Données projet'!$A$192&gt;35,EJ166+EI167-ER166,IF(A167&lt;'Données projet'!$A$192,$EG$205^A167,IF(A167='Données projet'!$A$192,'Données projet'!$B$192,EJ166+EI167-ER166)))</f>
        <v>393.68589743589672</v>
      </c>
      <c r="EK167" s="17">
        <f>EJ167*VLOOKUP('Données projet'!$B$15,Paramètres!$A$1:$I$89,3,0)*VLOOKUP('Données projet'!$B$15,Paramètres!$A$1:$I$89,5,0)</f>
        <v>380.77299999999934</v>
      </c>
      <c r="EL167" s="13">
        <f t="shared" si="179"/>
        <v>87.867581158358661</v>
      </c>
      <c r="EM167" s="20">
        <f t="shared" si="180"/>
        <v>816.21567885080685</v>
      </c>
      <c r="EN167" s="59">
        <f t="shared" si="128"/>
        <v>1109.5490121841401</v>
      </c>
      <c r="EO167" s="59">
        <f ca="1">AVERAGE(OFFSET($EN$3,0,0,'Données projet'!$E$15+1,1))-AVERAGE(OFFSET($H$3,0,0,'Données projet'!$E$15+1,1))</f>
        <v>262.20955982183017</v>
      </c>
      <c r="EP167" s="59">
        <f t="shared" si="154"/>
        <v>101.35842063036193</v>
      </c>
      <c r="EQ167" s="15">
        <f>IF(ISNA(VLOOKUP(A167,'Données projet'!$A$191:$I$211,3,0)),0,VLOOKUP(A167,'Données projet'!$A$191:$I$211,3,0))</f>
        <v>14</v>
      </c>
      <c r="ER167" s="15">
        <f>IF(ISNA(VLOOKUP(A167,'Données projet'!$A$191:$I$211,4,0)),0,VLOOKUP(A167,'Données projet'!$A$191:$I$211,4,0))</f>
        <v>44.814102564102562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5.6843418860808015E-14</v>
      </c>
      <c r="FF167" s="17">
        <f>FE167*VLOOKUP('Données projet'!$B$16,Paramètres!$A$1:$I$89,3,0)*VLOOKUP('Données projet'!$B$16,Paramètres!$A$1:$I$89,5,0)</f>
        <v>4.5224624045658861E-14</v>
      </c>
      <c r="FG167" s="13">
        <f t="shared" si="182"/>
        <v>7.4514601661523691E-13</v>
      </c>
      <c r="FH167" s="20">
        <f t="shared" si="183"/>
        <v>1.3765621991510601E-12</v>
      </c>
      <c r="FI167" s="59">
        <f t="shared" si="131"/>
        <v>293.33333333333468</v>
      </c>
      <c r="FJ167" s="59">
        <f ca="1">AVERAGE(OFFSET($FI$3,0,0,'Données projet'!$E$16+1,1))-AVERAGE(OFFSET($H$3,0,0,'Données projet'!$E$16+1,1))</f>
        <v>199.58763537752952</v>
      </c>
      <c r="FK167" s="59">
        <f t="shared" si="156"/>
        <v>242.62852778451929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0.25037909495150235</v>
      </c>
      <c r="FS167" s="21">
        <f>EXP(-LN(2)/2)*FS166+(1-EXP(-LN(2)/2))/(LN(2)/2)*FM167*FP167*VLOOKUP('Données projet'!$B$16,Paramètres!$A$1:$I$89,3,0)*0.475*44/12</f>
        <v>7.2923156182868605E-20</v>
      </c>
      <c r="FT167" s="22">
        <f t="shared" si="184"/>
        <v>0.25037909495150235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5.6843418860808015E-14</v>
      </c>
      <c r="GA167" s="17">
        <f>FZ167*VLOOKUP('Données projet'!$B$17,Paramètres!$A$1:$I$89,3,0)*VLOOKUP('Données projet'!$B$17,Paramètres!$A$1:$I$89,5,0)</f>
        <v>4.1677594708744434E-14</v>
      </c>
      <c r="GB167" s="13">
        <f t="shared" si="185"/>
        <v>6.9326303456159188E-13</v>
      </c>
      <c r="GC167" s="20">
        <f t="shared" si="186"/>
        <v>1.2800215959791691E-12</v>
      </c>
      <c r="GD167" s="59">
        <f t="shared" si="134"/>
        <v>293.33333333333462</v>
      </c>
      <c r="GE167" s="59">
        <f ca="1">AVERAGE(OFFSET($GD$3,0,0,'Données projet'!$E$17+1,1))-AVERAGE(OFFSET($H$3,0,0,'Données projet'!$E$17+1,1))</f>
        <v>178.12968684094687</v>
      </c>
      <c r="GF167" s="59">
        <f t="shared" si="158"/>
        <v>219.36004077210373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0.18720538323972849</v>
      </c>
      <c r="GN167" s="21">
        <f>EXP(-LN(2)/2)*GN166+(1-EXP(-LN(2)/2))/(LN(2)/2)*GH167*GK167*VLOOKUP('Données projet'!$B$17,Paramètres!$A$1:$I$89,3,0)*0.475*44/12</f>
        <v>6.7203692952839636E-20</v>
      </c>
      <c r="GO167" s="21">
        <f t="shared" si="187"/>
        <v>0.18720538323972849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5.6843418860808015E-14</v>
      </c>
      <c r="GV167" s="17">
        <f>GU167*VLOOKUP('Données projet'!$B$18,Paramètres!$A$1:$I$89,3,0)*VLOOKUP('Données projet'!$B$18,Paramètres!$A$1:$I$89,5,0)</f>
        <v>4.5224624045658861E-14</v>
      </c>
      <c r="GW167" s="13">
        <f t="shared" si="188"/>
        <v>7.4514601661523691E-13</v>
      </c>
      <c r="GX167" s="20">
        <f t="shared" si="189"/>
        <v>1.3765621991510601E-12</v>
      </c>
      <c r="GY167" s="59">
        <f t="shared" si="137"/>
        <v>293.33333333333468</v>
      </c>
      <c r="GZ167" s="59">
        <f ca="1">AVERAGE(OFFSET($GY$3,0,0,'Données projet'!$E$18+1,1))-AVERAGE(OFFSET($H$3,0,0,'Données projet'!$E$18+1,1))</f>
        <v>199.58763537752952</v>
      </c>
      <c r="HA167" s="59">
        <f t="shared" si="160"/>
        <v>242.62852778451929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0</v>
      </c>
      <c r="HH167" s="21">
        <f>EXP(-LN(2)/25)*HH166+(1-EXP(-LN(2)/25))/(LN(2)/25)*Calculateur!HC167*Calculateur!HE167*VLOOKUP('Données projet'!$B$18,Paramètres!$A$1:$I$89,3,0)*0.475*44/12</f>
        <v>0.25037909495150235</v>
      </c>
      <c r="HI167" s="21">
        <f>EXP(-LN(2)/2)*HI166+(1-EXP(-LN(2)/2))/(LN(2)/2)*HC167*HF167*VLOOKUP('Données projet'!$B$18,Paramètres!$A$1:$I$89,3,0)*0.475*44/12</f>
        <v>7.2923156182868605E-20</v>
      </c>
      <c r="HJ167" s="22">
        <f t="shared" si="190"/>
        <v>0.25037909495150235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-7.3896444519050419E-13</v>
      </c>
      <c r="O168" s="13">
        <f>N168*VLOOKUP('Données projet'!$B$9,Paramètres!$A$1:$I$89,3,0)*VLOOKUP('Données projet'!$B$9,Paramètres!$A$1:$I$89,5,0)</f>
        <v>-6.6861503000836817E-13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309.07357540707869</v>
      </c>
      <c r="T168" s="59">
        <f t="shared" si="142"/>
        <v>155.9593924683299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6.4179487179487182</v>
      </c>
      <c r="AI168" s="13">
        <f>IF('Données projet'!$A$62&gt;35,AI167+AH168-AQ167,IF(A168&lt;'Données projet'!$A$62,$AF$205^A168,IF(A168='Données projet'!$A$62,'Données projet'!$B$62,AI167+AH168-AQ167)))</f>
        <v>355.2897435897429</v>
      </c>
      <c r="AJ168" s="13">
        <f>AI168*VLOOKUP('Données projet'!$B$10,Paramètres!$A$1:$I$89,3,0)*VLOOKUP('Données projet'!$B$10,Paramètres!$A$1:$I$89,5,0)</f>
        <v>321.46615999999938</v>
      </c>
      <c r="AK168" s="13">
        <f t="shared" si="164"/>
        <v>75.658335555310785</v>
      </c>
      <c r="AL168" s="20">
        <f t="shared" si="165"/>
        <v>691.65849642549847</v>
      </c>
      <c r="AM168" s="59">
        <f t="shared" si="113"/>
        <v>984.99182975883173</v>
      </c>
      <c r="AN168" s="59">
        <f ca="1">AVERAGE(OFFSET($AM$3,0,0,'Données projet'!$E$10+1,1))-AVERAGE(OFFSET($H$3,0,0,'Données projet'!$E$10+1,1))</f>
        <v>234.30804102916278</v>
      </c>
      <c r="AO168" s="59">
        <f t="shared" si="144"/>
        <v>91.137993288782411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3.4106051316484809E-13</v>
      </c>
      <c r="BE168" s="13">
        <f>BD168*VLOOKUP('Données projet'!$B$11,Paramètres!$A$1:$I$89,3,0)*VLOOKUP('Données projet'!$B$11,Paramètres!$A$1:$I$89,5,0)</f>
        <v>1.5961632016114892E-13</v>
      </c>
      <c r="BF168" s="13">
        <f t="shared" si="167"/>
        <v>2.2708641912150958E-12</v>
      </c>
      <c r="BG168" s="20">
        <f t="shared" si="168"/>
        <v>4.2330868906469593E-12</v>
      </c>
      <c r="BH168" s="59">
        <f t="shared" si="116"/>
        <v>293.33333333333752</v>
      </c>
      <c r="BI168" s="59">
        <f ca="1">AVERAGE(OFFSET($BH$3,0,0,'Données projet'!$E$11+1,1))-AVERAGE(OFFSET($H$3,0,0,'Données projet'!$E$11+1,1))</f>
        <v>158.58786357608489</v>
      </c>
      <c r="BJ168" s="59">
        <f t="shared" si="146"/>
        <v>163.20074068819849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5.6843418860808015E-13</v>
      </c>
      <c r="BZ168" s="13">
        <f>BY168*VLOOKUP('Données projet'!$B$12,Paramètres!$A$1:$I$89,3,0)*VLOOKUP('Données projet'!$B$12,Paramètres!$A$1:$I$89,5,0)</f>
        <v>2.6602720026858149E-13</v>
      </c>
      <c r="CA168" s="13">
        <f t="shared" si="170"/>
        <v>3.5662905043956649E-12</v>
      </c>
      <c r="CB168" s="20">
        <f t="shared" si="171"/>
        <v>6.6746200022902298E-12</v>
      </c>
      <c r="CC168" s="59">
        <f t="shared" si="119"/>
        <v>293.33333333333997</v>
      </c>
      <c r="CD168" s="59">
        <f ca="1">AVERAGE(OFFSET($CC$3,0,0,'Données projet'!$E$12+1,1))-AVERAGE(OFFSET($H$3,0,0,'Données projet'!$E$12+1,1))</f>
        <v>123.2823358462245</v>
      </c>
      <c r="CE168" s="59">
        <f t="shared" si="148"/>
        <v>92.75115399786057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-2.8421709430404007E-13</v>
      </c>
      <c r="CU168" s="17">
        <f>CT168*VLOOKUP('Données projet'!$B$13,Paramètres!$A$1:$I$89,3,0)*VLOOKUP('Données projet'!$B$13,Paramètres!$A$1:$I$89,5,0)</f>
        <v>-1.69961822393816E-13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179.32848817523677</v>
      </c>
      <c r="CZ168" s="59">
        <f t="shared" si="150"/>
        <v>131.3292389103035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0.31214473925518593</v>
      </c>
      <c r="DH168" s="21">
        <f>EXP(-LN(2)/2)*DH167+(1-EXP(-LN(2)/2))/(LN(2)/2)*DB168*DE168*VLOOKUP('Données projet'!$B$13,Paramètres!$A$1:$I$89,3,0)*0.475*44/12</f>
        <v>2.5217259278109258E-20</v>
      </c>
      <c r="DI168" s="22">
        <f t="shared" si="175"/>
        <v>0.31214473925518593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-7.3896444519050419E-13</v>
      </c>
      <c r="DP168" s="17">
        <f>DO168*VLOOKUP('Données projet'!$B$14,Paramètres!$A$1:$I$89,3,0)*VLOOKUP('Données projet'!$B$14,Paramètres!$A$1:$I$89,5,0)</f>
        <v>-7.147264113882557E-13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340.4659523898373</v>
      </c>
      <c r="DU168" s="59">
        <f t="shared" si="152"/>
        <v>170.54530785680572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6.4179487179487182</v>
      </c>
      <c r="EJ168" s="12">
        <f>IF('Données projet'!$A$192&gt;35,EJ167+EI168-ER167,IF(A168&lt;'Données projet'!$A$192,$EG$205^A168,IF(A168='Données projet'!$A$192,'Données projet'!$B$192,EJ167+EI168-ER167)))</f>
        <v>355.2897435897429</v>
      </c>
      <c r="EK168" s="17">
        <f>EJ168*VLOOKUP('Données projet'!$B$15,Paramètres!$A$1:$I$89,3,0)*VLOOKUP('Données projet'!$B$15,Paramètres!$A$1:$I$89,5,0)</f>
        <v>343.6362399999993</v>
      </c>
      <c r="EL168" s="13">
        <f t="shared" si="179"/>
        <v>80.250750859041531</v>
      </c>
      <c r="EM168" s="20">
        <f t="shared" si="180"/>
        <v>738.26984241282946</v>
      </c>
      <c r="EN168" s="59">
        <f t="shared" si="128"/>
        <v>1031.6031757461628</v>
      </c>
      <c r="EO168" s="59">
        <f ca="1">AVERAGE(OFFSET($EN$3,0,0,'Données projet'!$E$15+1,1))-AVERAGE(OFFSET($H$3,0,0,'Données projet'!$E$15+1,1))</f>
        <v>262.20955982183017</v>
      </c>
      <c r="EP168" s="59">
        <f t="shared" si="154"/>
        <v>101.35842063036193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5.6843418860808015E-14</v>
      </c>
      <c r="FF168" s="17">
        <f>FE168*VLOOKUP('Données projet'!$B$16,Paramètres!$A$1:$I$89,3,0)*VLOOKUP('Données projet'!$B$16,Paramètres!$A$1:$I$89,5,0)</f>
        <v>4.5224624045658861E-14</v>
      </c>
      <c r="FG168" s="13">
        <f t="shared" si="182"/>
        <v>7.4514601661523691E-13</v>
      </c>
      <c r="FH168" s="20">
        <f t="shared" si="183"/>
        <v>1.3765621991510601E-12</v>
      </c>
      <c r="FI168" s="59">
        <f t="shared" si="131"/>
        <v>293.33333333333468</v>
      </c>
      <c r="FJ168" s="59">
        <f ca="1">AVERAGE(OFFSET($FI$3,0,0,'Données projet'!$E$16+1,1))-AVERAGE(OFFSET($H$3,0,0,'Données projet'!$E$16+1,1))</f>
        <v>199.58763537752952</v>
      </c>
      <c r="FK168" s="59">
        <f t="shared" si="156"/>
        <v>242.62852778451929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0.24353246543318915</v>
      </c>
      <c r="FS168" s="21">
        <f>EXP(-LN(2)/2)*FS167+(1-EXP(-LN(2)/2))/(LN(2)/2)*FM168*FP168*VLOOKUP('Données projet'!$B$16,Paramètres!$A$1:$I$89,3,0)*0.475*44/12</f>
        <v>5.1564458242432102E-20</v>
      </c>
      <c r="FT168" s="22">
        <f t="shared" si="184"/>
        <v>0.24353246543318915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5.6843418860808015E-14</v>
      </c>
      <c r="GA168" s="17">
        <f>FZ168*VLOOKUP('Données projet'!$B$17,Paramètres!$A$1:$I$89,3,0)*VLOOKUP('Données projet'!$B$17,Paramètres!$A$1:$I$89,5,0)</f>
        <v>4.1677594708744434E-14</v>
      </c>
      <c r="GB168" s="13">
        <f t="shared" si="185"/>
        <v>6.9326303456159188E-13</v>
      </c>
      <c r="GC168" s="20">
        <f t="shared" si="186"/>
        <v>1.2800215959791691E-12</v>
      </c>
      <c r="GD168" s="59">
        <f t="shared" si="134"/>
        <v>293.33333333333462</v>
      </c>
      <c r="GE168" s="59">
        <f ca="1">AVERAGE(OFFSET($GD$3,0,0,'Données projet'!$E$17+1,1))-AVERAGE(OFFSET($H$3,0,0,'Données projet'!$E$17+1,1))</f>
        <v>178.12968684094687</v>
      </c>
      <c r="GF168" s="59">
        <f t="shared" si="158"/>
        <v>219.36004077210373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0.18208624219033487</v>
      </c>
      <c r="GN168" s="21">
        <f>EXP(-LN(2)/2)*GN167+(1-EXP(-LN(2)/2))/(LN(2)/2)*GH168*GK168*VLOOKUP('Données projet'!$B$17,Paramètres!$A$1:$I$89,3,0)*0.475*44/12</f>
        <v>4.7520187007731503E-20</v>
      </c>
      <c r="GO168" s="21">
        <f t="shared" si="187"/>
        <v>0.18208624219033487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5.6843418860808015E-14</v>
      </c>
      <c r="GV168" s="17">
        <f>GU168*VLOOKUP('Données projet'!$B$18,Paramètres!$A$1:$I$89,3,0)*VLOOKUP('Données projet'!$B$18,Paramètres!$A$1:$I$89,5,0)</f>
        <v>4.5224624045658861E-14</v>
      </c>
      <c r="GW168" s="13">
        <f t="shared" si="188"/>
        <v>7.4514601661523691E-13</v>
      </c>
      <c r="GX168" s="20">
        <f t="shared" si="189"/>
        <v>1.3765621991510601E-12</v>
      </c>
      <c r="GY168" s="59">
        <f t="shared" si="137"/>
        <v>293.33333333333468</v>
      </c>
      <c r="GZ168" s="59">
        <f ca="1">AVERAGE(OFFSET($GY$3,0,0,'Données projet'!$E$18+1,1))-AVERAGE(OFFSET($H$3,0,0,'Données projet'!$E$18+1,1))</f>
        <v>199.58763537752952</v>
      </c>
      <c r="HA168" s="59">
        <f t="shared" si="160"/>
        <v>242.62852778451929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0</v>
      </c>
      <c r="HH168" s="21">
        <f>EXP(-LN(2)/25)*HH167+(1-EXP(-LN(2)/25))/(LN(2)/25)*Calculateur!HC168*Calculateur!HE168*VLOOKUP('Données projet'!$B$18,Paramètres!$A$1:$I$89,3,0)*0.475*44/12</f>
        <v>0.24353246543318915</v>
      </c>
      <c r="HI168" s="21">
        <f>EXP(-LN(2)/2)*HI167+(1-EXP(-LN(2)/2))/(LN(2)/2)*HC168*HF168*VLOOKUP('Données projet'!$B$18,Paramètres!$A$1:$I$89,3,0)*0.475*44/12</f>
        <v>5.1564458242432102E-20</v>
      </c>
      <c r="HJ168" s="22">
        <f t="shared" si="190"/>
        <v>0.24353246543318915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-7.3896444519050419E-13</v>
      </c>
      <c r="O169" s="13">
        <f>N169*VLOOKUP('Données projet'!$B$9,Paramètres!$A$1:$I$89,3,0)*VLOOKUP('Données projet'!$B$9,Paramètres!$A$1:$I$89,5,0)</f>
        <v>-6.6861503000836817E-13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309.07357540707869</v>
      </c>
      <c r="T169" s="59">
        <f t="shared" si="142"/>
        <v>155.9593924683299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6.4179487179487182</v>
      </c>
      <c r="AI169" s="13">
        <f>IF('Données projet'!$A$62&gt;35,AI168+AH169-AQ168,IF(A169&lt;'Données projet'!$A$62,$AF$205^A169,IF(A169='Données projet'!$A$62,'Données projet'!$B$62,AI168+AH169-AQ168)))</f>
        <v>361.70769230769162</v>
      </c>
      <c r="AJ169" s="13">
        <f>AI169*VLOOKUP('Données projet'!$B$10,Paramètres!$A$1:$I$89,3,0)*VLOOKUP('Données projet'!$B$10,Paramètres!$A$1:$I$89,5,0)</f>
        <v>327.27311999999938</v>
      </c>
      <c r="AK169" s="13">
        <f t="shared" si="164"/>
        <v>76.864682645751117</v>
      </c>
      <c r="AL169" s="20">
        <f t="shared" si="165"/>
        <v>703.8733396080155</v>
      </c>
      <c r="AM169" s="59">
        <f t="shared" si="113"/>
        <v>997.20667294134887</v>
      </c>
      <c r="AN169" s="59">
        <f ca="1">AVERAGE(OFFSET($AM$3,0,0,'Données projet'!$E$10+1,1))-AVERAGE(OFFSET($H$3,0,0,'Données projet'!$E$10+1,1))</f>
        <v>234.30804102916278</v>
      </c>
      <c r="AO169" s="59">
        <f t="shared" si="144"/>
        <v>91.137993288782411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3.4106051316484809E-13</v>
      </c>
      <c r="BE169" s="13">
        <f>BD169*VLOOKUP('Données projet'!$B$11,Paramètres!$A$1:$I$89,3,0)*VLOOKUP('Données projet'!$B$11,Paramètres!$A$1:$I$89,5,0)</f>
        <v>1.5961632016114892E-13</v>
      </c>
      <c r="BF169" s="13">
        <f t="shared" si="167"/>
        <v>2.2708641912150958E-12</v>
      </c>
      <c r="BG169" s="20">
        <f t="shared" si="168"/>
        <v>4.2330868906469593E-12</v>
      </c>
      <c r="BH169" s="59">
        <f t="shared" si="116"/>
        <v>293.33333333333752</v>
      </c>
      <c r="BI169" s="59">
        <f ca="1">AVERAGE(OFFSET($BH$3,0,0,'Données projet'!$E$11+1,1))-AVERAGE(OFFSET($H$3,0,0,'Données projet'!$E$11+1,1))</f>
        <v>158.58786357608489</v>
      </c>
      <c r="BJ169" s="59">
        <f t="shared" si="146"/>
        <v>163.20074068819849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5.6843418860808015E-13</v>
      </c>
      <c r="BZ169" s="13">
        <f>BY169*VLOOKUP('Données projet'!$B$12,Paramètres!$A$1:$I$89,3,0)*VLOOKUP('Données projet'!$B$12,Paramètres!$A$1:$I$89,5,0)</f>
        <v>2.6602720026858149E-13</v>
      </c>
      <c r="CA169" s="13">
        <f t="shared" si="170"/>
        <v>3.5662905043956649E-12</v>
      </c>
      <c r="CB169" s="20">
        <f t="shared" si="171"/>
        <v>6.6746200022902298E-12</v>
      </c>
      <c r="CC169" s="59">
        <f t="shared" si="119"/>
        <v>293.33333333333997</v>
      </c>
      <c r="CD169" s="59">
        <f ca="1">AVERAGE(OFFSET($CC$3,0,0,'Données projet'!$E$12+1,1))-AVERAGE(OFFSET($H$3,0,0,'Données projet'!$E$12+1,1))</f>
        <v>123.2823358462245</v>
      </c>
      <c r="CE169" s="59">
        <f t="shared" si="148"/>
        <v>92.75115399786057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-2.8421709430404007E-13</v>
      </c>
      <c r="CU169" s="17">
        <f>CT169*VLOOKUP('Données projet'!$B$13,Paramètres!$A$1:$I$89,3,0)*VLOOKUP('Données projet'!$B$13,Paramètres!$A$1:$I$89,5,0)</f>
        <v>-1.69961822393816E-13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179.32848817523677</v>
      </c>
      <c r="CZ169" s="59">
        <f t="shared" si="150"/>
        <v>131.3292389103035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0.30360912494527448</v>
      </c>
      <c r="DH169" s="21">
        <f>EXP(-LN(2)/2)*DH168+(1-EXP(-LN(2)/2))/(LN(2)/2)*DB169*DE169*VLOOKUP('Données projet'!$B$13,Paramètres!$A$1:$I$89,3,0)*0.475*44/12</f>
        <v>1.7831295038490439E-20</v>
      </c>
      <c r="DI169" s="22">
        <f t="shared" si="175"/>
        <v>0.30360912494527448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-7.3896444519050419E-13</v>
      </c>
      <c r="DP169" s="17">
        <f>DO169*VLOOKUP('Données projet'!$B$14,Paramètres!$A$1:$I$89,3,0)*VLOOKUP('Données projet'!$B$14,Paramètres!$A$1:$I$89,5,0)</f>
        <v>-7.147264113882557E-13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340.4659523898373</v>
      </c>
      <c r="DU169" s="59">
        <f t="shared" si="152"/>
        <v>170.54530785680572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6.4179487179487182</v>
      </c>
      <c r="EJ169" s="12">
        <f>IF('Données projet'!$A$192&gt;35,EJ168+EI169-ER168,IF(A169&lt;'Données projet'!$A$192,$EG$205^A169,IF(A169='Données projet'!$A$192,'Données projet'!$B$192,EJ168+EI169-ER168)))</f>
        <v>361.70769230769162</v>
      </c>
      <c r="EK169" s="17">
        <f>EJ169*VLOOKUP('Données projet'!$B$15,Paramètres!$A$1:$I$89,3,0)*VLOOKUP('Données projet'!$B$15,Paramètres!$A$1:$I$89,5,0)</f>
        <v>349.84367999999932</v>
      </c>
      <c r="EL169" s="13">
        <f t="shared" si="179"/>
        <v>81.530322489766576</v>
      </c>
      <c r="EM169" s="20">
        <f t="shared" si="180"/>
        <v>751.3097210030088</v>
      </c>
      <c r="EN169" s="59">
        <f t="shared" si="128"/>
        <v>1044.6430543363422</v>
      </c>
      <c r="EO169" s="59">
        <f ca="1">AVERAGE(OFFSET($EN$3,0,0,'Données projet'!$E$15+1,1))-AVERAGE(OFFSET($H$3,0,0,'Données projet'!$E$15+1,1))</f>
        <v>262.20955982183017</v>
      </c>
      <c r="EP169" s="59">
        <f t="shared" si="154"/>
        <v>101.35842063036193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5.6843418860808015E-14</v>
      </c>
      <c r="FF169" s="17">
        <f>FE169*VLOOKUP('Données projet'!$B$16,Paramètres!$A$1:$I$89,3,0)*VLOOKUP('Données projet'!$B$16,Paramètres!$A$1:$I$89,5,0)</f>
        <v>4.5224624045658861E-14</v>
      </c>
      <c r="FG169" s="13">
        <f t="shared" si="182"/>
        <v>7.4514601661523691E-13</v>
      </c>
      <c r="FH169" s="20">
        <f t="shared" si="183"/>
        <v>1.3765621991510601E-12</v>
      </c>
      <c r="FI169" s="59">
        <f t="shared" si="131"/>
        <v>293.33333333333468</v>
      </c>
      <c r="FJ169" s="59">
        <f ca="1">AVERAGE(OFFSET($FI$3,0,0,'Données projet'!$E$16+1,1))-AVERAGE(OFFSET($H$3,0,0,'Données projet'!$E$16+1,1))</f>
        <v>199.58763537752952</v>
      </c>
      <c r="FK169" s="59">
        <f t="shared" si="156"/>
        <v>242.62852778451929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0.23687305735910283</v>
      </c>
      <c r="FS169" s="21">
        <f>EXP(-LN(2)/2)*FS168+(1-EXP(-LN(2)/2))/(LN(2)/2)*FM169*FP169*VLOOKUP('Données projet'!$B$16,Paramètres!$A$1:$I$89,3,0)*0.475*44/12</f>
        <v>3.6461578091434303E-20</v>
      </c>
      <c r="FT169" s="22">
        <f t="shared" si="184"/>
        <v>0.23687305735910283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5.6843418860808015E-14</v>
      </c>
      <c r="GA169" s="17">
        <f>FZ169*VLOOKUP('Données projet'!$B$17,Paramètres!$A$1:$I$89,3,0)*VLOOKUP('Données projet'!$B$17,Paramètres!$A$1:$I$89,5,0)</f>
        <v>4.1677594708744434E-14</v>
      </c>
      <c r="GB169" s="13">
        <f t="shared" si="185"/>
        <v>6.9326303456159188E-13</v>
      </c>
      <c r="GC169" s="20">
        <f t="shared" si="186"/>
        <v>1.2800215959791691E-12</v>
      </c>
      <c r="GD169" s="59">
        <f t="shared" si="134"/>
        <v>293.33333333333462</v>
      </c>
      <c r="GE169" s="59">
        <f ca="1">AVERAGE(OFFSET($GD$3,0,0,'Données projet'!$E$17+1,1))-AVERAGE(OFFSET($H$3,0,0,'Données projet'!$E$17+1,1))</f>
        <v>178.12968684094687</v>
      </c>
      <c r="GF169" s="59">
        <f t="shared" si="158"/>
        <v>219.36004077210373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0.17710708432214084</v>
      </c>
      <c r="GN169" s="21">
        <f>EXP(-LN(2)/2)*GN168+(1-EXP(-LN(2)/2))/(LN(2)/2)*GH169*GK169*VLOOKUP('Données projet'!$B$17,Paramètres!$A$1:$I$89,3,0)*0.475*44/12</f>
        <v>3.3601846476419818E-20</v>
      </c>
      <c r="GO169" s="21">
        <f t="shared" si="187"/>
        <v>0.17710708432214084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5.6843418860808015E-14</v>
      </c>
      <c r="GV169" s="17">
        <f>GU169*VLOOKUP('Données projet'!$B$18,Paramètres!$A$1:$I$89,3,0)*VLOOKUP('Données projet'!$B$18,Paramètres!$A$1:$I$89,5,0)</f>
        <v>4.5224624045658861E-14</v>
      </c>
      <c r="GW169" s="13">
        <f t="shared" si="188"/>
        <v>7.4514601661523691E-13</v>
      </c>
      <c r="GX169" s="20">
        <f t="shared" si="189"/>
        <v>1.3765621991510601E-12</v>
      </c>
      <c r="GY169" s="59">
        <f t="shared" si="137"/>
        <v>293.33333333333468</v>
      </c>
      <c r="GZ169" s="59">
        <f ca="1">AVERAGE(OFFSET($GY$3,0,0,'Données projet'!$E$18+1,1))-AVERAGE(OFFSET($H$3,0,0,'Données projet'!$E$18+1,1))</f>
        <v>199.58763537752952</v>
      </c>
      <c r="HA169" s="59">
        <f t="shared" si="160"/>
        <v>242.62852778451929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0</v>
      </c>
      <c r="HH169" s="21">
        <f>EXP(-LN(2)/25)*HH168+(1-EXP(-LN(2)/25))/(LN(2)/25)*Calculateur!HC169*Calculateur!HE169*VLOOKUP('Données projet'!$B$18,Paramètres!$A$1:$I$89,3,0)*0.475*44/12</f>
        <v>0.23687305735910283</v>
      </c>
      <c r="HI169" s="21">
        <f>EXP(-LN(2)/2)*HI168+(1-EXP(-LN(2)/2))/(LN(2)/2)*HC169*HF169*VLOOKUP('Données projet'!$B$18,Paramètres!$A$1:$I$89,3,0)*0.475*44/12</f>
        <v>3.6461578091434303E-20</v>
      </c>
      <c r="HJ169" s="22">
        <f t="shared" si="190"/>
        <v>0.23687305735910283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-7.3896444519050419E-13</v>
      </c>
      <c r="O170" s="13">
        <f>N170*VLOOKUP('Données projet'!$B$9,Paramètres!$A$1:$I$89,3,0)*VLOOKUP('Données projet'!$B$9,Paramètres!$A$1:$I$89,5,0)</f>
        <v>-6.6861503000836817E-13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309.07357540707869</v>
      </c>
      <c r="T170" s="59">
        <f t="shared" si="142"/>
        <v>155.9593924683299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6.4179487179487182</v>
      </c>
      <c r="AI170" s="13">
        <f>IF('Données projet'!$A$62&gt;35,AI169+AH170-AQ169,IF(A170&lt;'Données projet'!$A$62,$AF$205^A170,IF(A170='Données projet'!$A$62,'Données projet'!$B$62,AI169+AH170-AQ169)))</f>
        <v>368.12564102564033</v>
      </c>
      <c r="AJ170" s="13">
        <f>AI170*VLOOKUP('Données projet'!$B$10,Paramètres!$A$1:$I$89,3,0)*VLOOKUP('Données projet'!$B$10,Paramètres!$A$1:$I$89,5,0)</f>
        <v>333.08007999999938</v>
      </c>
      <c r="AK170" s="13">
        <f t="shared" si="164"/>
        <v>78.068540652807755</v>
      </c>
      <c r="AL170" s="20">
        <f t="shared" si="165"/>
        <v>716.08384763697256</v>
      </c>
      <c r="AM170" s="59">
        <f t="shared" si="113"/>
        <v>1009.4171809703059</v>
      </c>
      <c r="AN170" s="59">
        <f ca="1">AVERAGE(OFFSET($AM$3,0,0,'Données projet'!$E$10+1,1))-AVERAGE(OFFSET($H$3,0,0,'Données projet'!$E$10+1,1))</f>
        <v>234.30804102916278</v>
      </c>
      <c r="AO170" s="59">
        <f t="shared" si="144"/>
        <v>91.137993288782411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3.4106051316484809E-13</v>
      </c>
      <c r="BE170" s="13">
        <f>BD170*VLOOKUP('Données projet'!$B$11,Paramètres!$A$1:$I$89,3,0)*VLOOKUP('Données projet'!$B$11,Paramètres!$A$1:$I$89,5,0)</f>
        <v>1.5961632016114892E-13</v>
      </c>
      <c r="BF170" s="13">
        <f t="shared" si="167"/>
        <v>2.2708641912150958E-12</v>
      </c>
      <c r="BG170" s="20">
        <f t="shared" si="168"/>
        <v>4.2330868906469593E-12</v>
      </c>
      <c r="BH170" s="59">
        <f t="shared" si="116"/>
        <v>293.33333333333752</v>
      </c>
      <c r="BI170" s="59">
        <f ca="1">AVERAGE(OFFSET($BH$3,0,0,'Données projet'!$E$11+1,1))-AVERAGE(OFFSET($H$3,0,0,'Données projet'!$E$11+1,1))</f>
        <v>158.58786357608489</v>
      </c>
      <c r="BJ170" s="59">
        <f t="shared" si="146"/>
        <v>163.20074068819849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5.6843418860808015E-13</v>
      </c>
      <c r="BZ170" s="13">
        <f>BY170*VLOOKUP('Données projet'!$B$12,Paramètres!$A$1:$I$89,3,0)*VLOOKUP('Données projet'!$B$12,Paramètres!$A$1:$I$89,5,0)</f>
        <v>2.6602720026858149E-13</v>
      </c>
      <c r="CA170" s="13">
        <f t="shared" si="170"/>
        <v>3.5662905043956649E-12</v>
      </c>
      <c r="CB170" s="20">
        <f t="shared" si="171"/>
        <v>6.6746200022902298E-12</v>
      </c>
      <c r="CC170" s="59">
        <f t="shared" si="119"/>
        <v>293.33333333333997</v>
      </c>
      <c r="CD170" s="59">
        <f ca="1">AVERAGE(OFFSET($CC$3,0,0,'Données projet'!$E$12+1,1))-AVERAGE(OFFSET($H$3,0,0,'Données projet'!$E$12+1,1))</f>
        <v>123.2823358462245</v>
      </c>
      <c r="CE170" s="59">
        <f t="shared" si="148"/>
        <v>92.75115399786057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-2.8421709430404007E-13</v>
      </c>
      <c r="CU170" s="17">
        <f>CT170*VLOOKUP('Données projet'!$B$13,Paramètres!$A$1:$I$89,3,0)*VLOOKUP('Données projet'!$B$13,Paramètres!$A$1:$I$89,5,0)</f>
        <v>-1.69961822393816E-13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179.32848817523677</v>
      </c>
      <c r="CZ170" s="59">
        <f t="shared" si="150"/>
        <v>131.3292389103035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0.29530691745753596</v>
      </c>
      <c r="DH170" s="21">
        <f>EXP(-LN(2)/2)*DH169+(1-EXP(-LN(2)/2))/(LN(2)/2)*DB170*DE170*VLOOKUP('Données projet'!$B$13,Paramètres!$A$1:$I$89,3,0)*0.475*44/12</f>
        <v>1.2608629639054629E-20</v>
      </c>
      <c r="DI170" s="22">
        <f t="shared" si="175"/>
        <v>0.29530691745753596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-7.3896444519050419E-13</v>
      </c>
      <c r="DP170" s="17">
        <f>DO170*VLOOKUP('Données projet'!$B$14,Paramètres!$A$1:$I$89,3,0)*VLOOKUP('Données projet'!$B$14,Paramètres!$A$1:$I$89,5,0)</f>
        <v>-7.147264113882557E-13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340.4659523898373</v>
      </c>
      <c r="DU170" s="59">
        <f t="shared" si="152"/>
        <v>170.54530785680572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6.4179487179487182</v>
      </c>
      <c r="EJ170" s="12">
        <f>IF('Données projet'!$A$192&gt;35,EJ169+EI170-ER169,IF(A170&lt;'Données projet'!$A$192,$EG$205^A170,IF(A170='Données projet'!$A$192,'Données projet'!$B$192,EJ169+EI170-ER169)))</f>
        <v>368.12564102564033</v>
      </c>
      <c r="EK170" s="17">
        <f>EJ170*VLOOKUP('Données projet'!$B$15,Paramètres!$A$1:$I$89,3,0)*VLOOKUP('Données projet'!$B$15,Paramètres!$A$1:$I$89,5,0)</f>
        <v>356.05111999999934</v>
      </c>
      <c r="EL170" s="13">
        <f t="shared" si="179"/>
        <v>82.807253951248924</v>
      </c>
      <c r="EM170" s="20">
        <f t="shared" si="180"/>
        <v>764.34500129842399</v>
      </c>
      <c r="EN170" s="59">
        <f t="shared" si="128"/>
        <v>1057.6783346317573</v>
      </c>
      <c r="EO170" s="59">
        <f ca="1">AVERAGE(OFFSET($EN$3,0,0,'Données projet'!$E$15+1,1))-AVERAGE(OFFSET($H$3,0,0,'Données projet'!$E$15+1,1))</f>
        <v>262.20955982183017</v>
      </c>
      <c r="EP170" s="59">
        <f t="shared" si="154"/>
        <v>101.35842063036193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5.6843418860808015E-14</v>
      </c>
      <c r="FF170" s="17">
        <f>FE170*VLOOKUP('Données projet'!$B$16,Paramètres!$A$1:$I$89,3,0)*VLOOKUP('Données projet'!$B$16,Paramètres!$A$1:$I$89,5,0)</f>
        <v>4.5224624045658861E-14</v>
      </c>
      <c r="FG170" s="13">
        <f t="shared" si="182"/>
        <v>7.4514601661523691E-13</v>
      </c>
      <c r="FH170" s="20">
        <f t="shared" si="183"/>
        <v>1.3765621991510601E-12</v>
      </c>
      <c r="FI170" s="59">
        <f t="shared" si="131"/>
        <v>293.33333333333468</v>
      </c>
      <c r="FJ170" s="59">
        <f ca="1">AVERAGE(OFFSET($FI$3,0,0,'Données projet'!$E$16+1,1))-AVERAGE(OFFSET($H$3,0,0,'Données projet'!$E$16+1,1))</f>
        <v>199.58763537752952</v>
      </c>
      <c r="FK170" s="59">
        <f t="shared" si="156"/>
        <v>242.62852778451929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0.23039575114900546</v>
      </c>
      <c r="FS170" s="21">
        <f>EXP(-LN(2)/2)*FS169+(1-EXP(-LN(2)/2))/(LN(2)/2)*FM170*FP170*VLOOKUP('Données projet'!$B$16,Paramètres!$A$1:$I$89,3,0)*0.475*44/12</f>
        <v>2.5782229121216051E-20</v>
      </c>
      <c r="FT170" s="22">
        <f t="shared" si="184"/>
        <v>0.23039575114900546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5.6843418860808015E-14</v>
      </c>
      <c r="GA170" s="17">
        <f>FZ170*VLOOKUP('Données projet'!$B$17,Paramètres!$A$1:$I$89,3,0)*VLOOKUP('Données projet'!$B$17,Paramètres!$A$1:$I$89,5,0)</f>
        <v>4.1677594708744434E-14</v>
      </c>
      <c r="GB170" s="13">
        <f t="shared" si="185"/>
        <v>6.9326303456159188E-13</v>
      </c>
      <c r="GC170" s="20">
        <f t="shared" si="186"/>
        <v>1.2800215959791691E-12</v>
      </c>
      <c r="GD170" s="59">
        <f t="shared" si="134"/>
        <v>293.33333333333462</v>
      </c>
      <c r="GE170" s="59">
        <f ca="1">AVERAGE(OFFSET($GD$3,0,0,'Données projet'!$E$17+1,1))-AVERAGE(OFFSET($H$3,0,0,'Données projet'!$E$17+1,1))</f>
        <v>178.12968684094687</v>
      </c>
      <c r="GF170" s="59">
        <f t="shared" si="158"/>
        <v>219.36004077210373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0.17226408178769512</v>
      </c>
      <c r="GN170" s="21">
        <f>EXP(-LN(2)/2)*GN169+(1-EXP(-LN(2)/2))/(LN(2)/2)*GH170*GK170*VLOOKUP('Données projet'!$B$17,Paramètres!$A$1:$I$89,3,0)*0.475*44/12</f>
        <v>2.3760093503865751E-20</v>
      </c>
      <c r="GO170" s="21">
        <f t="shared" si="187"/>
        <v>0.17226408178769512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5.6843418860808015E-14</v>
      </c>
      <c r="GV170" s="17">
        <f>GU170*VLOOKUP('Données projet'!$B$18,Paramètres!$A$1:$I$89,3,0)*VLOOKUP('Données projet'!$B$18,Paramètres!$A$1:$I$89,5,0)</f>
        <v>4.5224624045658861E-14</v>
      </c>
      <c r="GW170" s="13">
        <f t="shared" si="188"/>
        <v>7.4514601661523691E-13</v>
      </c>
      <c r="GX170" s="20">
        <f t="shared" si="189"/>
        <v>1.3765621991510601E-12</v>
      </c>
      <c r="GY170" s="59">
        <f t="shared" si="137"/>
        <v>293.33333333333468</v>
      </c>
      <c r="GZ170" s="59">
        <f ca="1">AVERAGE(OFFSET($GY$3,0,0,'Données projet'!$E$18+1,1))-AVERAGE(OFFSET($H$3,0,0,'Données projet'!$E$18+1,1))</f>
        <v>199.58763537752952</v>
      </c>
      <c r="HA170" s="59">
        <f t="shared" si="160"/>
        <v>242.62852778451929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0</v>
      </c>
      <c r="HH170" s="21">
        <f>EXP(-LN(2)/25)*HH169+(1-EXP(-LN(2)/25))/(LN(2)/25)*Calculateur!HC170*Calculateur!HE170*VLOOKUP('Données projet'!$B$18,Paramètres!$A$1:$I$89,3,0)*0.475*44/12</f>
        <v>0.23039575114900546</v>
      </c>
      <c r="HI170" s="21">
        <f>EXP(-LN(2)/2)*HI169+(1-EXP(-LN(2)/2))/(LN(2)/2)*HC170*HF170*VLOOKUP('Données projet'!$B$18,Paramètres!$A$1:$I$89,3,0)*0.475*44/12</f>
        <v>2.5782229121216051E-20</v>
      </c>
      <c r="HJ170" s="22">
        <f t="shared" si="190"/>
        <v>0.23039575114900546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-7.3896444519050419E-13</v>
      </c>
      <c r="O171" s="13">
        <f>N171*VLOOKUP('Données projet'!$B$9,Paramètres!$A$1:$I$89,3,0)*VLOOKUP('Données projet'!$B$9,Paramètres!$A$1:$I$89,5,0)</f>
        <v>-6.6861503000836817E-13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309.07357540707869</v>
      </c>
      <c r="T171" s="59">
        <f t="shared" si="142"/>
        <v>155.9593924683299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6.4179487179487182</v>
      </c>
      <c r="AI171" s="13">
        <f>IF('Données projet'!$A$62&gt;35,AI170+AH171-AQ170,IF(A171&lt;'Données projet'!$A$62,$AF$205^A171,IF(A171='Données projet'!$A$62,'Données projet'!$B$62,AI170+AH171-AQ170)))</f>
        <v>374.54358974358905</v>
      </c>
      <c r="AJ171" s="13">
        <f>AI171*VLOOKUP('Données projet'!$B$10,Paramètres!$A$1:$I$89,3,0)*VLOOKUP('Données projet'!$B$10,Paramètres!$A$1:$I$89,5,0)</f>
        <v>338.88703999999939</v>
      </c>
      <c r="AK171" s="13">
        <f t="shared" si="164"/>
        <v>79.26995797846979</v>
      </c>
      <c r="AL171" s="20">
        <f t="shared" si="165"/>
        <v>728.29010481250043</v>
      </c>
      <c r="AM171" s="59">
        <f t="shared" si="113"/>
        <v>1021.6234381458337</v>
      </c>
      <c r="AN171" s="59">
        <f ca="1">AVERAGE(OFFSET($AM$3,0,0,'Données projet'!$E$10+1,1))-AVERAGE(OFFSET($H$3,0,0,'Données projet'!$E$10+1,1))</f>
        <v>234.30804102916278</v>
      </c>
      <c r="AO171" s="59">
        <f t="shared" si="144"/>
        <v>91.137993288782411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3.4106051316484809E-13</v>
      </c>
      <c r="BE171" s="13">
        <f>BD171*VLOOKUP('Données projet'!$B$11,Paramètres!$A$1:$I$89,3,0)*VLOOKUP('Données projet'!$B$11,Paramètres!$A$1:$I$89,5,0)</f>
        <v>1.5961632016114892E-13</v>
      </c>
      <c r="BF171" s="13">
        <f t="shared" si="167"/>
        <v>2.2708641912150958E-12</v>
      </c>
      <c r="BG171" s="20">
        <f t="shared" si="168"/>
        <v>4.2330868906469593E-12</v>
      </c>
      <c r="BH171" s="59">
        <f t="shared" si="116"/>
        <v>293.33333333333752</v>
      </c>
      <c r="BI171" s="59">
        <f ca="1">AVERAGE(OFFSET($BH$3,0,0,'Données projet'!$E$11+1,1))-AVERAGE(OFFSET($H$3,0,0,'Données projet'!$E$11+1,1))</f>
        <v>158.58786357608489</v>
      </c>
      <c r="BJ171" s="59">
        <f t="shared" si="146"/>
        <v>163.20074068819849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5.6843418860808015E-13</v>
      </c>
      <c r="BZ171" s="13">
        <f>BY171*VLOOKUP('Données projet'!$B$12,Paramètres!$A$1:$I$89,3,0)*VLOOKUP('Données projet'!$B$12,Paramètres!$A$1:$I$89,5,0)</f>
        <v>2.6602720026858149E-13</v>
      </c>
      <c r="CA171" s="13">
        <f t="shared" si="170"/>
        <v>3.5662905043956649E-12</v>
      </c>
      <c r="CB171" s="20">
        <f t="shared" si="171"/>
        <v>6.6746200022902298E-12</v>
      </c>
      <c r="CC171" s="59">
        <f t="shared" si="119"/>
        <v>293.33333333333997</v>
      </c>
      <c r="CD171" s="59">
        <f ca="1">AVERAGE(OFFSET($CC$3,0,0,'Données projet'!$E$12+1,1))-AVERAGE(OFFSET($H$3,0,0,'Données projet'!$E$12+1,1))</f>
        <v>123.2823358462245</v>
      </c>
      <c r="CE171" s="59">
        <f t="shared" si="148"/>
        <v>92.75115399786057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-2.8421709430404007E-13</v>
      </c>
      <c r="CU171" s="17">
        <f>CT171*VLOOKUP('Données projet'!$B$13,Paramètres!$A$1:$I$89,3,0)*VLOOKUP('Données projet'!$B$13,Paramètres!$A$1:$I$89,5,0)</f>
        <v>-1.69961822393816E-13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179.32848817523677</v>
      </c>
      <c r="CZ171" s="59">
        <f t="shared" si="150"/>
        <v>131.3292389103035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0.28723173427014376</v>
      </c>
      <c r="DH171" s="21">
        <f>EXP(-LN(2)/2)*DH170+(1-EXP(-LN(2)/2))/(LN(2)/2)*DB171*DE171*VLOOKUP('Données projet'!$B$13,Paramètres!$A$1:$I$89,3,0)*0.475*44/12</f>
        <v>8.9156475192452193E-21</v>
      </c>
      <c r="DI171" s="22">
        <f t="shared" si="175"/>
        <v>0.28723173427014376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-7.3896444519050419E-13</v>
      </c>
      <c r="DP171" s="17">
        <f>DO171*VLOOKUP('Données projet'!$B$14,Paramètres!$A$1:$I$89,3,0)*VLOOKUP('Données projet'!$B$14,Paramètres!$A$1:$I$89,5,0)</f>
        <v>-7.147264113882557E-13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340.4659523898373</v>
      </c>
      <c r="DU171" s="59">
        <f t="shared" si="152"/>
        <v>170.54530785680572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6.4179487179487182</v>
      </c>
      <c r="EJ171" s="12">
        <f>IF('Données projet'!$A$192&gt;35,EJ170+EI171-ER170,IF(A171&lt;'Données projet'!$A$192,$EG$205^A171,IF(A171='Données projet'!$A$192,'Données projet'!$B$192,EJ170+EI171-ER170)))</f>
        <v>374.54358974358905</v>
      </c>
      <c r="EK171" s="17">
        <f>EJ171*VLOOKUP('Données projet'!$B$15,Paramètres!$A$1:$I$89,3,0)*VLOOKUP('Données projet'!$B$15,Paramètres!$A$1:$I$89,5,0)</f>
        <v>362.25855999999931</v>
      </c>
      <c r="EL171" s="13">
        <f t="shared" si="179"/>
        <v>84.081596583449183</v>
      </c>
      <c r="EM171" s="20">
        <f t="shared" si="180"/>
        <v>777.37577271617283</v>
      </c>
      <c r="EN171" s="59">
        <f t="shared" si="128"/>
        <v>1070.7091060495061</v>
      </c>
      <c r="EO171" s="59">
        <f ca="1">AVERAGE(OFFSET($EN$3,0,0,'Données projet'!$E$15+1,1))-AVERAGE(OFFSET($H$3,0,0,'Données projet'!$E$15+1,1))</f>
        <v>262.20955982183017</v>
      </c>
      <c r="EP171" s="59">
        <f t="shared" si="154"/>
        <v>101.35842063036193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5.6843418860808015E-14</v>
      </c>
      <c r="FF171" s="17">
        <f>FE171*VLOOKUP('Données projet'!$B$16,Paramètres!$A$1:$I$89,3,0)*VLOOKUP('Données projet'!$B$16,Paramètres!$A$1:$I$89,5,0)</f>
        <v>4.5224624045658861E-14</v>
      </c>
      <c r="FG171" s="13">
        <f t="shared" si="182"/>
        <v>7.4514601661523691E-13</v>
      </c>
      <c r="FH171" s="20">
        <f t="shared" si="183"/>
        <v>1.3765621991510601E-12</v>
      </c>
      <c r="FI171" s="59">
        <f t="shared" si="131"/>
        <v>293.33333333333468</v>
      </c>
      <c r="FJ171" s="59">
        <f ca="1">AVERAGE(OFFSET($FI$3,0,0,'Données projet'!$E$16+1,1))-AVERAGE(OFFSET($H$3,0,0,'Données projet'!$E$16+1,1))</f>
        <v>199.58763537752952</v>
      </c>
      <c r="FK171" s="59">
        <f t="shared" si="156"/>
        <v>242.62852778451929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0.22409556721784993</v>
      </c>
      <c r="FS171" s="21">
        <f>EXP(-LN(2)/2)*FS170+(1-EXP(-LN(2)/2))/(LN(2)/2)*FM171*FP171*VLOOKUP('Données projet'!$B$16,Paramètres!$A$1:$I$89,3,0)*0.475*44/12</f>
        <v>1.8230789045717151E-20</v>
      </c>
      <c r="FT171" s="22">
        <f t="shared" si="184"/>
        <v>0.22409556721784993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5.6843418860808015E-14</v>
      </c>
      <c r="GA171" s="17">
        <f>FZ171*VLOOKUP('Données projet'!$B$17,Paramètres!$A$1:$I$89,3,0)*VLOOKUP('Données projet'!$B$17,Paramètres!$A$1:$I$89,5,0)</f>
        <v>4.1677594708744434E-14</v>
      </c>
      <c r="GB171" s="13">
        <f t="shared" si="185"/>
        <v>6.9326303456159188E-13</v>
      </c>
      <c r="GC171" s="20">
        <f t="shared" si="186"/>
        <v>1.2800215959791691E-12</v>
      </c>
      <c r="GD171" s="59">
        <f t="shared" si="134"/>
        <v>293.33333333333462</v>
      </c>
      <c r="GE171" s="59">
        <f ca="1">AVERAGE(OFFSET($GD$3,0,0,'Données projet'!$E$17+1,1))-AVERAGE(OFFSET($H$3,0,0,'Données projet'!$E$17+1,1))</f>
        <v>178.12968684094687</v>
      </c>
      <c r="GF171" s="59">
        <f t="shared" si="158"/>
        <v>219.36004077210373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0.16755351141223626</v>
      </c>
      <c r="GN171" s="21">
        <f>EXP(-LN(2)/2)*GN170+(1-EXP(-LN(2)/2))/(LN(2)/2)*GH171*GK171*VLOOKUP('Données projet'!$B$17,Paramètres!$A$1:$I$89,3,0)*0.475*44/12</f>
        <v>1.6800923238209909E-20</v>
      </c>
      <c r="GO171" s="21">
        <f t="shared" si="187"/>
        <v>0.16755351141223626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5.6843418860808015E-14</v>
      </c>
      <c r="GV171" s="17">
        <f>GU171*VLOOKUP('Données projet'!$B$18,Paramètres!$A$1:$I$89,3,0)*VLOOKUP('Données projet'!$B$18,Paramètres!$A$1:$I$89,5,0)</f>
        <v>4.5224624045658861E-14</v>
      </c>
      <c r="GW171" s="13">
        <f t="shared" si="188"/>
        <v>7.4514601661523691E-13</v>
      </c>
      <c r="GX171" s="20">
        <f t="shared" si="189"/>
        <v>1.3765621991510601E-12</v>
      </c>
      <c r="GY171" s="59">
        <f t="shared" si="137"/>
        <v>293.33333333333468</v>
      </c>
      <c r="GZ171" s="59">
        <f ca="1">AVERAGE(OFFSET($GY$3,0,0,'Données projet'!$E$18+1,1))-AVERAGE(OFFSET($H$3,0,0,'Données projet'!$E$18+1,1))</f>
        <v>199.58763537752952</v>
      </c>
      <c r="HA171" s="59">
        <f t="shared" si="160"/>
        <v>242.62852778451929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0</v>
      </c>
      <c r="HH171" s="21">
        <f>EXP(-LN(2)/25)*HH170+(1-EXP(-LN(2)/25))/(LN(2)/25)*Calculateur!HC171*Calculateur!HE171*VLOOKUP('Données projet'!$B$18,Paramètres!$A$1:$I$89,3,0)*0.475*44/12</f>
        <v>0.22409556721784993</v>
      </c>
      <c r="HI171" s="21">
        <f>EXP(-LN(2)/2)*HI170+(1-EXP(-LN(2)/2))/(LN(2)/2)*HC171*HF171*VLOOKUP('Données projet'!$B$18,Paramètres!$A$1:$I$89,3,0)*0.475*44/12</f>
        <v>1.8230789045717151E-20</v>
      </c>
      <c r="HJ171" s="22">
        <f t="shared" si="190"/>
        <v>0.22409556721784993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-7.3896444519050419E-13</v>
      </c>
      <c r="O172" s="13">
        <f>N172*VLOOKUP('Données projet'!$B$9,Paramètres!$A$1:$I$89,3,0)*VLOOKUP('Données projet'!$B$9,Paramètres!$A$1:$I$89,5,0)</f>
        <v>-6.6861503000836817E-13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309.07357540707869</v>
      </c>
      <c r="T172" s="59">
        <f t="shared" si="142"/>
        <v>155.9593924683299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6.4179487179487182</v>
      </c>
      <c r="AI172" s="13">
        <f>IF('Données projet'!$A$62&gt;35,AI171+AH172-AQ171,IF(A172&lt;'Données projet'!$A$62,$AF$205^A172,IF(A172='Données projet'!$A$62,'Données projet'!$B$62,AI171+AH172-AQ171)))</f>
        <v>380.96153846153777</v>
      </c>
      <c r="AJ172" s="13">
        <f>AI172*VLOOKUP('Données projet'!$B$10,Paramètres!$A$1:$I$89,3,0)*VLOOKUP('Données projet'!$B$10,Paramètres!$A$1:$I$89,5,0)</f>
        <v>344.69399999999939</v>
      </c>
      <c r="AK172" s="13">
        <f t="shared" si="164"/>
        <v>80.46898127090509</v>
      </c>
      <c r="AL172" s="20">
        <f t="shared" si="165"/>
        <v>740.4921923801586</v>
      </c>
      <c r="AM172" s="59">
        <f t="shared" si="113"/>
        <v>1033.825525713492</v>
      </c>
      <c r="AN172" s="59">
        <f ca="1">AVERAGE(OFFSET($AM$3,0,0,'Données projet'!$E$10+1,1))-AVERAGE(OFFSET($H$3,0,0,'Données projet'!$E$10+1,1))</f>
        <v>234.30804102916278</v>
      </c>
      <c r="AO172" s="59">
        <f t="shared" si="144"/>
        <v>91.137993288782411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3.4106051316484809E-13</v>
      </c>
      <c r="BE172" s="13">
        <f>BD172*VLOOKUP('Données projet'!$B$11,Paramètres!$A$1:$I$89,3,0)*VLOOKUP('Données projet'!$B$11,Paramètres!$A$1:$I$89,5,0)</f>
        <v>1.5961632016114892E-13</v>
      </c>
      <c r="BF172" s="13">
        <f t="shared" si="167"/>
        <v>2.2708641912150958E-12</v>
      </c>
      <c r="BG172" s="20">
        <f t="shared" si="168"/>
        <v>4.2330868906469593E-12</v>
      </c>
      <c r="BH172" s="59">
        <f t="shared" si="116"/>
        <v>293.33333333333752</v>
      </c>
      <c r="BI172" s="59">
        <f ca="1">AVERAGE(OFFSET($BH$3,0,0,'Données projet'!$E$11+1,1))-AVERAGE(OFFSET($H$3,0,0,'Données projet'!$E$11+1,1))</f>
        <v>158.58786357608489</v>
      </c>
      <c r="BJ172" s="59">
        <f t="shared" si="146"/>
        <v>163.20074068819849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5.6843418860808015E-13</v>
      </c>
      <c r="BZ172" s="13">
        <f>BY172*VLOOKUP('Données projet'!$B$12,Paramètres!$A$1:$I$89,3,0)*VLOOKUP('Données projet'!$B$12,Paramètres!$A$1:$I$89,5,0)</f>
        <v>2.6602720026858149E-13</v>
      </c>
      <c r="CA172" s="13">
        <f t="shared" si="170"/>
        <v>3.5662905043956649E-12</v>
      </c>
      <c r="CB172" s="20">
        <f t="shared" si="171"/>
        <v>6.6746200022902298E-12</v>
      </c>
      <c r="CC172" s="59">
        <f t="shared" si="119"/>
        <v>293.33333333333997</v>
      </c>
      <c r="CD172" s="59">
        <f ca="1">AVERAGE(OFFSET($CC$3,0,0,'Données projet'!$E$12+1,1))-AVERAGE(OFFSET($H$3,0,0,'Données projet'!$E$12+1,1))</f>
        <v>123.2823358462245</v>
      </c>
      <c r="CE172" s="59">
        <f t="shared" si="148"/>
        <v>92.75115399786057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-2.8421709430404007E-13</v>
      </c>
      <c r="CU172" s="17">
        <f>CT172*VLOOKUP('Données projet'!$B$13,Paramètres!$A$1:$I$89,3,0)*VLOOKUP('Données projet'!$B$13,Paramètres!$A$1:$I$89,5,0)</f>
        <v>-1.69961822393816E-13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179.32848817523677</v>
      </c>
      <c r="CZ172" s="59">
        <f t="shared" si="150"/>
        <v>131.3292389103035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0.27937736739166624</v>
      </c>
      <c r="DH172" s="21">
        <f>EXP(-LN(2)/2)*DH171+(1-EXP(-LN(2)/2))/(LN(2)/2)*DB172*DE172*VLOOKUP('Données projet'!$B$13,Paramètres!$A$1:$I$89,3,0)*0.475*44/12</f>
        <v>6.3043148195273146E-21</v>
      </c>
      <c r="DI172" s="22">
        <f t="shared" si="175"/>
        <v>0.27937736739166624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-7.3896444519050419E-13</v>
      </c>
      <c r="DP172" s="17">
        <f>DO172*VLOOKUP('Données projet'!$B$14,Paramètres!$A$1:$I$89,3,0)*VLOOKUP('Données projet'!$B$14,Paramètres!$A$1:$I$89,5,0)</f>
        <v>-7.147264113882557E-13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340.4659523898373</v>
      </c>
      <c r="DU172" s="59">
        <f t="shared" si="152"/>
        <v>170.54530785680572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6.4179487179487182</v>
      </c>
      <c r="EJ172" s="12">
        <f>IF('Données projet'!$A$192&gt;35,EJ171+EI172-ER171,IF(A172&lt;'Données projet'!$A$192,$EG$205^A172,IF(A172='Données projet'!$A$192,'Données projet'!$B$192,EJ171+EI172-ER171)))</f>
        <v>380.96153846153777</v>
      </c>
      <c r="EK172" s="17">
        <f>EJ172*VLOOKUP('Données projet'!$B$15,Paramètres!$A$1:$I$89,3,0)*VLOOKUP('Données projet'!$B$15,Paramètres!$A$1:$I$89,5,0)</f>
        <v>368.46599999999933</v>
      </c>
      <c r="EL172" s="13">
        <f t="shared" si="179"/>
        <v>85.353399866050722</v>
      </c>
      <c r="EM172" s="20">
        <f t="shared" si="180"/>
        <v>790.40212143337055</v>
      </c>
      <c r="EN172" s="59">
        <f t="shared" si="128"/>
        <v>1083.7354547667039</v>
      </c>
      <c r="EO172" s="59">
        <f ca="1">AVERAGE(OFFSET($EN$3,0,0,'Données projet'!$E$15+1,1))-AVERAGE(OFFSET($H$3,0,0,'Données projet'!$E$15+1,1))</f>
        <v>262.20955982183017</v>
      </c>
      <c r="EP172" s="59">
        <f t="shared" si="154"/>
        <v>101.35842063036193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5.6843418860808015E-14</v>
      </c>
      <c r="FF172" s="17">
        <f>FE172*VLOOKUP('Données projet'!$B$16,Paramètres!$A$1:$I$89,3,0)*VLOOKUP('Données projet'!$B$16,Paramètres!$A$1:$I$89,5,0)</f>
        <v>4.5224624045658861E-14</v>
      </c>
      <c r="FG172" s="13">
        <f t="shared" si="182"/>
        <v>7.4514601661523691E-13</v>
      </c>
      <c r="FH172" s="20">
        <f t="shared" si="183"/>
        <v>1.3765621991510601E-12</v>
      </c>
      <c r="FI172" s="59">
        <f t="shared" si="131"/>
        <v>293.33333333333468</v>
      </c>
      <c r="FJ172" s="59">
        <f ca="1">AVERAGE(OFFSET($FI$3,0,0,'Données projet'!$E$16+1,1))-AVERAGE(OFFSET($H$3,0,0,'Données projet'!$E$16+1,1))</f>
        <v>199.58763537752952</v>
      </c>
      <c r="FK172" s="59">
        <f t="shared" si="156"/>
        <v>242.62852778451929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0.21796766214760413</v>
      </c>
      <c r="FS172" s="21">
        <f>EXP(-LN(2)/2)*FS171+(1-EXP(-LN(2)/2))/(LN(2)/2)*FM172*FP172*VLOOKUP('Données projet'!$B$16,Paramètres!$A$1:$I$89,3,0)*0.475*44/12</f>
        <v>1.2891114560608025E-20</v>
      </c>
      <c r="FT172" s="22">
        <f t="shared" si="184"/>
        <v>0.21796766214760413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5.6843418860808015E-14</v>
      </c>
      <c r="GA172" s="17">
        <f>FZ172*VLOOKUP('Données projet'!$B$17,Paramètres!$A$1:$I$89,3,0)*VLOOKUP('Données projet'!$B$17,Paramètres!$A$1:$I$89,5,0)</f>
        <v>4.1677594708744434E-14</v>
      </c>
      <c r="GB172" s="13">
        <f t="shared" si="185"/>
        <v>6.9326303456159188E-13</v>
      </c>
      <c r="GC172" s="20">
        <f t="shared" si="186"/>
        <v>1.2800215959791691E-12</v>
      </c>
      <c r="GD172" s="59">
        <f t="shared" si="134"/>
        <v>293.33333333333462</v>
      </c>
      <c r="GE172" s="59">
        <f ca="1">AVERAGE(OFFSET($GD$3,0,0,'Données projet'!$E$17+1,1))-AVERAGE(OFFSET($H$3,0,0,'Données projet'!$E$17+1,1))</f>
        <v>178.12968684094687</v>
      </c>
      <c r="GF172" s="59">
        <f t="shared" si="158"/>
        <v>219.36004077210373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0.16297175183141244</v>
      </c>
      <c r="GN172" s="21">
        <f>EXP(-LN(2)/2)*GN171+(1-EXP(-LN(2)/2))/(LN(2)/2)*GH172*GK172*VLOOKUP('Données projet'!$B$17,Paramètres!$A$1:$I$89,3,0)*0.475*44/12</f>
        <v>1.1880046751932876E-20</v>
      </c>
      <c r="GO172" s="21">
        <f t="shared" si="187"/>
        <v>0.16297175183141244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5.6843418860808015E-14</v>
      </c>
      <c r="GV172" s="17">
        <f>GU172*VLOOKUP('Données projet'!$B$18,Paramètres!$A$1:$I$89,3,0)*VLOOKUP('Données projet'!$B$18,Paramètres!$A$1:$I$89,5,0)</f>
        <v>4.5224624045658861E-14</v>
      </c>
      <c r="GW172" s="13">
        <f t="shared" si="188"/>
        <v>7.4514601661523691E-13</v>
      </c>
      <c r="GX172" s="20">
        <f t="shared" si="189"/>
        <v>1.3765621991510601E-12</v>
      </c>
      <c r="GY172" s="59">
        <f t="shared" si="137"/>
        <v>293.33333333333468</v>
      </c>
      <c r="GZ172" s="59">
        <f ca="1">AVERAGE(OFFSET($GY$3,0,0,'Données projet'!$E$18+1,1))-AVERAGE(OFFSET($H$3,0,0,'Données projet'!$E$18+1,1))</f>
        <v>199.58763537752952</v>
      </c>
      <c r="HA172" s="59">
        <f t="shared" si="160"/>
        <v>242.62852778451929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0</v>
      </c>
      <c r="HH172" s="21">
        <f>EXP(-LN(2)/25)*HH171+(1-EXP(-LN(2)/25))/(LN(2)/25)*Calculateur!HC172*Calculateur!HE172*VLOOKUP('Données projet'!$B$18,Paramètres!$A$1:$I$89,3,0)*0.475*44/12</f>
        <v>0.21796766214760413</v>
      </c>
      <c r="HI172" s="21">
        <f>EXP(-LN(2)/2)*HI171+(1-EXP(-LN(2)/2))/(LN(2)/2)*HC172*HF172*VLOOKUP('Données projet'!$B$18,Paramètres!$A$1:$I$89,3,0)*0.475*44/12</f>
        <v>1.2891114560608025E-20</v>
      </c>
      <c r="HJ172" s="22">
        <f t="shared" si="190"/>
        <v>0.21796766214760413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-7.3896444519050419E-13</v>
      </c>
      <c r="O173" s="13">
        <f>N173*VLOOKUP('Données projet'!$B$9,Paramètres!$A$1:$I$89,3,0)*VLOOKUP('Données projet'!$B$9,Paramètres!$A$1:$I$89,5,0)</f>
        <v>-6.6861503000836817E-13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309.07357540707869</v>
      </c>
      <c r="T173" s="59">
        <f t="shared" si="142"/>
        <v>155.9593924683299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6.4179487179487182</v>
      </c>
      <c r="AI173" s="13">
        <f>IF('Données projet'!$A$62&gt;35,AI172+AH173-AQ172,IF(A173&lt;'Données projet'!$A$62,$AF$205^A173,IF(A173='Données projet'!$A$62,'Données projet'!$B$62,AI172+AH173-AQ172)))</f>
        <v>387.37948717948649</v>
      </c>
      <c r="AJ173" s="13">
        <f>AI173*VLOOKUP('Données projet'!$B$10,Paramètres!$A$1:$I$89,3,0)*VLOOKUP('Données projet'!$B$10,Paramètres!$A$1:$I$89,5,0)</f>
        <v>350.5009599999994</v>
      </c>
      <c r="AK173" s="13">
        <f t="shared" si="164"/>
        <v>81.665655516464668</v>
      </c>
      <c r="AL173" s="20">
        <f t="shared" si="165"/>
        <v>752.69018869117497</v>
      </c>
      <c r="AM173" s="59">
        <f t="shared" si="113"/>
        <v>1046.0235220245083</v>
      </c>
      <c r="AN173" s="59">
        <f ca="1">AVERAGE(OFFSET($AM$3,0,0,'Données projet'!$E$10+1,1))-AVERAGE(OFFSET($H$3,0,0,'Données projet'!$E$10+1,1))</f>
        <v>234.30804102916278</v>
      </c>
      <c r="AO173" s="59">
        <f t="shared" si="144"/>
        <v>91.137993288782411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3.4106051316484809E-13</v>
      </c>
      <c r="BE173" s="13">
        <f>BD173*VLOOKUP('Données projet'!$B$11,Paramètres!$A$1:$I$89,3,0)*VLOOKUP('Données projet'!$B$11,Paramètres!$A$1:$I$89,5,0)</f>
        <v>1.5961632016114892E-13</v>
      </c>
      <c r="BF173" s="13">
        <f t="shared" si="167"/>
        <v>2.2708641912150958E-12</v>
      </c>
      <c r="BG173" s="20">
        <f t="shared" si="168"/>
        <v>4.2330868906469593E-12</v>
      </c>
      <c r="BH173" s="59">
        <f t="shared" si="116"/>
        <v>293.33333333333752</v>
      </c>
      <c r="BI173" s="59">
        <f ca="1">AVERAGE(OFFSET($BH$3,0,0,'Données projet'!$E$11+1,1))-AVERAGE(OFFSET($H$3,0,0,'Données projet'!$E$11+1,1))</f>
        <v>158.58786357608489</v>
      </c>
      <c r="BJ173" s="59">
        <f t="shared" si="146"/>
        <v>163.20074068819849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5.6843418860808015E-13</v>
      </c>
      <c r="BZ173" s="13">
        <f>BY173*VLOOKUP('Données projet'!$B$12,Paramètres!$A$1:$I$89,3,0)*VLOOKUP('Données projet'!$B$12,Paramètres!$A$1:$I$89,5,0)</f>
        <v>2.6602720026858149E-13</v>
      </c>
      <c r="CA173" s="13">
        <f t="shared" si="170"/>
        <v>3.5662905043956649E-12</v>
      </c>
      <c r="CB173" s="20">
        <f t="shared" si="171"/>
        <v>6.6746200022902298E-12</v>
      </c>
      <c r="CC173" s="59">
        <f t="shared" si="119"/>
        <v>293.33333333333997</v>
      </c>
      <c r="CD173" s="59">
        <f ca="1">AVERAGE(OFFSET($CC$3,0,0,'Données projet'!$E$12+1,1))-AVERAGE(OFFSET($H$3,0,0,'Données projet'!$E$12+1,1))</f>
        <v>123.2823358462245</v>
      </c>
      <c r="CE173" s="59">
        <f t="shared" si="148"/>
        <v>92.75115399786057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-2.8421709430404007E-13</v>
      </c>
      <c r="CU173" s="17">
        <f>CT173*VLOOKUP('Données projet'!$B$13,Paramètres!$A$1:$I$89,3,0)*VLOOKUP('Données projet'!$B$13,Paramètres!$A$1:$I$89,5,0)</f>
        <v>-1.69961822393816E-13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179.32848817523677</v>
      </c>
      <c r="CZ173" s="59">
        <f t="shared" si="150"/>
        <v>131.3292389103035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0.27173777858852388</v>
      </c>
      <c r="DH173" s="21">
        <f>EXP(-LN(2)/2)*DH172+(1-EXP(-LN(2)/2))/(LN(2)/2)*DB173*DE173*VLOOKUP('Données projet'!$B$13,Paramètres!$A$1:$I$89,3,0)*0.475*44/12</f>
        <v>4.4578237596226096E-21</v>
      </c>
      <c r="DI173" s="22">
        <f t="shared" si="175"/>
        <v>0.27173777858852388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-7.3896444519050419E-13</v>
      </c>
      <c r="DP173" s="17">
        <f>DO173*VLOOKUP('Données projet'!$B$14,Paramètres!$A$1:$I$89,3,0)*VLOOKUP('Données projet'!$B$14,Paramètres!$A$1:$I$89,5,0)</f>
        <v>-7.147264113882557E-13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340.4659523898373</v>
      </c>
      <c r="DU173" s="59">
        <f t="shared" si="152"/>
        <v>170.54530785680572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6.4179487179487182</v>
      </c>
      <c r="EJ173" s="12">
        <f>IF('Données projet'!$A$192&gt;35,EJ172+EI173-ER172,IF(A173&lt;'Données projet'!$A$192,$EG$205^A173,IF(A173='Données projet'!$A$192,'Données projet'!$B$192,EJ172+EI173-ER172)))</f>
        <v>387.37948717948649</v>
      </c>
      <c r="EK173" s="17">
        <f>EJ173*VLOOKUP('Données projet'!$B$15,Paramètres!$A$1:$I$89,3,0)*VLOOKUP('Données projet'!$B$15,Paramètres!$A$1:$I$89,5,0)</f>
        <v>374.67343999999935</v>
      </c>
      <c r="EL173" s="13">
        <f t="shared" si="179"/>
        <v>86.622711516048895</v>
      </c>
      <c r="EM173" s="20">
        <f t="shared" si="180"/>
        <v>803.42413055711722</v>
      </c>
      <c r="EN173" s="59">
        <f t="shared" si="128"/>
        <v>1096.7574638904505</v>
      </c>
      <c r="EO173" s="59">
        <f ca="1">AVERAGE(OFFSET($EN$3,0,0,'Données projet'!$E$15+1,1))-AVERAGE(OFFSET($H$3,0,0,'Données projet'!$E$15+1,1))</f>
        <v>262.20955982183017</v>
      </c>
      <c r="EP173" s="59">
        <f t="shared" si="154"/>
        <v>101.35842063036193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5.6843418860808015E-14</v>
      </c>
      <c r="FF173" s="17">
        <f>FE173*VLOOKUP('Données projet'!$B$16,Paramètres!$A$1:$I$89,3,0)*VLOOKUP('Données projet'!$B$16,Paramètres!$A$1:$I$89,5,0)</f>
        <v>4.5224624045658861E-14</v>
      </c>
      <c r="FG173" s="13">
        <f t="shared" si="182"/>
        <v>7.4514601661523691E-13</v>
      </c>
      <c r="FH173" s="20">
        <f t="shared" si="183"/>
        <v>1.3765621991510601E-12</v>
      </c>
      <c r="FI173" s="59">
        <f t="shared" si="131"/>
        <v>293.33333333333468</v>
      </c>
      <c r="FJ173" s="59">
        <f ca="1">AVERAGE(OFFSET($FI$3,0,0,'Données projet'!$E$16+1,1))-AVERAGE(OFFSET($H$3,0,0,'Données projet'!$E$16+1,1))</f>
        <v>199.58763537752952</v>
      </c>
      <c r="FK173" s="59">
        <f t="shared" si="156"/>
        <v>242.62852778451929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0.21200732496375671</v>
      </c>
      <c r="FS173" s="21">
        <f>EXP(-LN(2)/2)*FS172+(1-EXP(-LN(2)/2))/(LN(2)/2)*FM173*FP173*VLOOKUP('Données projet'!$B$16,Paramètres!$A$1:$I$89,3,0)*0.475*44/12</f>
        <v>9.1153945228585756E-21</v>
      </c>
      <c r="FT173" s="22">
        <f t="shared" si="184"/>
        <v>0.21200732496375671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5.6843418860808015E-14</v>
      </c>
      <c r="GA173" s="17">
        <f>FZ173*VLOOKUP('Données projet'!$B$17,Paramètres!$A$1:$I$89,3,0)*VLOOKUP('Données projet'!$B$17,Paramètres!$A$1:$I$89,5,0)</f>
        <v>4.1677594708744434E-14</v>
      </c>
      <c r="GB173" s="13">
        <f t="shared" si="185"/>
        <v>6.9326303456159188E-13</v>
      </c>
      <c r="GC173" s="20">
        <f t="shared" si="186"/>
        <v>1.2800215959791691E-12</v>
      </c>
      <c r="GD173" s="59">
        <f t="shared" si="134"/>
        <v>293.33333333333462</v>
      </c>
      <c r="GE173" s="59">
        <f ca="1">AVERAGE(OFFSET($GD$3,0,0,'Données projet'!$E$17+1,1))-AVERAGE(OFFSET($H$3,0,0,'Données projet'!$E$17+1,1))</f>
        <v>178.12968684094687</v>
      </c>
      <c r="GF173" s="59">
        <f t="shared" si="158"/>
        <v>219.36004077210373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0.1585152807072705</v>
      </c>
      <c r="GN173" s="21">
        <f>EXP(-LN(2)/2)*GN172+(1-EXP(-LN(2)/2))/(LN(2)/2)*GH173*GK173*VLOOKUP('Données projet'!$B$17,Paramètres!$A$1:$I$89,3,0)*0.475*44/12</f>
        <v>8.4004616191049545E-21</v>
      </c>
      <c r="GO173" s="21">
        <f t="shared" si="187"/>
        <v>0.1585152807072705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5.6843418860808015E-14</v>
      </c>
      <c r="GV173" s="17">
        <f>GU173*VLOOKUP('Données projet'!$B$18,Paramètres!$A$1:$I$89,3,0)*VLOOKUP('Données projet'!$B$18,Paramètres!$A$1:$I$89,5,0)</f>
        <v>4.5224624045658861E-14</v>
      </c>
      <c r="GW173" s="13">
        <f t="shared" si="188"/>
        <v>7.4514601661523691E-13</v>
      </c>
      <c r="GX173" s="20">
        <f t="shared" si="189"/>
        <v>1.3765621991510601E-12</v>
      </c>
      <c r="GY173" s="59">
        <f t="shared" si="137"/>
        <v>293.33333333333468</v>
      </c>
      <c r="GZ173" s="59">
        <f ca="1">AVERAGE(OFFSET($GY$3,0,0,'Données projet'!$E$18+1,1))-AVERAGE(OFFSET($H$3,0,0,'Données projet'!$E$18+1,1))</f>
        <v>199.58763537752952</v>
      </c>
      <c r="HA173" s="59">
        <f t="shared" si="160"/>
        <v>242.62852778451929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0</v>
      </c>
      <c r="HH173" s="21">
        <f>EXP(-LN(2)/25)*HH172+(1-EXP(-LN(2)/25))/(LN(2)/25)*Calculateur!HC173*Calculateur!HE173*VLOOKUP('Données projet'!$B$18,Paramètres!$A$1:$I$89,3,0)*0.475*44/12</f>
        <v>0.21200732496375671</v>
      </c>
      <c r="HI173" s="21">
        <f>EXP(-LN(2)/2)*HI172+(1-EXP(-LN(2)/2))/(LN(2)/2)*HC173*HF173*VLOOKUP('Données projet'!$B$18,Paramètres!$A$1:$I$89,3,0)*0.475*44/12</f>
        <v>9.1153945228585756E-21</v>
      </c>
      <c r="HJ173" s="22">
        <f t="shared" si="190"/>
        <v>0.21200732496375671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-7.3896444519050419E-13</v>
      </c>
      <c r="O174" s="13">
        <f>N174*VLOOKUP('Données projet'!$B$9,Paramètres!$A$1:$I$89,3,0)*VLOOKUP('Données projet'!$B$9,Paramètres!$A$1:$I$89,5,0)</f>
        <v>-6.6861503000836817E-13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309.07357540707869</v>
      </c>
      <c r="T174" s="59">
        <f t="shared" si="142"/>
        <v>155.9593924683299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6.4179487179487182</v>
      </c>
      <c r="AI174" s="13">
        <f>IF('Données projet'!$A$62&gt;35,AI173+AH174-AQ173,IF(A174&lt;'Données projet'!$A$62,$AF$205^A174,IF(A174='Données projet'!$A$62,'Données projet'!$B$62,AI173+AH174-AQ173)))</f>
        <v>393.79743589743521</v>
      </c>
      <c r="AJ174" s="13">
        <f>AI174*VLOOKUP('Données projet'!$B$10,Paramètres!$A$1:$I$89,3,0)*VLOOKUP('Données projet'!$B$10,Paramètres!$A$1:$I$89,5,0)</f>
        <v>356.3079199999994</v>
      </c>
      <c r="AK174" s="13">
        <f t="shared" si="164"/>
        <v>82.860024125417155</v>
      </c>
      <c r="AL174" s="20">
        <f t="shared" si="165"/>
        <v>764.88416935176713</v>
      </c>
      <c r="AM174" s="59">
        <f t="shared" si="113"/>
        <v>1058.2175026851005</v>
      </c>
      <c r="AN174" s="59">
        <f ca="1">AVERAGE(OFFSET($AM$3,0,0,'Données projet'!$E$10+1,1))-AVERAGE(OFFSET($H$3,0,0,'Données projet'!$E$10+1,1))</f>
        <v>234.30804102916278</v>
      </c>
      <c r="AO174" s="59">
        <f t="shared" si="144"/>
        <v>91.137993288782411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3.4106051316484809E-13</v>
      </c>
      <c r="BE174" s="13">
        <f>BD174*VLOOKUP('Données projet'!$B$11,Paramètres!$A$1:$I$89,3,0)*VLOOKUP('Données projet'!$B$11,Paramètres!$A$1:$I$89,5,0)</f>
        <v>1.5961632016114892E-13</v>
      </c>
      <c r="BF174" s="13">
        <f t="shared" si="167"/>
        <v>2.2708641912150958E-12</v>
      </c>
      <c r="BG174" s="20">
        <f t="shared" si="168"/>
        <v>4.2330868906469593E-12</v>
      </c>
      <c r="BH174" s="59">
        <f t="shared" si="116"/>
        <v>293.33333333333752</v>
      </c>
      <c r="BI174" s="59">
        <f ca="1">AVERAGE(OFFSET($BH$3,0,0,'Données projet'!$E$11+1,1))-AVERAGE(OFFSET($H$3,0,0,'Données projet'!$E$11+1,1))</f>
        <v>158.58786357608489</v>
      </c>
      <c r="BJ174" s="59">
        <f t="shared" si="146"/>
        <v>163.20074068819849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5.6843418860808015E-13</v>
      </c>
      <c r="BZ174" s="13">
        <f>BY174*VLOOKUP('Données projet'!$B$12,Paramètres!$A$1:$I$89,3,0)*VLOOKUP('Données projet'!$B$12,Paramètres!$A$1:$I$89,5,0)</f>
        <v>2.6602720026858149E-13</v>
      </c>
      <c r="CA174" s="13">
        <f t="shared" si="170"/>
        <v>3.5662905043956649E-12</v>
      </c>
      <c r="CB174" s="20">
        <f t="shared" si="171"/>
        <v>6.6746200022902298E-12</v>
      </c>
      <c r="CC174" s="59">
        <f t="shared" si="119"/>
        <v>293.33333333333997</v>
      </c>
      <c r="CD174" s="59">
        <f ca="1">AVERAGE(OFFSET($CC$3,0,0,'Données projet'!$E$12+1,1))-AVERAGE(OFFSET($H$3,0,0,'Données projet'!$E$12+1,1))</f>
        <v>123.2823358462245</v>
      </c>
      <c r="CE174" s="59">
        <f t="shared" si="148"/>
        <v>92.75115399786057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-2.8421709430404007E-13</v>
      </c>
      <c r="CU174" s="17">
        <f>CT174*VLOOKUP('Données projet'!$B$13,Paramètres!$A$1:$I$89,3,0)*VLOOKUP('Données projet'!$B$13,Paramètres!$A$1:$I$89,5,0)</f>
        <v>-1.69961822393816E-13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179.32848817523677</v>
      </c>
      <c r="CZ174" s="59">
        <f t="shared" si="150"/>
        <v>131.3292389103035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0.264307094742952</v>
      </c>
      <c r="DH174" s="21">
        <f>EXP(-LN(2)/2)*DH173+(1-EXP(-LN(2)/2))/(LN(2)/2)*DB174*DE174*VLOOKUP('Données projet'!$B$13,Paramètres!$A$1:$I$89,3,0)*0.475*44/12</f>
        <v>3.1521574097636573E-21</v>
      </c>
      <c r="DI174" s="22">
        <f t="shared" si="175"/>
        <v>0.264307094742952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-7.3896444519050419E-13</v>
      </c>
      <c r="DP174" s="17">
        <f>DO174*VLOOKUP('Données projet'!$B$14,Paramètres!$A$1:$I$89,3,0)*VLOOKUP('Données projet'!$B$14,Paramètres!$A$1:$I$89,5,0)</f>
        <v>-7.147264113882557E-13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340.4659523898373</v>
      </c>
      <c r="DU174" s="59">
        <f t="shared" si="152"/>
        <v>170.54530785680572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6.4179487179487182</v>
      </c>
      <c r="EJ174" s="12">
        <f>IF('Données projet'!$A$192&gt;35,EJ173+EI174-ER173,IF(A174&lt;'Données projet'!$A$192,$EG$205^A174,IF(A174='Données projet'!$A$192,'Données projet'!$B$192,EJ173+EI174-ER173)))</f>
        <v>393.79743589743521</v>
      </c>
      <c r="EK174" s="17">
        <f>EJ174*VLOOKUP('Données projet'!$B$15,Paramètres!$A$1:$I$89,3,0)*VLOOKUP('Données projet'!$B$15,Paramètres!$A$1:$I$89,5,0)</f>
        <v>380.88087999999931</v>
      </c>
      <c r="EL174" s="13">
        <f t="shared" si="179"/>
        <v>87.889577578689682</v>
      </c>
      <c r="EM174" s="20">
        <f t="shared" si="180"/>
        <v>816.44188028288329</v>
      </c>
      <c r="EN174" s="59">
        <f t="shared" si="128"/>
        <v>1109.7752136162167</v>
      </c>
      <c r="EO174" s="59">
        <f ca="1">AVERAGE(OFFSET($EN$3,0,0,'Données projet'!$E$15+1,1))-AVERAGE(OFFSET($H$3,0,0,'Données projet'!$E$15+1,1))</f>
        <v>262.20955982183017</v>
      </c>
      <c r="EP174" s="59">
        <f t="shared" si="154"/>
        <v>101.35842063036193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5.6843418860808015E-14</v>
      </c>
      <c r="FF174" s="17">
        <f>FE174*VLOOKUP('Données projet'!$B$16,Paramètres!$A$1:$I$89,3,0)*VLOOKUP('Données projet'!$B$16,Paramètres!$A$1:$I$89,5,0)</f>
        <v>4.5224624045658861E-14</v>
      </c>
      <c r="FG174" s="13">
        <f t="shared" si="182"/>
        <v>7.4514601661523691E-13</v>
      </c>
      <c r="FH174" s="20">
        <f t="shared" si="183"/>
        <v>1.3765621991510601E-12</v>
      </c>
      <c r="FI174" s="59">
        <f t="shared" si="131"/>
        <v>293.33333333333468</v>
      </c>
      <c r="FJ174" s="59">
        <f ca="1">AVERAGE(OFFSET($FI$3,0,0,'Données projet'!$E$16+1,1))-AVERAGE(OFFSET($H$3,0,0,'Données projet'!$E$16+1,1))</f>
        <v>199.58763537752952</v>
      </c>
      <c r="FK174" s="59">
        <f t="shared" si="156"/>
        <v>242.62852778451929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0.20620997351364212</v>
      </c>
      <c r="FS174" s="21">
        <f>EXP(-LN(2)/2)*FS173+(1-EXP(-LN(2)/2))/(LN(2)/2)*FM174*FP174*VLOOKUP('Données projet'!$B$16,Paramètres!$A$1:$I$89,3,0)*0.475*44/12</f>
        <v>6.4455572803040127E-21</v>
      </c>
      <c r="FT174" s="22">
        <f t="shared" si="184"/>
        <v>0.20620997351364212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5.6843418860808015E-14</v>
      </c>
      <c r="GA174" s="17">
        <f>FZ174*VLOOKUP('Données projet'!$B$17,Paramètres!$A$1:$I$89,3,0)*VLOOKUP('Données projet'!$B$17,Paramètres!$A$1:$I$89,5,0)</f>
        <v>4.1677594708744434E-14</v>
      </c>
      <c r="GB174" s="13">
        <f t="shared" si="185"/>
        <v>6.9326303456159188E-13</v>
      </c>
      <c r="GC174" s="20">
        <f t="shared" si="186"/>
        <v>1.2800215959791691E-12</v>
      </c>
      <c r="GD174" s="59">
        <f t="shared" si="134"/>
        <v>293.33333333333462</v>
      </c>
      <c r="GE174" s="59">
        <f ca="1">AVERAGE(OFFSET($GD$3,0,0,'Données projet'!$E$17+1,1))-AVERAGE(OFFSET($H$3,0,0,'Données projet'!$E$17+1,1))</f>
        <v>178.12968684094687</v>
      </c>
      <c r="GF174" s="59">
        <f t="shared" si="158"/>
        <v>219.36004077210373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0.15418067202037386</v>
      </c>
      <c r="GN174" s="21">
        <f>EXP(-LN(2)/2)*GN173+(1-EXP(-LN(2)/2))/(LN(2)/2)*GH174*GK174*VLOOKUP('Données projet'!$B$17,Paramètres!$A$1:$I$89,3,0)*0.475*44/12</f>
        <v>5.9400233759664378E-21</v>
      </c>
      <c r="GO174" s="21">
        <f t="shared" si="187"/>
        <v>0.15418067202037386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5.6843418860808015E-14</v>
      </c>
      <c r="GV174" s="17">
        <f>GU174*VLOOKUP('Données projet'!$B$18,Paramètres!$A$1:$I$89,3,0)*VLOOKUP('Données projet'!$B$18,Paramètres!$A$1:$I$89,5,0)</f>
        <v>4.5224624045658861E-14</v>
      </c>
      <c r="GW174" s="13">
        <f t="shared" si="188"/>
        <v>7.4514601661523691E-13</v>
      </c>
      <c r="GX174" s="20">
        <f t="shared" si="189"/>
        <v>1.3765621991510601E-12</v>
      </c>
      <c r="GY174" s="59">
        <f t="shared" si="137"/>
        <v>293.33333333333468</v>
      </c>
      <c r="GZ174" s="59">
        <f ca="1">AVERAGE(OFFSET($GY$3,0,0,'Données projet'!$E$18+1,1))-AVERAGE(OFFSET($H$3,0,0,'Données projet'!$E$18+1,1))</f>
        <v>199.58763537752952</v>
      </c>
      <c r="HA174" s="59">
        <f t="shared" si="160"/>
        <v>242.62852778451929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0</v>
      </c>
      <c r="HH174" s="21">
        <f>EXP(-LN(2)/25)*HH173+(1-EXP(-LN(2)/25))/(LN(2)/25)*Calculateur!HC174*Calculateur!HE174*VLOOKUP('Données projet'!$B$18,Paramètres!$A$1:$I$89,3,0)*0.475*44/12</f>
        <v>0.20620997351364212</v>
      </c>
      <c r="HI174" s="21">
        <f>EXP(-LN(2)/2)*HI173+(1-EXP(-LN(2)/2))/(LN(2)/2)*HC174*HF174*VLOOKUP('Données projet'!$B$18,Paramètres!$A$1:$I$89,3,0)*0.475*44/12</f>
        <v>6.4455572803040127E-21</v>
      </c>
      <c r="HJ174" s="22">
        <f t="shared" si="190"/>
        <v>0.20620997351364212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-7.3896444519050419E-13</v>
      </c>
      <c r="O175" s="13">
        <f>N175*VLOOKUP('Données projet'!$B$9,Paramètres!$A$1:$I$89,3,0)*VLOOKUP('Données projet'!$B$9,Paramètres!$A$1:$I$89,5,0)</f>
        <v>-6.6861503000836817E-13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309.07357540707869</v>
      </c>
      <c r="T175" s="59">
        <f t="shared" si="142"/>
        <v>155.9593924683299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6.4179487179487182</v>
      </c>
      <c r="AI175" s="13">
        <f>IF('Données projet'!$A$62&gt;35,AI174+AH175-AQ174,IF(A175&lt;'Données projet'!$A$62,$AF$205^A175,IF(A175='Données projet'!$A$62,'Données projet'!$B$62,AI174+AH175-AQ174)))</f>
        <v>400.21538461538393</v>
      </c>
      <c r="AJ175" s="13">
        <f>AI175*VLOOKUP('Données projet'!$B$10,Paramètres!$A$1:$I$89,3,0)*VLOOKUP('Données projet'!$B$10,Paramètres!$A$1:$I$89,5,0)</f>
        <v>362.1148799999994</v>
      </c>
      <c r="AK175" s="13">
        <f t="shared" si="164"/>
        <v>84.052129011936628</v>
      </c>
      <c r="AL175" s="20">
        <f t="shared" si="165"/>
        <v>777.07420736245524</v>
      </c>
      <c r="AM175" s="59">
        <f t="shared" si="113"/>
        <v>1070.4075406957886</v>
      </c>
      <c r="AN175" s="59">
        <f ca="1">AVERAGE(OFFSET($AM$3,0,0,'Données projet'!$E$10+1,1))-AVERAGE(OFFSET($H$3,0,0,'Données projet'!$E$10+1,1))</f>
        <v>234.30804102916278</v>
      </c>
      <c r="AO175" s="59">
        <f t="shared" si="144"/>
        <v>91.137993288782411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3.4106051316484809E-13</v>
      </c>
      <c r="BE175" s="13">
        <f>BD175*VLOOKUP('Données projet'!$B$11,Paramètres!$A$1:$I$89,3,0)*VLOOKUP('Données projet'!$B$11,Paramètres!$A$1:$I$89,5,0)</f>
        <v>1.5961632016114892E-13</v>
      </c>
      <c r="BF175" s="13">
        <f t="shared" si="167"/>
        <v>2.2708641912150958E-12</v>
      </c>
      <c r="BG175" s="20">
        <f t="shared" si="168"/>
        <v>4.2330868906469593E-12</v>
      </c>
      <c r="BH175" s="59">
        <f t="shared" si="116"/>
        <v>293.33333333333752</v>
      </c>
      <c r="BI175" s="59">
        <f ca="1">AVERAGE(OFFSET($BH$3,0,0,'Données projet'!$E$11+1,1))-AVERAGE(OFFSET($H$3,0,0,'Données projet'!$E$11+1,1))</f>
        <v>158.58786357608489</v>
      </c>
      <c r="BJ175" s="59">
        <f t="shared" si="146"/>
        <v>163.20074068819849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5.6843418860808015E-13</v>
      </c>
      <c r="BZ175" s="13">
        <f>BY175*VLOOKUP('Données projet'!$B$12,Paramètres!$A$1:$I$89,3,0)*VLOOKUP('Données projet'!$B$12,Paramètres!$A$1:$I$89,5,0)</f>
        <v>2.6602720026858149E-13</v>
      </c>
      <c r="CA175" s="13">
        <f t="shared" si="170"/>
        <v>3.5662905043956649E-12</v>
      </c>
      <c r="CB175" s="20">
        <f t="shared" si="171"/>
        <v>6.6746200022902298E-12</v>
      </c>
      <c r="CC175" s="59">
        <f t="shared" si="119"/>
        <v>293.33333333333997</v>
      </c>
      <c r="CD175" s="59">
        <f ca="1">AVERAGE(OFFSET($CC$3,0,0,'Données projet'!$E$12+1,1))-AVERAGE(OFFSET($H$3,0,0,'Données projet'!$E$12+1,1))</f>
        <v>123.2823358462245</v>
      </c>
      <c r="CE175" s="59">
        <f t="shared" si="148"/>
        <v>92.75115399786057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-2.8421709430404007E-13</v>
      </c>
      <c r="CU175" s="17">
        <f>CT175*VLOOKUP('Données projet'!$B$13,Paramètres!$A$1:$I$89,3,0)*VLOOKUP('Données projet'!$B$13,Paramètres!$A$1:$I$89,5,0)</f>
        <v>-1.69961822393816E-13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179.32848817523677</v>
      </c>
      <c r="CZ175" s="59">
        <f t="shared" si="150"/>
        <v>131.3292389103035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0.25707960333789992</v>
      </c>
      <c r="DH175" s="21">
        <f>EXP(-LN(2)/2)*DH174+(1-EXP(-LN(2)/2))/(LN(2)/2)*DB175*DE175*VLOOKUP('Données projet'!$B$13,Paramètres!$A$1:$I$89,3,0)*0.475*44/12</f>
        <v>2.2289118798113048E-21</v>
      </c>
      <c r="DI175" s="22">
        <f t="shared" si="175"/>
        <v>0.25707960333789992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-7.3896444519050419E-13</v>
      </c>
      <c r="DP175" s="17">
        <f>DO175*VLOOKUP('Données projet'!$B$14,Paramètres!$A$1:$I$89,3,0)*VLOOKUP('Données projet'!$B$14,Paramètres!$A$1:$I$89,5,0)</f>
        <v>-7.147264113882557E-13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340.4659523898373</v>
      </c>
      <c r="DU175" s="59">
        <f t="shared" si="152"/>
        <v>170.54530785680572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6.4179487179487182</v>
      </c>
      <c r="EJ175" s="12">
        <f>IF('Données projet'!$A$192&gt;35,EJ174+EI175-ER174,IF(A175&lt;'Données projet'!$A$192,$EG$205^A175,IF(A175='Données projet'!$A$192,'Données projet'!$B$192,EJ174+EI175-ER174)))</f>
        <v>400.21538461538393</v>
      </c>
      <c r="EK175" s="17">
        <f>EJ175*VLOOKUP('Données projet'!$B$15,Paramètres!$A$1:$I$89,3,0)*VLOOKUP('Données projet'!$B$15,Paramètres!$A$1:$I$89,5,0)</f>
        <v>387.08831999999933</v>
      </c>
      <c r="EL175" s="13">
        <f t="shared" si="179"/>
        <v>89.154042512311918</v>
      </c>
      <c r="EM175" s="20">
        <f t="shared" si="180"/>
        <v>829.45544804227541</v>
      </c>
      <c r="EN175" s="59">
        <f t="shared" si="128"/>
        <v>1122.7887813756088</v>
      </c>
      <c r="EO175" s="59">
        <f ca="1">AVERAGE(OFFSET($EN$3,0,0,'Données projet'!$E$15+1,1))-AVERAGE(OFFSET($H$3,0,0,'Données projet'!$E$15+1,1))</f>
        <v>262.20955982183017</v>
      </c>
      <c r="EP175" s="59">
        <f t="shared" si="154"/>
        <v>101.35842063036193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5.6843418860808015E-14</v>
      </c>
      <c r="FF175" s="17">
        <f>FE175*VLOOKUP('Données projet'!$B$16,Paramètres!$A$1:$I$89,3,0)*VLOOKUP('Données projet'!$B$16,Paramètres!$A$1:$I$89,5,0)</f>
        <v>4.5224624045658861E-14</v>
      </c>
      <c r="FG175" s="13">
        <f t="shared" si="182"/>
        <v>7.4514601661523691E-13</v>
      </c>
      <c r="FH175" s="20">
        <f t="shared" si="183"/>
        <v>1.3765621991510601E-12</v>
      </c>
      <c r="FI175" s="59">
        <f t="shared" si="131"/>
        <v>293.33333333333468</v>
      </c>
      <c r="FJ175" s="59">
        <f ca="1">AVERAGE(OFFSET($FI$3,0,0,'Données projet'!$E$16+1,1))-AVERAGE(OFFSET($H$3,0,0,'Données projet'!$E$16+1,1))</f>
        <v>199.58763537752952</v>
      </c>
      <c r="FK175" s="59">
        <f t="shared" si="156"/>
        <v>242.62852778451929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0.20057115094380037</v>
      </c>
      <c r="FS175" s="21">
        <f>EXP(-LN(2)/2)*FS174+(1-EXP(-LN(2)/2))/(LN(2)/2)*FM175*FP175*VLOOKUP('Données projet'!$B$16,Paramètres!$A$1:$I$89,3,0)*0.475*44/12</f>
        <v>4.5576972614292878E-21</v>
      </c>
      <c r="FT175" s="22">
        <f t="shared" si="184"/>
        <v>0.20057115094380037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5.6843418860808015E-14</v>
      </c>
      <c r="GA175" s="17">
        <f>FZ175*VLOOKUP('Données projet'!$B$17,Paramètres!$A$1:$I$89,3,0)*VLOOKUP('Données projet'!$B$17,Paramètres!$A$1:$I$89,5,0)</f>
        <v>4.1677594708744434E-14</v>
      </c>
      <c r="GB175" s="13">
        <f t="shared" si="185"/>
        <v>6.9326303456159188E-13</v>
      </c>
      <c r="GC175" s="20">
        <f t="shared" si="186"/>
        <v>1.2800215959791691E-12</v>
      </c>
      <c r="GD175" s="59">
        <f t="shared" si="134"/>
        <v>293.33333333333462</v>
      </c>
      <c r="GE175" s="59">
        <f ca="1">AVERAGE(OFFSET($GD$3,0,0,'Données projet'!$E$17+1,1))-AVERAGE(OFFSET($H$3,0,0,'Données projet'!$E$17+1,1))</f>
        <v>178.12968684094687</v>
      </c>
      <c r="GF175" s="59">
        <f t="shared" si="158"/>
        <v>219.36004077210373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0.14996459343596757</v>
      </c>
      <c r="GN175" s="21">
        <f>EXP(-LN(2)/2)*GN174+(1-EXP(-LN(2)/2))/(LN(2)/2)*GH175*GK175*VLOOKUP('Données projet'!$B$17,Paramètres!$A$1:$I$89,3,0)*0.475*44/12</f>
        <v>4.2002308095524772E-21</v>
      </c>
      <c r="GO175" s="21">
        <f t="shared" si="187"/>
        <v>0.14996459343596757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5.6843418860808015E-14</v>
      </c>
      <c r="GV175" s="17">
        <f>GU175*VLOOKUP('Données projet'!$B$18,Paramètres!$A$1:$I$89,3,0)*VLOOKUP('Données projet'!$B$18,Paramètres!$A$1:$I$89,5,0)</f>
        <v>4.5224624045658861E-14</v>
      </c>
      <c r="GW175" s="13">
        <f t="shared" si="188"/>
        <v>7.4514601661523691E-13</v>
      </c>
      <c r="GX175" s="20">
        <f t="shared" si="189"/>
        <v>1.3765621991510601E-12</v>
      </c>
      <c r="GY175" s="59">
        <f t="shared" si="137"/>
        <v>293.33333333333468</v>
      </c>
      <c r="GZ175" s="59">
        <f ca="1">AVERAGE(OFFSET($GY$3,0,0,'Données projet'!$E$18+1,1))-AVERAGE(OFFSET($H$3,0,0,'Données projet'!$E$18+1,1))</f>
        <v>199.58763537752952</v>
      </c>
      <c r="HA175" s="59">
        <f t="shared" si="160"/>
        <v>242.62852778451929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0</v>
      </c>
      <c r="HH175" s="21">
        <f>EXP(-LN(2)/25)*HH174+(1-EXP(-LN(2)/25))/(LN(2)/25)*Calculateur!HC175*Calculateur!HE175*VLOOKUP('Données projet'!$B$18,Paramètres!$A$1:$I$89,3,0)*0.475*44/12</f>
        <v>0.20057115094380037</v>
      </c>
      <c r="HI175" s="21">
        <f>EXP(-LN(2)/2)*HI174+(1-EXP(-LN(2)/2))/(LN(2)/2)*HC175*HF175*VLOOKUP('Données projet'!$B$18,Paramètres!$A$1:$I$89,3,0)*0.475*44/12</f>
        <v>4.5576972614292878E-21</v>
      </c>
      <c r="HJ175" s="22">
        <f t="shared" si="190"/>
        <v>0.20057115094380037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-7.3896444519050419E-13</v>
      </c>
      <c r="O176" s="13">
        <f>N176*VLOOKUP('Données projet'!$B$9,Paramètres!$A$1:$I$89,3,0)*VLOOKUP('Données projet'!$B$9,Paramètres!$A$1:$I$89,5,0)</f>
        <v>-6.6861503000836817E-13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309.07357540707869</v>
      </c>
      <c r="T176" s="59">
        <f t="shared" si="142"/>
        <v>155.9593924683299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6.4179487179487182</v>
      </c>
      <c r="AI176" s="13">
        <f>IF('Données projet'!$A$62&gt;35,AI175+AH176-AQ175,IF(A176&lt;'Données projet'!$A$62,$AF$205^A176,IF(A176='Données projet'!$A$62,'Données projet'!$B$62,AI175+AH176-AQ175)))</f>
        <v>406.63333333333264</v>
      </c>
      <c r="AJ176" s="13">
        <f>AI176*VLOOKUP('Données projet'!$B$10,Paramètres!$A$1:$I$89,3,0)*VLOOKUP('Données projet'!$B$10,Paramètres!$A$1:$I$89,5,0)</f>
        <v>367.92183999999941</v>
      </c>
      <c r="AK176" s="13">
        <f t="shared" si="164"/>
        <v>85.24201066881264</v>
      </c>
      <c r="AL176" s="20">
        <f t="shared" si="165"/>
        <v>789.26037324818105</v>
      </c>
      <c r="AM176" s="59">
        <f t="shared" si="113"/>
        <v>1082.5937065815144</v>
      </c>
      <c r="AN176" s="59">
        <f ca="1">AVERAGE(OFFSET($AM$3,0,0,'Données projet'!$E$10+1,1))-AVERAGE(OFFSET($H$3,0,0,'Données projet'!$E$10+1,1))</f>
        <v>234.30804102916278</v>
      </c>
      <c r="AO176" s="59">
        <f t="shared" si="144"/>
        <v>91.137993288782411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3.4106051316484809E-13</v>
      </c>
      <c r="BE176" s="13">
        <f>BD176*VLOOKUP('Données projet'!$B$11,Paramètres!$A$1:$I$89,3,0)*VLOOKUP('Données projet'!$B$11,Paramètres!$A$1:$I$89,5,0)</f>
        <v>1.5961632016114892E-13</v>
      </c>
      <c r="BF176" s="13">
        <f t="shared" si="167"/>
        <v>2.2708641912150958E-12</v>
      </c>
      <c r="BG176" s="20">
        <f t="shared" si="168"/>
        <v>4.2330868906469593E-12</v>
      </c>
      <c r="BH176" s="59">
        <f t="shared" si="116"/>
        <v>293.33333333333752</v>
      </c>
      <c r="BI176" s="59">
        <f ca="1">AVERAGE(OFFSET($BH$3,0,0,'Données projet'!$E$11+1,1))-AVERAGE(OFFSET($H$3,0,0,'Données projet'!$E$11+1,1))</f>
        <v>158.58786357608489</v>
      </c>
      <c r="BJ176" s="59">
        <f t="shared" si="146"/>
        <v>163.20074068819849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5.6843418860808015E-13</v>
      </c>
      <c r="BZ176" s="13">
        <f>BY176*VLOOKUP('Données projet'!$B$12,Paramètres!$A$1:$I$89,3,0)*VLOOKUP('Données projet'!$B$12,Paramètres!$A$1:$I$89,5,0)</f>
        <v>2.6602720026858149E-13</v>
      </c>
      <c r="CA176" s="13">
        <f t="shared" si="170"/>
        <v>3.5662905043956649E-12</v>
      </c>
      <c r="CB176" s="20">
        <f t="shared" si="171"/>
        <v>6.6746200022902298E-12</v>
      </c>
      <c r="CC176" s="59">
        <f t="shared" si="119"/>
        <v>293.33333333333997</v>
      </c>
      <c r="CD176" s="59">
        <f ca="1">AVERAGE(OFFSET($CC$3,0,0,'Données projet'!$E$12+1,1))-AVERAGE(OFFSET($H$3,0,0,'Données projet'!$E$12+1,1))</f>
        <v>123.2823358462245</v>
      </c>
      <c r="CE176" s="59">
        <f t="shared" si="148"/>
        <v>92.75115399786057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-2.8421709430404007E-13</v>
      </c>
      <c r="CU176" s="17">
        <f>CT176*VLOOKUP('Données projet'!$B$13,Paramètres!$A$1:$I$89,3,0)*VLOOKUP('Données projet'!$B$13,Paramètres!$A$1:$I$89,5,0)</f>
        <v>-1.69961822393816E-13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179.32848817523677</v>
      </c>
      <c r="CZ176" s="59">
        <f t="shared" si="150"/>
        <v>131.3292389103035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0.25004974806539626</v>
      </c>
      <c r="DH176" s="21">
        <f>EXP(-LN(2)/2)*DH175+(1-EXP(-LN(2)/2))/(LN(2)/2)*DB176*DE176*VLOOKUP('Données projet'!$B$13,Paramètres!$A$1:$I$89,3,0)*0.475*44/12</f>
        <v>1.5760787048818286E-21</v>
      </c>
      <c r="DI176" s="22">
        <f t="shared" si="175"/>
        <v>0.25004974806539626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-7.3896444519050419E-13</v>
      </c>
      <c r="DP176" s="17">
        <f>DO176*VLOOKUP('Données projet'!$B$14,Paramètres!$A$1:$I$89,3,0)*VLOOKUP('Données projet'!$B$14,Paramètres!$A$1:$I$89,5,0)</f>
        <v>-7.147264113882557E-13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340.4659523898373</v>
      </c>
      <c r="DU176" s="59">
        <f t="shared" si="152"/>
        <v>170.54530785680572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6.4179487179487182</v>
      </c>
      <c r="EJ176" s="12">
        <f>IF('Données projet'!$A$192&gt;35,EJ175+EI176-ER175,IF(A176&lt;'Données projet'!$A$192,$EG$205^A176,IF(A176='Données projet'!$A$192,'Données projet'!$B$192,EJ175+EI176-ER175)))</f>
        <v>406.63333333333264</v>
      </c>
      <c r="EK176" s="17">
        <f>EJ176*VLOOKUP('Données projet'!$B$15,Paramètres!$A$1:$I$89,3,0)*VLOOKUP('Données projet'!$B$15,Paramètres!$A$1:$I$89,5,0)</f>
        <v>393.29575999999935</v>
      </c>
      <c r="EL176" s="13">
        <f t="shared" si="179"/>
        <v>90.416149267593255</v>
      </c>
      <c r="EM176" s="20">
        <f t="shared" si="180"/>
        <v>842.46490864105715</v>
      </c>
      <c r="EN176" s="59">
        <f t="shared" si="128"/>
        <v>1135.7982419743905</v>
      </c>
      <c r="EO176" s="59">
        <f ca="1">AVERAGE(OFFSET($EN$3,0,0,'Données projet'!$E$15+1,1))-AVERAGE(OFFSET($H$3,0,0,'Données projet'!$E$15+1,1))</f>
        <v>262.20955982183017</v>
      </c>
      <c r="EP176" s="59">
        <f t="shared" si="154"/>
        <v>101.35842063036193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5.6843418860808015E-14</v>
      </c>
      <c r="FF176" s="17">
        <f>FE176*VLOOKUP('Données projet'!$B$16,Paramètres!$A$1:$I$89,3,0)*VLOOKUP('Données projet'!$B$16,Paramètres!$A$1:$I$89,5,0)</f>
        <v>4.5224624045658861E-14</v>
      </c>
      <c r="FG176" s="13">
        <f t="shared" si="182"/>
        <v>7.4514601661523691E-13</v>
      </c>
      <c r="FH176" s="20">
        <f t="shared" si="183"/>
        <v>1.3765621991510601E-12</v>
      </c>
      <c r="FI176" s="59">
        <f t="shared" si="131"/>
        <v>293.33333333333468</v>
      </c>
      <c r="FJ176" s="59">
        <f ca="1">AVERAGE(OFFSET($FI$3,0,0,'Données projet'!$E$16+1,1))-AVERAGE(OFFSET($H$3,0,0,'Données projet'!$E$16+1,1))</f>
        <v>199.58763537752952</v>
      </c>
      <c r="FK176" s="59">
        <f t="shared" si="156"/>
        <v>242.62852778451929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0.19508652227366374</v>
      </c>
      <c r="FS176" s="21">
        <f>EXP(-LN(2)/2)*FS175+(1-EXP(-LN(2)/2))/(LN(2)/2)*FM176*FP176*VLOOKUP('Données projet'!$B$16,Paramètres!$A$1:$I$89,3,0)*0.475*44/12</f>
        <v>3.2227786401520063E-21</v>
      </c>
      <c r="FT176" s="22">
        <f t="shared" si="184"/>
        <v>0.19508652227366374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5.6843418860808015E-14</v>
      </c>
      <c r="GA176" s="17">
        <f>FZ176*VLOOKUP('Données projet'!$B$17,Paramètres!$A$1:$I$89,3,0)*VLOOKUP('Données projet'!$B$17,Paramètres!$A$1:$I$89,5,0)</f>
        <v>4.1677594708744434E-14</v>
      </c>
      <c r="GB176" s="13">
        <f t="shared" si="185"/>
        <v>6.9326303456159188E-13</v>
      </c>
      <c r="GC176" s="20">
        <f t="shared" si="186"/>
        <v>1.2800215959791691E-12</v>
      </c>
      <c r="GD176" s="59">
        <f t="shared" si="134"/>
        <v>293.33333333333462</v>
      </c>
      <c r="GE176" s="59">
        <f ca="1">AVERAGE(OFFSET($GD$3,0,0,'Données projet'!$E$17+1,1))-AVERAGE(OFFSET($H$3,0,0,'Données projet'!$E$17+1,1))</f>
        <v>178.12968684094687</v>
      </c>
      <c r="GF176" s="59">
        <f t="shared" si="158"/>
        <v>219.36004077210373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0.14586380374216582</v>
      </c>
      <c r="GN176" s="21">
        <f>EXP(-LN(2)/2)*GN175+(1-EXP(-LN(2)/2))/(LN(2)/2)*GH176*GK176*VLOOKUP('Données projet'!$B$17,Paramètres!$A$1:$I$89,3,0)*0.475*44/12</f>
        <v>2.9700116879832189E-21</v>
      </c>
      <c r="GO176" s="21">
        <f t="shared" si="187"/>
        <v>0.14586380374216582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5.6843418860808015E-14</v>
      </c>
      <c r="GV176" s="17">
        <f>GU176*VLOOKUP('Données projet'!$B$18,Paramètres!$A$1:$I$89,3,0)*VLOOKUP('Données projet'!$B$18,Paramètres!$A$1:$I$89,5,0)</f>
        <v>4.5224624045658861E-14</v>
      </c>
      <c r="GW176" s="13">
        <f t="shared" si="188"/>
        <v>7.4514601661523691E-13</v>
      </c>
      <c r="GX176" s="20">
        <f t="shared" si="189"/>
        <v>1.3765621991510601E-12</v>
      </c>
      <c r="GY176" s="59">
        <f t="shared" si="137"/>
        <v>293.33333333333468</v>
      </c>
      <c r="GZ176" s="59">
        <f ca="1">AVERAGE(OFFSET($GY$3,0,0,'Données projet'!$E$18+1,1))-AVERAGE(OFFSET($H$3,0,0,'Données projet'!$E$18+1,1))</f>
        <v>199.58763537752952</v>
      </c>
      <c r="HA176" s="59">
        <f t="shared" si="160"/>
        <v>242.62852778451929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0</v>
      </c>
      <c r="HH176" s="21">
        <f>EXP(-LN(2)/25)*HH175+(1-EXP(-LN(2)/25))/(LN(2)/25)*Calculateur!HC176*Calculateur!HE176*VLOOKUP('Données projet'!$B$18,Paramètres!$A$1:$I$89,3,0)*0.475*44/12</f>
        <v>0.19508652227366374</v>
      </c>
      <c r="HI176" s="21">
        <f>EXP(-LN(2)/2)*HI175+(1-EXP(-LN(2)/2))/(LN(2)/2)*HC176*HF176*VLOOKUP('Données projet'!$B$18,Paramètres!$A$1:$I$89,3,0)*0.475*44/12</f>
        <v>3.2227786401520063E-21</v>
      </c>
      <c r="HJ176" s="22">
        <f t="shared" si="190"/>
        <v>0.19508652227366374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-7.3896444519050419E-13</v>
      </c>
      <c r="O177" s="13">
        <f>N177*VLOOKUP('Données projet'!$B$9,Paramètres!$A$1:$I$89,3,0)*VLOOKUP('Données projet'!$B$9,Paramètres!$A$1:$I$89,5,0)</f>
        <v>-6.6861503000836817E-13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309.07357540707869</v>
      </c>
      <c r="T177" s="59">
        <f t="shared" si="142"/>
        <v>155.9593924683299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413.05128205128204</v>
      </c>
      <c r="AG177" s="12">
        <f>VLOOKUP(A177,'Données projet'!$A$61:$I$81,9,0)</f>
        <v>6.4179487179487182</v>
      </c>
      <c r="AH177" s="12">
        <f t="array" ref="AH177">INDEX(AG:AG,MIN(IF(ISNUMBER(AG177:AG373),ROW(AG177:AG373),"")))</f>
        <v>6.4179487179487182</v>
      </c>
      <c r="AI177" s="13">
        <f>IF('Données projet'!$A$62&gt;35,AI176+AH177-AQ176,IF(A177&lt;'Données projet'!$A$62,$AF$205^A177,IF(A177='Données projet'!$A$62,'Données projet'!$B$62,AI176+AH177-AQ176)))</f>
        <v>413.05128205128136</v>
      </c>
      <c r="AJ177" s="13">
        <f>AI177*VLOOKUP('Données projet'!$B$10,Paramètres!$A$1:$I$89,3,0)*VLOOKUP('Données projet'!$B$10,Paramètres!$A$1:$I$89,5,0)</f>
        <v>373.72879999999935</v>
      </c>
      <c r="AK177" s="13">
        <f t="shared" si="164"/>
        <v>86.429708237311118</v>
      </c>
      <c r="AL177" s="20">
        <f t="shared" si="165"/>
        <v>801.44273517998238</v>
      </c>
      <c r="AM177" s="59">
        <f t="shared" si="113"/>
        <v>1094.7760685133157</v>
      </c>
      <c r="AN177" s="59">
        <f ca="1">AVERAGE(OFFSET($AM$3,0,0,'Données projet'!$E$10+1,1))-AVERAGE(OFFSET($H$3,0,0,'Données projet'!$E$10+1,1))</f>
        <v>234.30804102916278</v>
      </c>
      <c r="AO177" s="59">
        <f t="shared" si="144"/>
        <v>91.137993288782411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162.38461538461539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3.4106051316484809E-13</v>
      </c>
      <c r="BE177" s="13">
        <f>BD177*VLOOKUP('Données projet'!$B$11,Paramètres!$A$1:$I$89,3,0)*VLOOKUP('Données projet'!$B$11,Paramètres!$A$1:$I$89,5,0)</f>
        <v>1.5961632016114892E-13</v>
      </c>
      <c r="BF177" s="13">
        <f t="shared" si="167"/>
        <v>2.2708641912150958E-12</v>
      </c>
      <c r="BG177" s="20">
        <f t="shared" si="168"/>
        <v>4.2330868906469593E-12</v>
      </c>
      <c r="BH177" s="59">
        <f t="shared" si="116"/>
        <v>293.33333333333752</v>
      </c>
      <c r="BI177" s="59">
        <f ca="1">AVERAGE(OFFSET($BH$3,0,0,'Données projet'!$E$11+1,1))-AVERAGE(OFFSET($H$3,0,0,'Données projet'!$E$11+1,1))</f>
        <v>158.58786357608489</v>
      </c>
      <c r="BJ177" s="59">
        <f t="shared" si="146"/>
        <v>163.20074068819849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5.6843418860808015E-13</v>
      </c>
      <c r="BZ177" s="13">
        <f>BY177*VLOOKUP('Données projet'!$B$12,Paramètres!$A$1:$I$89,3,0)*VLOOKUP('Données projet'!$B$12,Paramètres!$A$1:$I$89,5,0)</f>
        <v>2.6602720026858149E-13</v>
      </c>
      <c r="CA177" s="13">
        <f t="shared" si="170"/>
        <v>3.5662905043956649E-12</v>
      </c>
      <c r="CB177" s="20">
        <f t="shared" si="171"/>
        <v>6.6746200022902298E-12</v>
      </c>
      <c r="CC177" s="59">
        <f t="shared" si="119"/>
        <v>293.33333333333997</v>
      </c>
      <c r="CD177" s="59">
        <f ca="1">AVERAGE(OFFSET($CC$3,0,0,'Données projet'!$E$12+1,1))-AVERAGE(OFFSET($H$3,0,0,'Données projet'!$E$12+1,1))</f>
        <v>123.2823358462245</v>
      </c>
      <c r="CE177" s="59">
        <f t="shared" si="148"/>
        <v>92.75115399786057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-2.8421709430404007E-13</v>
      </c>
      <c r="CU177" s="17">
        <f>CT177*VLOOKUP('Données projet'!$B$13,Paramètres!$A$1:$I$89,3,0)*VLOOKUP('Données projet'!$B$13,Paramètres!$A$1:$I$89,5,0)</f>
        <v>-1.69961822393816E-13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179.32848817523677</v>
      </c>
      <c r="CZ177" s="59">
        <f t="shared" si="150"/>
        <v>131.3292389103035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0.24321212455500324</v>
      </c>
      <c r="DH177" s="21">
        <f>EXP(-LN(2)/2)*DH176+(1-EXP(-LN(2)/2))/(LN(2)/2)*DB177*DE177*VLOOKUP('Données projet'!$B$13,Paramètres!$A$1:$I$89,3,0)*0.475*44/12</f>
        <v>1.1144559399056524E-21</v>
      </c>
      <c r="DI177" s="22">
        <f t="shared" si="175"/>
        <v>0.24321212455500324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-7.3896444519050419E-13</v>
      </c>
      <c r="DP177" s="17">
        <f>DO177*VLOOKUP('Données projet'!$B$14,Paramètres!$A$1:$I$89,3,0)*VLOOKUP('Données projet'!$B$14,Paramètres!$A$1:$I$89,5,0)</f>
        <v>-7.147264113882557E-13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340.4659523898373</v>
      </c>
      <c r="DU177" s="59">
        <f t="shared" si="152"/>
        <v>170.54530785680572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>
        <f>VLOOKUP(A177,'Données projet'!$A$191:$I$211,2,0)</f>
        <v>413.05128205128204</v>
      </c>
      <c r="EH177" s="12">
        <f>VLOOKUP(A177,'Données projet'!$A$191:$I$211,9,0)</f>
        <v>6.4179487179487182</v>
      </c>
      <c r="EI177" s="12">
        <f t="array" ref="EI177">INDEX(EH:EH,MIN(IF(ISNUMBER(EH177:EH373),ROW(EH177:EH373),"")))</f>
        <v>6.4179487179487182</v>
      </c>
      <c r="EJ177" s="12">
        <f>IF('Données projet'!$A$192&gt;35,EJ176+EI177-ER176,IF(A177&lt;'Données projet'!$A$192,$EG$205^A177,IF(A177='Données projet'!$A$192,'Données projet'!$B$192,EJ176+EI177-ER176)))</f>
        <v>413.05128205128136</v>
      </c>
      <c r="EK177" s="17">
        <f>EJ177*VLOOKUP('Données projet'!$B$15,Paramètres!$A$1:$I$89,3,0)*VLOOKUP('Données projet'!$B$15,Paramètres!$A$1:$I$89,5,0)</f>
        <v>399.50319999999931</v>
      </c>
      <c r="EL177" s="13">
        <f t="shared" si="179"/>
        <v>91.675939361650791</v>
      </c>
      <c r="EM177" s="20">
        <f t="shared" si="180"/>
        <v>855.47033438820711</v>
      </c>
      <c r="EN177" s="59">
        <f t="shared" si="128"/>
        <v>1148.8036677215405</v>
      </c>
      <c r="EO177" s="59">
        <f ca="1">AVERAGE(OFFSET($EN$3,0,0,'Données projet'!$E$15+1,1))-AVERAGE(OFFSET($H$3,0,0,'Données projet'!$E$15+1,1))</f>
        <v>262.20955982183017</v>
      </c>
      <c r="EP177" s="59">
        <f t="shared" si="154"/>
        <v>101.35842063036193</v>
      </c>
      <c r="EQ177" s="15">
        <f>IF(ISNA(VLOOKUP(A177,'Données projet'!$A$191:$I$211,3,0)),0,VLOOKUP(A177,'Données projet'!$A$191:$I$211,3,0))</f>
        <v>15</v>
      </c>
      <c r="ER177" s="15">
        <f>IF(ISNA(VLOOKUP(A177,'Données projet'!$A$191:$I$211,4,0)),0,VLOOKUP(A177,'Données projet'!$A$191:$I$211,4,0))</f>
        <v>162.38461538461539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5.6843418860808015E-14</v>
      </c>
      <c r="FF177" s="17">
        <f>FE177*VLOOKUP('Données projet'!$B$16,Paramètres!$A$1:$I$89,3,0)*VLOOKUP('Données projet'!$B$16,Paramètres!$A$1:$I$89,5,0)</f>
        <v>4.5224624045658861E-14</v>
      </c>
      <c r="FG177" s="13">
        <f t="shared" si="182"/>
        <v>7.4514601661523691E-13</v>
      </c>
      <c r="FH177" s="20">
        <f t="shared" si="183"/>
        <v>1.3765621991510601E-12</v>
      </c>
      <c r="FI177" s="59">
        <f t="shared" si="131"/>
        <v>293.33333333333468</v>
      </c>
      <c r="FJ177" s="59">
        <f ca="1">AVERAGE(OFFSET($FI$3,0,0,'Données projet'!$E$16+1,1))-AVERAGE(OFFSET($H$3,0,0,'Données projet'!$E$16+1,1))</f>
        <v>199.58763537752952</v>
      </c>
      <c r="FK177" s="59">
        <f t="shared" si="156"/>
        <v>242.62852778451929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0.18975187106293609</v>
      </c>
      <c r="FS177" s="21">
        <f>EXP(-LN(2)/2)*FS176+(1-EXP(-LN(2)/2))/(LN(2)/2)*FM177*FP177*VLOOKUP('Données projet'!$B$16,Paramètres!$A$1:$I$89,3,0)*0.475*44/12</f>
        <v>2.2788486307146439E-21</v>
      </c>
      <c r="FT177" s="22">
        <f t="shared" si="184"/>
        <v>0.18975187106293609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5.6843418860808015E-14</v>
      </c>
      <c r="GA177" s="17">
        <f>FZ177*VLOOKUP('Données projet'!$B$17,Paramètres!$A$1:$I$89,3,0)*VLOOKUP('Données projet'!$B$17,Paramètres!$A$1:$I$89,5,0)</f>
        <v>4.1677594708744434E-14</v>
      </c>
      <c r="GB177" s="13">
        <f t="shared" si="185"/>
        <v>6.9326303456159188E-13</v>
      </c>
      <c r="GC177" s="20">
        <f t="shared" si="186"/>
        <v>1.2800215959791691E-12</v>
      </c>
      <c r="GD177" s="59">
        <f t="shared" si="134"/>
        <v>293.33333333333462</v>
      </c>
      <c r="GE177" s="59">
        <f ca="1">AVERAGE(OFFSET($GD$3,0,0,'Données projet'!$E$17+1,1))-AVERAGE(OFFSET($H$3,0,0,'Données projet'!$E$17+1,1))</f>
        <v>178.12968684094687</v>
      </c>
      <c r="GF177" s="59">
        <f t="shared" si="158"/>
        <v>219.36004077210373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0.14187515035819223</v>
      </c>
      <c r="GN177" s="21">
        <f>EXP(-LN(2)/2)*GN176+(1-EXP(-LN(2)/2))/(LN(2)/2)*GH177*GK177*VLOOKUP('Données projet'!$B$17,Paramètres!$A$1:$I$89,3,0)*0.475*44/12</f>
        <v>2.1001154047762386E-21</v>
      </c>
      <c r="GO177" s="21">
        <f t="shared" si="187"/>
        <v>0.14187515035819223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5.6843418860808015E-14</v>
      </c>
      <c r="GV177" s="17">
        <f>GU177*VLOOKUP('Données projet'!$B$18,Paramètres!$A$1:$I$89,3,0)*VLOOKUP('Données projet'!$B$18,Paramètres!$A$1:$I$89,5,0)</f>
        <v>4.5224624045658861E-14</v>
      </c>
      <c r="GW177" s="13">
        <f t="shared" si="188"/>
        <v>7.4514601661523691E-13</v>
      </c>
      <c r="GX177" s="20">
        <f t="shared" si="189"/>
        <v>1.3765621991510601E-12</v>
      </c>
      <c r="GY177" s="59">
        <f t="shared" si="137"/>
        <v>293.33333333333468</v>
      </c>
      <c r="GZ177" s="59">
        <f ca="1">AVERAGE(OFFSET($GY$3,0,0,'Données projet'!$E$18+1,1))-AVERAGE(OFFSET($H$3,0,0,'Données projet'!$E$18+1,1))</f>
        <v>199.58763537752952</v>
      </c>
      <c r="HA177" s="59">
        <f t="shared" si="160"/>
        <v>242.62852778451929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0</v>
      </c>
      <c r="HH177" s="21">
        <f>EXP(-LN(2)/25)*HH176+(1-EXP(-LN(2)/25))/(LN(2)/25)*Calculateur!HC177*Calculateur!HE177*VLOOKUP('Données projet'!$B$18,Paramètres!$A$1:$I$89,3,0)*0.475*44/12</f>
        <v>0.18975187106293609</v>
      </c>
      <c r="HI177" s="21">
        <f>EXP(-LN(2)/2)*HI176+(1-EXP(-LN(2)/2))/(LN(2)/2)*HC177*HF177*VLOOKUP('Données projet'!$B$18,Paramètres!$A$1:$I$89,3,0)*0.475*44/12</f>
        <v>2.2788486307146439E-21</v>
      </c>
      <c r="HJ177" s="22">
        <f t="shared" si="190"/>
        <v>0.18975187106293609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-7.3896444519050419E-13</v>
      </c>
      <c r="O178" s="13">
        <f>N178*VLOOKUP('Données projet'!$B$9,Paramètres!$A$1:$I$89,3,0)*VLOOKUP('Données projet'!$B$9,Paramètres!$A$1:$I$89,5,0)</f>
        <v>-6.6861503000836817E-13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309.07357540707869</v>
      </c>
      <c r="T178" s="59">
        <f t="shared" si="142"/>
        <v>155.9593924683299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4.0982905982905988</v>
      </c>
      <c r="AI178" s="13">
        <f>IF('Données projet'!$A$62&gt;35,AI177+AH178-AQ177,IF(A178&lt;'Données projet'!$A$62,$AF$205^A178,IF(A178='Données projet'!$A$62,'Données projet'!$B$62,AI177+AH178-AQ177)))</f>
        <v>254.76495726495656</v>
      </c>
      <c r="AJ178" s="13">
        <f>AI178*VLOOKUP('Données projet'!$B$10,Paramètres!$A$1:$I$89,3,0)*VLOOKUP('Données projet'!$B$10,Paramètres!$A$1:$I$89,5,0)</f>
        <v>230.51133333333269</v>
      </c>
      <c r="AK178" s="13">
        <f t="shared" si="164"/>
        <v>56.393229459006569</v>
      </c>
      <c r="AL178" s="20">
        <f t="shared" si="165"/>
        <v>499.69211352999099</v>
      </c>
      <c r="AM178" s="59">
        <f t="shared" si="113"/>
        <v>793.02544686332431</v>
      </c>
      <c r="AN178" s="59">
        <f ca="1">AVERAGE(OFFSET($AM$3,0,0,'Données projet'!$E$10+1,1))-AVERAGE(OFFSET($H$3,0,0,'Données projet'!$E$10+1,1))</f>
        <v>234.30804102916278</v>
      </c>
      <c r="AO178" s="59">
        <f t="shared" si="144"/>
        <v>91.137993288782411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3.4106051316484809E-13</v>
      </c>
      <c r="BE178" s="13">
        <f>BD178*VLOOKUP('Données projet'!$B$11,Paramètres!$A$1:$I$89,3,0)*VLOOKUP('Données projet'!$B$11,Paramètres!$A$1:$I$89,5,0)</f>
        <v>1.5961632016114892E-13</v>
      </c>
      <c r="BF178" s="13">
        <f t="shared" si="167"/>
        <v>2.2708641912150958E-12</v>
      </c>
      <c r="BG178" s="20">
        <f t="shared" si="168"/>
        <v>4.2330868906469593E-12</v>
      </c>
      <c r="BH178" s="59">
        <f t="shared" si="116"/>
        <v>293.33333333333752</v>
      </c>
      <c r="BI178" s="59">
        <f ca="1">AVERAGE(OFFSET($BH$3,0,0,'Données projet'!$E$11+1,1))-AVERAGE(OFFSET($H$3,0,0,'Données projet'!$E$11+1,1))</f>
        <v>158.58786357608489</v>
      </c>
      <c r="BJ178" s="59">
        <f t="shared" si="146"/>
        <v>163.20074068819849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5.6843418860808015E-13</v>
      </c>
      <c r="BZ178" s="13">
        <f>BY178*VLOOKUP('Données projet'!$B$12,Paramètres!$A$1:$I$89,3,0)*VLOOKUP('Données projet'!$B$12,Paramètres!$A$1:$I$89,5,0)</f>
        <v>2.6602720026858149E-13</v>
      </c>
      <c r="CA178" s="13">
        <f t="shared" si="170"/>
        <v>3.5662905043956649E-12</v>
      </c>
      <c r="CB178" s="20">
        <f t="shared" si="171"/>
        <v>6.6746200022902298E-12</v>
      </c>
      <c r="CC178" s="59">
        <f t="shared" si="119"/>
        <v>293.33333333333997</v>
      </c>
      <c r="CD178" s="59">
        <f ca="1">AVERAGE(OFFSET($CC$3,0,0,'Données projet'!$E$12+1,1))-AVERAGE(OFFSET($H$3,0,0,'Données projet'!$E$12+1,1))</f>
        <v>123.2823358462245</v>
      </c>
      <c r="CE178" s="59">
        <f t="shared" si="148"/>
        <v>92.75115399786057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-2.8421709430404007E-13</v>
      </c>
      <c r="CU178" s="17">
        <f>CT178*VLOOKUP('Données projet'!$B$13,Paramètres!$A$1:$I$89,3,0)*VLOOKUP('Données projet'!$B$13,Paramètres!$A$1:$I$89,5,0)</f>
        <v>-1.69961822393816E-13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179.32848817523677</v>
      </c>
      <c r="CZ178" s="59">
        <f t="shared" si="150"/>
        <v>131.3292389103035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0.23656147621907692</v>
      </c>
      <c r="DH178" s="21">
        <f>EXP(-LN(2)/2)*DH177+(1-EXP(-LN(2)/2))/(LN(2)/2)*DB178*DE178*VLOOKUP('Données projet'!$B$13,Paramètres!$A$1:$I$89,3,0)*0.475*44/12</f>
        <v>7.8803935244091432E-22</v>
      </c>
      <c r="DI178" s="22">
        <f t="shared" si="175"/>
        <v>0.23656147621907692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-7.3896444519050419E-13</v>
      </c>
      <c r="DP178" s="17">
        <f>DO178*VLOOKUP('Données projet'!$B$14,Paramètres!$A$1:$I$89,3,0)*VLOOKUP('Données projet'!$B$14,Paramètres!$A$1:$I$89,5,0)</f>
        <v>-7.147264113882557E-13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340.4659523898373</v>
      </c>
      <c r="DU178" s="59">
        <f t="shared" si="152"/>
        <v>170.54530785680572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4.0982905982905988</v>
      </c>
      <c r="EJ178" s="12">
        <f>IF('Données projet'!$A$192&gt;35,EJ177+EI178-ER177,IF(A178&lt;'Données projet'!$A$192,$EG$205^A178,IF(A178='Données projet'!$A$192,'Données projet'!$B$192,EJ177+EI178-ER177)))</f>
        <v>254.76495726495656</v>
      </c>
      <c r="EK178" s="17">
        <f>EJ178*VLOOKUP('Données projet'!$B$15,Paramètres!$A$1:$I$89,3,0)*VLOOKUP('Données projet'!$B$15,Paramètres!$A$1:$I$89,5,0)</f>
        <v>246.40866666666599</v>
      </c>
      <c r="EL178" s="13">
        <f t="shared" si="179"/>
        <v>59.81626445037255</v>
      </c>
      <c r="EM178" s="20">
        <f t="shared" si="180"/>
        <v>533.34175502884204</v>
      </c>
      <c r="EN178" s="59">
        <f t="shared" si="128"/>
        <v>826.6750883621753</v>
      </c>
      <c r="EO178" s="59">
        <f ca="1">AVERAGE(OFFSET($EN$3,0,0,'Données projet'!$E$15+1,1))-AVERAGE(OFFSET($H$3,0,0,'Données projet'!$E$15+1,1))</f>
        <v>262.20955982183017</v>
      </c>
      <c r="EP178" s="59">
        <f t="shared" si="154"/>
        <v>101.35842063036193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5.6843418860808015E-14</v>
      </c>
      <c r="FF178" s="17">
        <f>FE178*VLOOKUP('Données projet'!$B$16,Paramètres!$A$1:$I$89,3,0)*VLOOKUP('Données projet'!$B$16,Paramètres!$A$1:$I$89,5,0)</f>
        <v>4.5224624045658861E-14</v>
      </c>
      <c r="FG178" s="13">
        <f t="shared" si="182"/>
        <v>7.4514601661523691E-13</v>
      </c>
      <c r="FH178" s="20">
        <f t="shared" si="183"/>
        <v>1.3765621991510601E-12</v>
      </c>
      <c r="FI178" s="59">
        <f t="shared" si="131"/>
        <v>293.33333333333468</v>
      </c>
      <c r="FJ178" s="59">
        <f ca="1">AVERAGE(OFFSET($FI$3,0,0,'Données projet'!$E$16+1,1))-AVERAGE(OFFSET($H$3,0,0,'Données projet'!$E$16+1,1))</f>
        <v>199.58763537752952</v>
      </c>
      <c r="FK178" s="59">
        <f t="shared" si="156"/>
        <v>242.62852778451929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0.18456309617010289</v>
      </c>
      <c r="FS178" s="21">
        <f>EXP(-LN(2)/2)*FS177+(1-EXP(-LN(2)/2))/(LN(2)/2)*FM178*FP178*VLOOKUP('Données projet'!$B$16,Paramètres!$A$1:$I$89,3,0)*0.475*44/12</f>
        <v>1.6113893200760032E-21</v>
      </c>
      <c r="FT178" s="22">
        <f t="shared" si="184"/>
        <v>0.18456309617010289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5.6843418860808015E-14</v>
      </c>
      <c r="GA178" s="17">
        <f>FZ178*VLOOKUP('Données projet'!$B$17,Paramètres!$A$1:$I$89,3,0)*VLOOKUP('Données projet'!$B$17,Paramètres!$A$1:$I$89,5,0)</f>
        <v>4.1677594708744434E-14</v>
      </c>
      <c r="GB178" s="13">
        <f t="shared" si="185"/>
        <v>6.9326303456159188E-13</v>
      </c>
      <c r="GC178" s="20">
        <f t="shared" si="186"/>
        <v>1.2800215959791691E-12</v>
      </c>
      <c r="GD178" s="59">
        <f t="shared" si="134"/>
        <v>293.33333333333462</v>
      </c>
      <c r="GE178" s="59">
        <f ca="1">AVERAGE(OFFSET($GD$3,0,0,'Données projet'!$E$17+1,1))-AVERAGE(OFFSET($H$3,0,0,'Données projet'!$E$17+1,1))</f>
        <v>178.12968684094687</v>
      </c>
      <c r="GF178" s="59">
        <f t="shared" si="158"/>
        <v>219.36004077210373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0.13799556691075757</v>
      </c>
      <c r="GN178" s="21">
        <f>EXP(-LN(2)/2)*GN177+(1-EXP(-LN(2)/2))/(LN(2)/2)*GH178*GK178*VLOOKUP('Données projet'!$B$17,Paramètres!$A$1:$I$89,3,0)*0.475*44/12</f>
        <v>1.4850058439916095E-21</v>
      </c>
      <c r="GO178" s="21">
        <f t="shared" si="187"/>
        <v>0.13799556691075757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5.6843418860808015E-14</v>
      </c>
      <c r="GV178" s="17">
        <f>GU178*VLOOKUP('Données projet'!$B$18,Paramètres!$A$1:$I$89,3,0)*VLOOKUP('Données projet'!$B$18,Paramètres!$A$1:$I$89,5,0)</f>
        <v>4.5224624045658861E-14</v>
      </c>
      <c r="GW178" s="13">
        <f t="shared" si="188"/>
        <v>7.4514601661523691E-13</v>
      </c>
      <c r="GX178" s="20">
        <f t="shared" si="189"/>
        <v>1.3765621991510601E-12</v>
      </c>
      <c r="GY178" s="59">
        <f t="shared" si="137"/>
        <v>293.33333333333468</v>
      </c>
      <c r="GZ178" s="59">
        <f ca="1">AVERAGE(OFFSET($GY$3,0,0,'Données projet'!$E$18+1,1))-AVERAGE(OFFSET($H$3,0,0,'Données projet'!$E$18+1,1))</f>
        <v>199.58763537752952</v>
      </c>
      <c r="HA178" s="59">
        <f t="shared" si="160"/>
        <v>242.62852778451929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0</v>
      </c>
      <c r="HH178" s="21">
        <f>EXP(-LN(2)/25)*HH177+(1-EXP(-LN(2)/25))/(LN(2)/25)*Calculateur!HC178*Calculateur!HE178*VLOOKUP('Données projet'!$B$18,Paramètres!$A$1:$I$89,3,0)*0.475*44/12</f>
        <v>0.18456309617010289</v>
      </c>
      <c r="HI178" s="21">
        <f>EXP(-LN(2)/2)*HI177+(1-EXP(-LN(2)/2))/(LN(2)/2)*HC178*HF178*VLOOKUP('Données projet'!$B$18,Paramètres!$A$1:$I$89,3,0)*0.475*44/12</f>
        <v>1.6113893200760032E-21</v>
      </c>
      <c r="HJ178" s="22">
        <f t="shared" si="190"/>
        <v>0.18456309617010289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-7.3896444519050419E-13</v>
      </c>
      <c r="O179" s="13">
        <f>N179*VLOOKUP('Données projet'!$B$9,Paramètres!$A$1:$I$89,3,0)*VLOOKUP('Données projet'!$B$9,Paramètres!$A$1:$I$89,5,0)</f>
        <v>-6.6861503000836817E-13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309.07357540707869</v>
      </c>
      <c r="T179" s="59">
        <f t="shared" si="142"/>
        <v>155.9593924683299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4.0982905982905988</v>
      </c>
      <c r="AI179" s="13">
        <f>IF('Données projet'!$A$62&gt;35,AI178+AH179-AQ178,IF(A179&lt;'Données projet'!$A$62,$AF$205^A179,IF(A179='Données projet'!$A$62,'Données projet'!$B$62,AI178+AH179-AQ178)))</f>
        <v>258.86324786324718</v>
      </c>
      <c r="AJ179" s="13">
        <f>AI179*VLOOKUP('Données projet'!$B$10,Paramètres!$A$1:$I$89,3,0)*VLOOKUP('Données projet'!$B$10,Paramètres!$A$1:$I$89,5,0)</f>
        <v>234.21946666666602</v>
      </c>
      <c r="AK179" s="13">
        <f t="shared" si="164"/>
        <v>57.194061341064028</v>
      </c>
      <c r="AL179" s="20">
        <f t="shared" si="165"/>
        <v>507.54522794679656</v>
      </c>
      <c r="AM179" s="59">
        <f t="shared" si="113"/>
        <v>800.87856128012982</v>
      </c>
      <c r="AN179" s="59">
        <f ca="1">AVERAGE(OFFSET($AM$3,0,0,'Données projet'!$E$10+1,1))-AVERAGE(OFFSET($H$3,0,0,'Données projet'!$E$10+1,1))</f>
        <v>234.30804102916278</v>
      </c>
      <c r="AO179" s="59">
        <f t="shared" si="144"/>
        <v>91.137993288782411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3.4106051316484809E-13</v>
      </c>
      <c r="BE179" s="13">
        <f>BD179*VLOOKUP('Données projet'!$B$11,Paramètres!$A$1:$I$89,3,0)*VLOOKUP('Données projet'!$B$11,Paramètres!$A$1:$I$89,5,0)</f>
        <v>1.5961632016114892E-13</v>
      </c>
      <c r="BF179" s="13">
        <f t="shared" si="167"/>
        <v>2.2708641912150958E-12</v>
      </c>
      <c r="BG179" s="20">
        <f t="shared" si="168"/>
        <v>4.2330868906469593E-12</v>
      </c>
      <c r="BH179" s="59">
        <f t="shared" si="116"/>
        <v>293.33333333333752</v>
      </c>
      <c r="BI179" s="59">
        <f ca="1">AVERAGE(OFFSET($BH$3,0,0,'Données projet'!$E$11+1,1))-AVERAGE(OFFSET($H$3,0,0,'Données projet'!$E$11+1,1))</f>
        <v>158.58786357608489</v>
      </c>
      <c r="BJ179" s="59">
        <f t="shared" si="146"/>
        <v>163.20074068819849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5.6843418860808015E-13</v>
      </c>
      <c r="BZ179" s="13">
        <f>BY179*VLOOKUP('Données projet'!$B$12,Paramètres!$A$1:$I$89,3,0)*VLOOKUP('Données projet'!$B$12,Paramètres!$A$1:$I$89,5,0)</f>
        <v>2.6602720026858149E-13</v>
      </c>
      <c r="CA179" s="13">
        <f t="shared" si="170"/>
        <v>3.5662905043956649E-12</v>
      </c>
      <c r="CB179" s="20">
        <f t="shared" si="171"/>
        <v>6.6746200022902298E-12</v>
      </c>
      <c r="CC179" s="59">
        <f t="shared" si="119"/>
        <v>293.33333333333997</v>
      </c>
      <c r="CD179" s="59">
        <f ca="1">AVERAGE(OFFSET($CC$3,0,0,'Données projet'!$E$12+1,1))-AVERAGE(OFFSET($H$3,0,0,'Données projet'!$E$12+1,1))</f>
        <v>123.2823358462245</v>
      </c>
      <c r="CE179" s="59">
        <f t="shared" si="148"/>
        <v>92.75115399786057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-2.8421709430404007E-13</v>
      </c>
      <c r="CU179" s="17">
        <f>CT179*VLOOKUP('Données projet'!$B$13,Paramètres!$A$1:$I$89,3,0)*VLOOKUP('Données projet'!$B$13,Paramètres!$A$1:$I$89,5,0)</f>
        <v>-1.69961822393816E-13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179.32848817523677</v>
      </c>
      <c r="CZ179" s="59">
        <f t="shared" si="150"/>
        <v>131.3292389103035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0.23009269021163889</v>
      </c>
      <c r="DH179" s="21">
        <f>EXP(-LN(2)/2)*DH178+(1-EXP(-LN(2)/2))/(LN(2)/2)*DB179*DE179*VLOOKUP('Données projet'!$B$13,Paramètres!$A$1:$I$89,3,0)*0.475*44/12</f>
        <v>5.5722796995282621E-22</v>
      </c>
      <c r="DI179" s="22">
        <f t="shared" si="175"/>
        <v>0.23009269021163889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-7.3896444519050419E-13</v>
      </c>
      <c r="DP179" s="17">
        <f>DO179*VLOOKUP('Données projet'!$B$14,Paramètres!$A$1:$I$89,3,0)*VLOOKUP('Données projet'!$B$14,Paramètres!$A$1:$I$89,5,0)</f>
        <v>-7.147264113882557E-13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340.4659523898373</v>
      </c>
      <c r="DU179" s="59">
        <f t="shared" si="152"/>
        <v>170.54530785680572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4.0982905982905988</v>
      </c>
      <c r="EJ179" s="12">
        <f>IF('Données projet'!$A$192&gt;35,EJ178+EI179-ER178,IF(A179&lt;'Données projet'!$A$192,$EG$205^A179,IF(A179='Données projet'!$A$192,'Données projet'!$B$192,EJ178+EI179-ER178)))</f>
        <v>258.86324786324718</v>
      </c>
      <c r="EK179" s="17">
        <f>EJ179*VLOOKUP('Données projet'!$B$15,Paramètres!$A$1:$I$89,3,0)*VLOOKUP('Données projet'!$B$15,Paramètres!$A$1:$I$89,5,0)</f>
        <v>250.37253333333268</v>
      </c>
      <c r="EL179" s="13">
        <f t="shared" si="179"/>
        <v>60.66570634431941</v>
      </c>
      <c r="EM179" s="20">
        <f t="shared" si="180"/>
        <v>541.72493410524396</v>
      </c>
      <c r="EN179" s="59">
        <f t="shared" si="128"/>
        <v>835.05826743857733</v>
      </c>
      <c r="EO179" s="59">
        <f ca="1">AVERAGE(OFFSET($EN$3,0,0,'Données projet'!$E$15+1,1))-AVERAGE(OFFSET($H$3,0,0,'Données projet'!$E$15+1,1))</f>
        <v>262.20955982183017</v>
      </c>
      <c r="EP179" s="59">
        <f t="shared" si="154"/>
        <v>101.35842063036193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5.6843418860808015E-14</v>
      </c>
      <c r="FF179" s="17">
        <f>FE179*VLOOKUP('Données projet'!$B$16,Paramètres!$A$1:$I$89,3,0)*VLOOKUP('Données projet'!$B$16,Paramètres!$A$1:$I$89,5,0)</f>
        <v>4.5224624045658861E-14</v>
      </c>
      <c r="FG179" s="13">
        <f t="shared" si="182"/>
        <v>7.4514601661523691E-13</v>
      </c>
      <c r="FH179" s="20">
        <f t="shared" si="183"/>
        <v>1.3765621991510601E-12</v>
      </c>
      <c r="FI179" s="59">
        <f t="shared" si="131"/>
        <v>293.33333333333468</v>
      </c>
      <c r="FJ179" s="59">
        <f ca="1">AVERAGE(OFFSET($FI$3,0,0,'Données projet'!$E$16+1,1))-AVERAGE(OFFSET($H$3,0,0,'Données projet'!$E$16+1,1))</f>
        <v>199.58763537752952</v>
      </c>
      <c r="FK179" s="59">
        <f t="shared" si="156"/>
        <v>242.62852778451929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0.17951620859958001</v>
      </c>
      <c r="FS179" s="21">
        <f>EXP(-LN(2)/2)*FS178+(1-EXP(-LN(2)/2))/(LN(2)/2)*FM179*FP179*VLOOKUP('Données projet'!$B$16,Paramètres!$A$1:$I$89,3,0)*0.475*44/12</f>
        <v>1.139424315357322E-21</v>
      </c>
      <c r="FT179" s="22">
        <f t="shared" si="184"/>
        <v>0.17951620859958001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5.6843418860808015E-14</v>
      </c>
      <c r="GA179" s="17">
        <f>FZ179*VLOOKUP('Données projet'!$B$17,Paramètres!$A$1:$I$89,3,0)*VLOOKUP('Données projet'!$B$17,Paramètres!$A$1:$I$89,5,0)</f>
        <v>4.1677594708744434E-14</v>
      </c>
      <c r="GB179" s="13">
        <f t="shared" si="185"/>
        <v>6.9326303456159188E-13</v>
      </c>
      <c r="GC179" s="20">
        <f t="shared" si="186"/>
        <v>1.2800215959791691E-12</v>
      </c>
      <c r="GD179" s="59">
        <f t="shared" si="134"/>
        <v>293.33333333333462</v>
      </c>
      <c r="GE179" s="59">
        <f ca="1">AVERAGE(OFFSET($GD$3,0,0,'Données projet'!$E$17+1,1))-AVERAGE(OFFSET($H$3,0,0,'Données projet'!$E$17+1,1))</f>
        <v>178.12968684094687</v>
      </c>
      <c r="GF179" s="59">
        <f t="shared" si="158"/>
        <v>219.36004077210373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0.13422207087671142</v>
      </c>
      <c r="GN179" s="21">
        <f>EXP(-LN(2)/2)*GN178+(1-EXP(-LN(2)/2))/(LN(2)/2)*GH179*GK179*VLOOKUP('Données projet'!$B$17,Paramètres!$A$1:$I$89,3,0)*0.475*44/12</f>
        <v>1.0500577023881193E-21</v>
      </c>
      <c r="GO179" s="21">
        <f t="shared" si="187"/>
        <v>0.13422207087671142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5.6843418860808015E-14</v>
      </c>
      <c r="GV179" s="17">
        <f>GU179*VLOOKUP('Données projet'!$B$18,Paramètres!$A$1:$I$89,3,0)*VLOOKUP('Données projet'!$B$18,Paramètres!$A$1:$I$89,5,0)</f>
        <v>4.5224624045658861E-14</v>
      </c>
      <c r="GW179" s="13">
        <f t="shared" si="188"/>
        <v>7.4514601661523691E-13</v>
      </c>
      <c r="GX179" s="20">
        <f t="shared" si="189"/>
        <v>1.3765621991510601E-12</v>
      </c>
      <c r="GY179" s="59">
        <f t="shared" si="137"/>
        <v>293.33333333333468</v>
      </c>
      <c r="GZ179" s="59">
        <f ca="1">AVERAGE(OFFSET($GY$3,0,0,'Données projet'!$E$18+1,1))-AVERAGE(OFFSET($H$3,0,0,'Données projet'!$E$18+1,1))</f>
        <v>199.58763537752952</v>
      </c>
      <c r="HA179" s="59">
        <f t="shared" si="160"/>
        <v>242.62852778451929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0</v>
      </c>
      <c r="HH179" s="21">
        <f>EXP(-LN(2)/25)*HH178+(1-EXP(-LN(2)/25))/(LN(2)/25)*Calculateur!HC179*Calculateur!HE179*VLOOKUP('Données projet'!$B$18,Paramètres!$A$1:$I$89,3,0)*0.475*44/12</f>
        <v>0.17951620859958001</v>
      </c>
      <c r="HI179" s="21">
        <f>EXP(-LN(2)/2)*HI178+(1-EXP(-LN(2)/2))/(LN(2)/2)*HC179*HF179*VLOOKUP('Données projet'!$B$18,Paramètres!$A$1:$I$89,3,0)*0.475*44/12</f>
        <v>1.139424315357322E-21</v>
      </c>
      <c r="HJ179" s="22">
        <f t="shared" si="190"/>
        <v>0.17951620859958001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-7.3896444519050419E-13</v>
      </c>
      <c r="O180" s="13">
        <f>N180*VLOOKUP('Données projet'!$B$9,Paramètres!$A$1:$I$89,3,0)*VLOOKUP('Données projet'!$B$9,Paramètres!$A$1:$I$89,5,0)</f>
        <v>-6.6861503000836817E-13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309.07357540707869</v>
      </c>
      <c r="T180" s="59">
        <f t="shared" si="142"/>
        <v>155.9593924683299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262.96153846153845</v>
      </c>
      <c r="AG180" s="12">
        <f>VLOOKUP(A180,'Données projet'!$A$61:$I$81,9,0)</f>
        <v>4.0982905982905988</v>
      </c>
      <c r="AH180" s="12">
        <f t="array" ref="AH180">INDEX(AG:AG,MIN(IF(ISNUMBER(AG180:AG376),ROW(AG180:AG376),"")))</f>
        <v>4.0982905982905988</v>
      </c>
      <c r="AI180" s="13">
        <f>IF('Données projet'!$A$62&gt;35,AI179+AH180-AQ179,IF(A180&lt;'Données projet'!$A$62,$AF$205^A180,IF(A180='Données projet'!$A$62,'Données projet'!$B$62,AI179+AH180-AQ179)))</f>
        <v>262.96153846153777</v>
      </c>
      <c r="AJ180" s="13">
        <f>AI180*VLOOKUP('Données projet'!$B$10,Paramètres!$A$1:$I$89,3,0)*VLOOKUP('Données projet'!$B$10,Paramètres!$A$1:$I$89,5,0)</f>
        <v>237.92759999999939</v>
      </c>
      <c r="AK180" s="13">
        <f t="shared" si="164"/>
        <v>57.99341871975939</v>
      </c>
      <c r="AL180" s="20">
        <f t="shared" si="165"/>
        <v>515.39577427024642</v>
      </c>
      <c r="AM180" s="59">
        <f t="shared" si="113"/>
        <v>808.72910760357968</v>
      </c>
      <c r="AN180" s="59">
        <f ca="1">AVERAGE(OFFSET($AM$3,0,0,'Données projet'!$E$10+1,1))-AVERAGE(OFFSET($H$3,0,0,'Données projet'!$E$10+1,1))</f>
        <v>234.30804102916278</v>
      </c>
      <c r="AO180" s="59">
        <f t="shared" si="144"/>
        <v>91.137993288782411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87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3.4106051316484809E-13</v>
      </c>
      <c r="BE180" s="13">
        <f>BD180*VLOOKUP('Données projet'!$B$11,Paramètres!$A$1:$I$89,3,0)*VLOOKUP('Données projet'!$B$11,Paramètres!$A$1:$I$89,5,0)</f>
        <v>1.5961632016114892E-13</v>
      </c>
      <c r="BF180" s="13">
        <f t="shared" si="167"/>
        <v>2.2708641912150958E-12</v>
      </c>
      <c r="BG180" s="20">
        <f t="shared" si="168"/>
        <v>4.2330868906469593E-12</v>
      </c>
      <c r="BH180" s="59">
        <f t="shared" si="116"/>
        <v>293.33333333333752</v>
      </c>
      <c r="BI180" s="59">
        <f ca="1">AVERAGE(OFFSET($BH$3,0,0,'Données projet'!$E$11+1,1))-AVERAGE(OFFSET($H$3,0,0,'Données projet'!$E$11+1,1))</f>
        <v>158.58786357608489</v>
      </c>
      <c r="BJ180" s="59">
        <f t="shared" si="146"/>
        <v>163.20074068819849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5.6843418860808015E-13</v>
      </c>
      <c r="BZ180" s="13">
        <f>BY180*VLOOKUP('Données projet'!$B$12,Paramètres!$A$1:$I$89,3,0)*VLOOKUP('Données projet'!$B$12,Paramètres!$A$1:$I$89,5,0)</f>
        <v>2.6602720026858149E-13</v>
      </c>
      <c r="CA180" s="13">
        <f t="shared" si="170"/>
        <v>3.5662905043956649E-12</v>
      </c>
      <c r="CB180" s="20">
        <f t="shared" si="171"/>
        <v>6.6746200022902298E-12</v>
      </c>
      <c r="CC180" s="59">
        <f t="shared" si="119"/>
        <v>293.33333333333997</v>
      </c>
      <c r="CD180" s="59">
        <f ca="1">AVERAGE(OFFSET($CC$3,0,0,'Données projet'!$E$12+1,1))-AVERAGE(OFFSET($H$3,0,0,'Données projet'!$E$12+1,1))</f>
        <v>123.2823358462245</v>
      </c>
      <c r="CE180" s="59">
        <f t="shared" si="148"/>
        <v>92.75115399786057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-2.8421709430404007E-13</v>
      </c>
      <c r="CU180" s="17">
        <f>CT180*VLOOKUP('Données projet'!$B$13,Paramètres!$A$1:$I$89,3,0)*VLOOKUP('Données projet'!$B$13,Paramètres!$A$1:$I$89,5,0)</f>
        <v>-1.69961822393816E-13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179.32848817523677</v>
      </c>
      <c r="CZ180" s="59">
        <f t="shared" si="150"/>
        <v>131.3292389103035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0.22380079349775292</v>
      </c>
      <c r="DH180" s="21">
        <f>EXP(-LN(2)/2)*DH179+(1-EXP(-LN(2)/2))/(LN(2)/2)*DB180*DE180*VLOOKUP('Données projet'!$B$13,Paramètres!$A$1:$I$89,3,0)*0.475*44/12</f>
        <v>3.9401967622045716E-22</v>
      </c>
      <c r="DI180" s="22">
        <f t="shared" si="175"/>
        <v>0.22380079349775292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-7.3896444519050419E-13</v>
      </c>
      <c r="DP180" s="17">
        <f>DO180*VLOOKUP('Données projet'!$B$14,Paramètres!$A$1:$I$89,3,0)*VLOOKUP('Données projet'!$B$14,Paramètres!$A$1:$I$89,5,0)</f>
        <v>-7.147264113882557E-13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340.4659523898373</v>
      </c>
      <c r="DU180" s="59">
        <f t="shared" si="152"/>
        <v>170.54530785680572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>
        <f>VLOOKUP(A180,'Données projet'!$A$191:$I$211,2,0)</f>
        <v>262.96153846153845</v>
      </c>
      <c r="EH180" s="12">
        <f>VLOOKUP(A180,'Données projet'!$A$191:$I$211,9,0)</f>
        <v>4.0982905982905988</v>
      </c>
      <c r="EI180" s="12">
        <f t="array" ref="EI180">INDEX(EH:EH,MIN(IF(ISNUMBER(EH180:EH376),ROW(EH180:EH376),"")))</f>
        <v>4.0982905982905988</v>
      </c>
      <c r="EJ180" s="12">
        <f>IF('Données projet'!$A$192&gt;35,EJ179+EI180-ER179,IF(A180&lt;'Données projet'!$A$192,$EG$205^A180,IF(A180='Données projet'!$A$192,'Données projet'!$B$192,EJ179+EI180-ER179)))</f>
        <v>262.96153846153777</v>
      </c>
      <c r="EK180" s="17">
        <f>EJ180*VLOOKUP('Données projet'!$B$15,Paramètres!$A$1:$I$89,3,0)*VLOOKUP('Données projet'!$B$15,Paramètres!$A$1:$I$89,5,0)</f>
        <v>254.33639999999934</v>
      </c>
      <c r="EL180" s="13">
        <f t="shared" si="179"/>
        <v>61.513584233440106</v>
      </c>
      <c r="EM180" s="20">
        <f t="shared" si="180"/>
        <v>550.1053892065737</v>
      </c>
      <c r="EN180" s="59">
        <f t="shared" si="128"/>
        <v>843.43872253990708</v>
      </c>
      <c r="EO180" s="59">
        <f ca="1">AVERAGE(OFFSET($EN$3,0,0,'Données projet'!$E$15+1,1))-AVERAGE(OFFSET($H$3,0,0,'Données projet'!$E$15+1,1))</f>
        <v>262.20955982183017</v>
      </c>
      <c r="EP180" s="59">
        <f t="shared" si="154"/>
        <v>101.35842063036193</v>
      </c>
      <c r="EQ180" s="15">
        <f>IF(ISNA(VLOOKUP(A180,'Données projet'!$A$191:$I$211,3,0)),0,VLOOKUP(A180,'Données projet'!$A$191:$I$211,3,0))</f>
        <v>16</v>
      </c>
      <c r="ER180" s="15">
        <f>IF(ISNA(VLOOKUP(A180,'Données projet'!$A$191:$I$211,4,0)),0,VLOOKUP(A180,'Données projet'!$A$191:$I$211,4,0))</f>
        <v>87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5.6843418860808015E-14</v>
      </c>
      <c r="FF180" s="17">
        <f>FE180*VLOOKUP('Données projet'!$B$16,Paramètres!$A$1:$I$89,3,0)*VLOOKUP('Données projet'!$B$16,Paramètres!$A$1:$I$89,5,0)</f>
        <v>4.5224624045658861E-14</v>
      </c>
      <c r="FG180" s="13">
        <f t="shared" si="182"/>
        <v>7.4514601661523691E-13</v>
      </c>
      <c r="FH180" s="20">
        <f t="shared" si="183"/>
        <v>1.3765621991510601E-12</v>
      </c>
      <c r="FI180" s="59">
        <f t="shared" si="131"/>
        <v>293.33333333333468</v>
      </c>
      <c r="FJ180" s="59">
        <f ca="1">AVERAGE(OFFSET($FI$3,0,0,'Données projet'!$E$16+1,1))-AVERAGE(OFFSET($H$3,0,0,'Données projet'!$E$16+1,1))</f>
        <v>199.58763537752952</v>
      </c>
      <c r="FK180" s="59">
        <f t="shared" si="156"/>
        <v>242.62852778451929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0.17460732843507737</v>
      </c>
      <c r="FS180" s="21">
        <f>EXP(-LN(2)/2)*FS179+(1-EXP(-LN(2)/2))/(LN(2)/2)*FM180*FP180*VLOOKUP('Données projet'!$B$16,Paramètres!$A$1:$I$89,3,0)*0.475*44/12</f>
        <v>8.0569466003800159E-22</v>
      </c>
      <c r="FT180" s="22">
        <f t="shared" si="184"/>
        <v>0.17460732843507737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5.6843418860808015E-14</v>
      </c>
      <c r="GA180" s="17">
        <f>FZ180*VLOOKUP('Données projet'!$B$17,Paramètres!$A$1:$I$89,3,0)*VLOOKUP('Données projet'!$B$17,Paramètres!$A$1:$I$89,5,0)</f>
        <v>4.1677594708744434E-14</v>
      </c>
      <c r="GB180" s="13">
        <f t="shared" si="185"/>
        <v>6.9326303456159188E-13</v>
      </c>
      <c r="GC180" s="20">
        <f t="shared" si="186"/>
        <v>1.2800215959791691E-12</v>
      </c>
      <c r="GD180" s="59">
        <f t="shared" si="134"/>
        <v>293.33333333333462</v>
      </c>
      <c r="GE180" s="59">
        <f ca="1">AVERAGE(OFFSET($GD$3,0,0,'Données projet'!$E$17+1,1))-AVERAGE(OFFSET($H$3,0,0,'Données projet'!$E$17+1,1))</f>
        <v>178.12968684094687</v>
      </c>
      <c r="GF180" s="59">
        <f t="shared" si="158"/>
        <v>219.36004077210373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0.1305517612901558</v>
      </c>
      <c r="GN180" s="21">
        <f>EXP(-LN(2)/2)*GN179+(1-EXP(-LN(2)/2))/(LN(2)/2)*GH180*GK180*VLOOKUP('Données projet'!$B$17,Paramètres!$A$1:$I$89,3,0)*0.475*44/12</f>
        <v>7.4250292199580473E-22</v>
      </c>
      <c r="GO180" s="21">
        <f t="shared" si="187"/>
        <v>0.1305517612901558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5.6843418860808015E-14</v>
      </c>
      <c r="GV180" s="17">
        <f>GU180*VLOOKUP('Données projet'!$B$18,Paramètres!$A$1:$I$89,3,0)*VLOOKUP('Données projet'!$B$18,Paramètres!$A$1:$I$89,5,0)</f>
        <v>4.5224624045658861E-14</v>
      </c>
      <c r="GW180" s="13">
        <f t="shared" si="188"/>
        <v>7.4514601661523691E-13</v>
      </c>
      <c r="GX180" s="20">
        <f t="shared" si="189"/>
        <v>1.3765621991510601E-12</v>
      </c>
      <c r="GY180" s="59">
        <f t="shared" si="137"/>
        <v>293.33333333333468</v>
      </c>
      <c r="GZ180" s="59">
        <f ca="1">AVERAGE(OFFSET($GY$3,0,0,'Données projet'!$E$18+1,1))-AVERAGE(OFFSET($H$3,0,0,'Données projet'!$E$18+1,1))</f>
        <v>199.58763537752952</v>
      </c>
      <c r="HA180" s="59">
        <f t="shared" si="160"/>
        <v>242.62852778451929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0</v>
      </c>
      <c r="HH180" s="21">
        <f>EXP(-LN(2)/25)*HH179+(1-EXP(-LN(2)/25))/(LN(2)/25)*Calculateur!HC180*Calculateur!HE180*VLOOKUP('Données projet'!$B$18,Paramètres!$A$1:$I$89,3,0)*0.475*44/12</f>
        <v>0.17460732843507737</v>
      </c>
      <c r="HI180" s="21">
        <f>EXP(-LN(2)/2)*HI179+(1-EXP(-LN(2)/2))/(LN(2)/2)*HC180*HF180*VLOOKUP('Données projet'!$B$18,Paramètres!$A$1:$I$89,3,0)*0.475*44/12</f>
        <v>8.0569466003800159E-22</v>
      </c>
      <c r="HJ180" s="22">
        <f t="shared" si="190"/>
        <v>0.17460732843507737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-7.3896444519050419E-13</v>
      </c>
      <c r="O181" s="13">
        <f>N181*VLOOKUP('Données projet'!$B$9,Paramètres!$A$1:$I$89,3,0)*VLOOKUP('Données projet'!$B$9,Paramètres!$A$1:$I$89,5,0)</f>
        <v>-6.6861503000836817E-13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309.07357540707869</v>
      </c>
      <c r="T181" s="59">
        <f t="shared" si="142"/>
        <v>155.9593924683299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2.5149572649572653</v>
      </c>
      <c r="AI181" s="13">
        <f>IF('Données projet'!$A$62&gt;35,AI180+AH181-AQ180,IF(A181&lt;'Données projet'!$A$62,$AF$205^A181,IF(A181='Données projet'!$A$62,'Données projet'!$B$62,AI180+AH181-AQ180)))</f>
        <v>178.47649572649505</v>
      </c>
      <c r="AJ181" s="13">
        <f>AI181*VLOOKUP('Données projet'!$B$10,Paramètres!$A$1:$I$89,3,0)*VLOOKUP('Données projet'!$B$10,Paramètres!$A$1:$I$89,5,0)</f>
        <v>161.48553333333271</v>
      </c>
      <c r="AK181" s="13">
        <f t="shared" si="164"/>
        <v>41.177401161876247</v>
      </c>
      <c r="AL181" s="20">
        <f t="shared" si="165"/>
        <v>352.97127757915558</v>
      </c>
      <c r="AM181" s="59">
        <f t="shared" si="113"/>
        <v>646.3046109124889</v>
      </c>
      <c r="AN181" s="59">
        <f ca="1">AVERAGE(OFFSET($AM$3,0,0,'Données projet'!$E$10+1,1))-AVERAGE(OFFSET($H$3,0,0,'Données projet'!$E$10+1,1))</f>
        <v>234.30804102916278</v>
      </c>
      <c r="AO181" s="59">
        <f t="shared" si="144"/>
        <v>91.137993288782411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3.4106051316484809E-13</v>
      </c>
      <c r="BE181" s="13">
        <f>BD181*VLOOKUP('Données projet'!$B$11,Paramètres!$A$1:$I$89,3,0)*VLOOKUP('Données projet'!$B$11,Paramètres!$A$1:$I$89,5,0)</f>
        <v>1.5961632016114892E-13</v>
      </c>
      <c r="BF181" s="13">
        <f t="shared" si="167"/>
        <v>2.2708641912150958E-12</v>
      </c>
      <c r="BG181" s="20">
        <f t="shared" si="168"/>
        <v>4.2330868906469593E-12</v>
      </c>
      <c r="BH181" s="59">
        <f t="shared" si="116"/>
        <v>293.33333333333752</v>
      </c>
      <c r="BI181" s="59">
        <f ca="1">AVERAGE(OFFSET($BH$3,0,0,'Données projet'!$E$11+1,1))-AVERAGE(OFFSET($H$3,0,0,'Données projet'!$E$11+1,1))</f>
        <v>158.58786357608489</v>
      </c>
      <c r="BJ181" s="59">
        <f t="shared" si="146"/>
        <v>163.20074068819849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5.6843418860808015E-13</v>
      </c>
      <c r="BZ181" s="13">
        <f>BY181*VLOOKUP('Données projet'!$B$12,Paramètres!$A$1:$I$89,3,0)*VLOOKUP('Données projet'!$B$12,Paramètres!$A$1:$I$89,5,0)</f>
        <v>2.6602720026858149E-13</v>
      </c>
      <c r="CA181" s="13">
        <f t="shared" si="170"/>
        <v>3.5662905043956649E-12</v>
      </c>
      <c r="CB181" s="20">
        <f t="shared" si="171"/>
        <v>6.6746200022902298E-12</v>
      </c>
      <c r="CC181" s="59">
        <f t="shared" si="119"/>
        <v>293.33333333333997</v>
      </c>
      <c r="CD181" s="59">
        <f ca="1">AVERAGE(OFFSET($CC$3,0,0,'Données projet'!$E$12+1,1))-AVERAGE(OFFSET($H$3,0,0,'Données projet'!$E$12+1,1))</f>
        <v>123.2823358462245</v>
      </c>
      <c r="CE181" s="59">
        <f t="shared" si="148"/>
        <v>92.75115399786057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-2.8421709430404007E-13</v>
      </c>
      <c r="CU181" s="17">
        <f>CT181*VLOOKUP('Données projet'!$B$13,Paramètres!$A$1:$I$89,3,0)*VLOOKUP('Données projet'!$B$13,Paramètres!$A$1:$I$89,5,0)</f>
        <v>-1.69961822393816E-13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179.32848817523677</v>
      </c>
      <c r="CZ181" s="59">
        <f t="shared" si="150"/>
        <v>131.3292389103035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0.21768094903038465</v>
      </c>
      <c r="DH181" s="21">
        <f>EXP(-LN(2)/2)*DH180+(1-EXP(-LN(2)/2))/(LN(2)/2)*DB181*DE181*VLOOKUP('Données projet'!$B$13,Paramètres!$A$1:$I$89,3,0)*0.475*44/12</f>
        <v>2.786139849764131E-22</v>
      </c>
      <c r="DI181" s="22">
        <f t="shared" si="175"/>
        <v>0.21768094903038465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-7.3896444519050419E-13</v>
      </c>
      <c r="DP181" s="17">
        <f>DO181*VLOOKUP('Données projet'!$B$14,Paramètres!$A$1:$I$89,3,0)*VLOOKUP('Données projet'!$B$14,Paramètres!$A$1:$I$89,5,0)</f>
        <v>-7.147264113882557E-13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340.4659523898373</v>
      </c>
      <c r="DU181" s="59">
        <f t="shared" si="152"/>
        <v>170.54530785680572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2.5149572649572653</v>
      </c>
      <c r="EJ181" s="12">
        <f>IF('Données projet'!$A$192&gt;35,EJ180+EI181-ER180,IF(A181&lt;'Données projet'!$A$192,$EG$205^A181,IF(A181='Données projet'!$A$192,'Données projet'!$B$192,EJ180+EI181-ER180)))</f>
        <v>178.47649572649505</v>
      </c>
      <c r="EK181" s="17">
        <f>EJ181*VLOOKUP('Données projet'!$B$15,Paramètres!$A$1:$I$89,3,0)*VLOOKUP('Données projet'!$B$15,Paramètres!$A$1:$I$89,5,0)</f>
        <v>172.62246666666601</v>
      </c>
      <c r="EL181" s="13">
        <f t="shared" si="179"/>
        <v>43.676844559298232</v>
      </c>
      <c r="EM181" s="20">
        <f t="shared" si="180"/>
        <v>376.72130038522101</v>
      </c>
      <c r="EN181" s="59">
        <f t="shared" si="128"/>
        <v>670.05463371855433</v>
      </c>
      <c r="EO181" s="59">
        <f ca="1">AVERAGE(OFFSET($EN$3,0,0,'Données projet'!$E$15+1,1))-AVERAGE(OFFSET($H$3,0,0,'Données projet'!$E$15+1,1))</f>
        <v>262.20955982183017</v>
      </c>
      <c r="EP181" s="59">
        <f t="shared" si="154"/>
        <v>101.35842063036193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5.6843418860808015E-14</v>
      </c>
      <c r="FF181" s="17">
        <f>FE181*VLOOKUP('Données projet'!$B$16,Paramètres!$A$1:$I$89,3,0)*VLOOKUP('Données projet'!$B$16,Paramètres!$A$1:$I$89,5,0)</f>
        <v>4.5224624045658861E-14</v>
      </c>
      <c r="FG181" s="13">
        <f t="shared" si="182"/>
        <v>7.4514601661523691E-13</v>
      </c>
      <c r="FH181" s="20">
        <f t="shared" si="183"/>
        <v>1.3765621991510601E-12</v>
      </c>
      <c r="FI181" s="59">
        <f t="shared" si="131"/>
        <v>293.33333333333468</v>
      </c>
      <c r="FJ181" s="59">
        <f ca="1">AVERAGE(OFFSET($FI$3,0,0,'Données projet'!$E$16+1,1))-AVERAGE(OFFSET($H$3,0,0,'Données projet'!$E$16+1,1))</f>
        <v>199.58763537752952</v>
      </c>
      <c r="FK181" s="59">
        <f t="shared" si="156"/>
        <v>242.62852778451929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0.16983268185681985</v>
      </c>
      <c r="FS181" s="21">
        <f>EXP(-LN(2)/2)*FS180+(1-EXP(-LN(2)/2))/(LN(2)/2)*FM181*FP181*VLOOKUP('Données projet'!$B$16,Paramètres!$A$1:$I$89,3,0)*0.475*44/12</f>
        <v>5.6971215767866098E-22</v>
      </c>
      <c r="FT181" s="22">
        <f t="shared" si="184"/>
        <v>0.16983268185681985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5.6843418860808015E-14</v>
      </c>
      <c r="GA181" s="17">
        <f>FZ181*VLOOKUP('Données projet'!$B$17,Paramètres!$A$1:$I$89,3,0)*VLOOKUP('Données projet'!$B$17,Paramètres!$A$1:$I$89,5,0)</f>
        <v>4.1677594708744434E-14</v>
      </c>
      <c r="GB181" s="13">
        <f t="shared" si="185"/>
        <v>6.9326303456159188E-13</v>
      </c>
      <c r="GC181" s="20">
        <f t="shared" si="186"/>
        <v>1.2800215959791691E-12</v>
      </c>
      <c r="GD181" s="59">
        <f t="shared" si="134"/>
        <v>293.33333333333462</v>
      </c>
      <c r="GE181" s="59">
        <f ca="1">AVERAGE(OFFSET($GD$3,0,0,'Données projet'!$E$17+1,1))-AVERAGE(OFFSET($H$3,0,0,'Données projet'!$E$17+1,1))</f>
        <v>178.12968684094687</v>
      </c>
      <c r="GF181" s="59">
        <f t="shared" si="158"/>
        <v>219.36004077210373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0.12698181651225776</v>
      </c>
      <c r="GN181" s="21">
        <f>EXP(-LN(2)/2)*GN180+(1-EXP(-LN(2)/2))/(LN(2)/2)*GH181*GK181*VLOOKUP('Données projet'!$B$17,Paramètres!$A$1:$I$89,3,0)*0.475*44/12</f>
        <v>5.2502885119405965E-22</v>
      </c>
      <c r="GO181" s="21">
        <f t="shared" si="187"/>
        <v>0.12698181651225776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5.6843418860808015E-14</v>
      </c>
      <c r="GV181" s="17">
        <f>GU181*VLOOKUP('Données projet'!$B$18,Paramètres!$A$1:$I$89,3,0)*VLOOKUP('Données projet'!$B$18,Paramètres!$A$1:$I$89,5,0)</f>
        <v>4.5224624045658861E-14</v>
      </c>
      <c r="GW181" s="13">
        <f t="shared" si="188"/>
        <v>7.4514601661523691E-13</v>
      </c>
      <c r="GX181" s="20">
        <f t="shared" si="189"/>
        <v>1.3765621991510601E-12</v>
      </c>
      <c r="GY181" s="59">
        <f t="shared" si="137"/>
        <v>293.33333333333468</v>
      </c>
      <c r="GZ181" s="59">
        <f ca="1">AVERAGE(OFFSET($GY$3,0,0,'Données projet'!$E$18+1,1))-AVERAGE(OFFSET($H$3,0,0,'Données projet'!$E$18+1,1))</f>
        <v>199.58763537752952</v>
      </c>
      <c r="HA181" s="59">
        <f t="shared" si="160"/>
        <v>242.62852778451929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0</v>
      </c>
      <c r="HH181" s="21">
        <f>EXP(-LN(2)/25)*HH180+(1-EXP(-LN(2)/25))/(LN(2)/25)*Calculateur!HC181*Calculateur!HE181*VLOOKUP('Données projet'!$B$18,Paramètres!$A$1:$I$89,3,0)*0.475*44/12</f>
        <v>0.16983268185681985</v>
      </c>
      <c r="HI181" s="21">
        <f>EXP(-LN(2)/2)*HI180+(1-EXP(-LN(2)/2))/(LN(2)/2)*HC181*HF181*VLOOKUP('Données projet'!$B$18,Paramètres!$A$1:$I$89,3,0)*0.475*44/12</f>
        <v>5.6971215767866098E-22</v>
      </c>
      <c r="HJ181" s="22">
        <f t="shared" si="190"/>
        <v>0.16983268185681985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-7.3896444519050419E-13</v>
      </c>
      <c r="O182" s="13">
        <f>N182*VLOOKUP('Données projet'!$B$9,Paramètres!$A$1:$I$89,3,0)*VLOOKUP('Données projet'!$B$9,Paramètres!$A$1:$I$89,5,0)</f>
        <v>-6.6861503000836817E-13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309.07357540707869</v>
      </c>
      <c r="T182" s="59">
        <f t="shared" si="142"/>
        <v>155.9593924683299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2.5149572649572653</v>
      </c>
      <c r="AI182" s="13">
        <f>IF('Données projet'!$A$62&gt;35,AI181+AH182-AQ181,IF(A182&lt;'Données projet'!$A$62,$AF$205^A182,IF(A182='Données projet'!$A$62,'Données projet'!$B$62,AI181+AH182-AQ181)))</f>
        <v>180.99145299145232</v>
      </c>
      <c r="AJ182" s="13">
        <f>AI182*VLOOKUP('Données projet'!$B$10,Paramètres!$A$1:$I$89,3,0)*VLOOKUP('Données projet'!$B$10,Paramètres!$A$1:$I$89,5,0)</f>
        <v>163.76106666666604</v>
      </c>
      <c r="AK182" s="13">
        <f t="shared" si="164"/>
        <v>41.689683944410106</v>
      </c>
      <c r="AL182" s="20">
        <f t="shared" si="165"/>
        <v>357.82672398095764</v>
      </c>
      <c r="AM182" s="59">
        <f t="shared" si="113"/>
        <v>651.16005731429095</v>
      </c>
      <c r="AN182" s="59">
        <f ca="1">AVERAGE(OFFSET($AM$3,0,0,'Données projet'!$E$10+1,1))-AVERAGE(OFFSET($H$3,0,0,'Données projet'!$E$10+1,1))</f>
        <v>234.30804102916278</v>
      </c>
      <c r="AO182" s="59">
        <f t="shared" si="144"/>
        <v>91.137993288782411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3.4106051316484809E-13</v>
      </c>
      <c r="BE182" s="13">
        <f>BD182*VLOOKUP('Données projet'!$B$11,Paramètres!$A$1:$I$89,3,0)*VLOOKUP('Données projet'!$B$11,Paramètres!$A$1:$I$89,5,0)</f>
        <v>1.5961632016114892E-13</v>
      </c>
      <c r="BF182" s="13">
        <f t="shared" si="167"/>
        <v>2.2708641912150958E-12</v>
      </c>
      <c r="BG182" s="20">
        <f t="shared" si="168"/>
        <v>4.2330868906469593E-12</v>
      </c>
      <c r="BH182" s="59">
        <f t="shared" si="116"/>
        <v>293.33333333333752</v>
      </c>
      <c r="BI182" s="59">
        <f ca="1">AVERAGE(OFFSET($BH$3,0,0,'Données projet'!$E$11+1,1))-AVERAGE(OFFSET($H$3,0,0,'Données projet'!$E$11+1,1))</f>
        <v>158.58786357608489</v>
      </c>
      <c r="BJ182" s="59">
        <f t="shared" si="146"/>
        <v>163.20074068819849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5.6843418860808015E-13</v>
      </c>
      <c r="BZ182" s="13">
        <f>BY182*VLOOKUP('Données projet'!$B$12,Paramètres!$A$1:$I$89,3,0)*VLOOKUP('Données projet'!$B$12,Paramètres!$A$1:$I$89,5,0)</f>
        <v>2.6602720026858149E-13</v>
      </c>
      <c r="CA182" s="13">
        <f t="shared" si="170"/>
        <v>3.5662905043956649E-12</v>
      </c>
      <c r="CB182" s="20">
        <f t="shared" si="171"/>
        <v>6.6746200022902298E-12</v>
      </c>
      <c r="CC182" s="59">
        <f t="shared" si="119"/>
        <v>293.33333333333997</v>
      </c>
      <c r="CD182" s="59">
        <f ca="1">AVERAGE(OFFSET($CC$3,0,0,'Données projet'!$E$12+1,1))-AVERAGE(OFFSET($H$3,0,0,'Données projet'!$E$12+1,1))</f>
        <v>123.2823358462245</v>
      </c>
      <c r="CE182" s="59">
        <f t="shared" si="148"/>
        <v>92.75115399786057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-2.8421709430404007E-13</v>
      </c>
      <c r="CU182" s="17">
        <f>CT182*VLOOKUP('Données projet'!$B$13,Paramètres!$A$1:$I$89,3,0)*VLOOKUP('Données projet'!$B$13,Paramètres!$A$1:$I$89,5,0)</f>
        <v>-1.69961822393816E-13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179.32848817523677</v>
      </c>
      <c r="CZ182" s="59">
        <f t="shared" si="150"/>
        <v>131.3292389103035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0.21172845203180518</v>
      </c>
      <c r="DH182" s="21">
        <f>EXP(-LN(2)/2)*DH181+(1-EXP(-LN(2)/2))/(LN(2)/2)*DB182*DE182*VLOOKUP('Données projet'!$B$13,Paramètres!$A$1:$I$89,3,0)*0.475*44/12</f>
        <v>1.9700983811022858E-22</v>
      </c>
      <c r="DI182" s="22">
        <f t="shared" si="175"/>
        <v>0.21172845203180518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-7.3896444519050419E-13</v>
      </c>
      <c r="DP182" s="17">
        <f>DO182*VLOOKUP('Données projet'!$B$14,Paramètres!$A$1:$I$89,3,0)*VLOOKUP('Données projet'!$B$14,Paramètres!$A$1:$I$89,5,0)</f>
        <v>-7.147264113882557E-13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340.4659523898373</v>
      </c>
      <c r="DU182" s="59">
        <f t="shared" si="152"/>
        <v>170.54530785680572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2.5149572649572653</v>
      </c>
      <c r="EJ182" s="12">
        <f>IF('Données projet'!$A$192&gt;35,EJ181+EI182-ER181,IF(A182&lt;'Données projet'!$A$192,$EG$205^A182,IF(A182='Données projet'!$A$192,'Données projet'!$B$192,EJ181+EI182-ER181)))</f>
        <v>180.99145299145232</v>
      </c>
      <c r="EK182" s="17">
        <f>EJ182*VLOOKUP('Données projet'!$B$15,Paramètres!$A$1:$I$89,3,0)*VLOOKUP('Données projet'!$B$15,Paramètres!$A$1:$I$89,5,0)</f>
        <v>175.05493333333268</v>
      </c>
      <c r="EL182" s="13">
        <f t="shared" si="179"/>
        <v>44.2202225975376</v>
      </c>
      <c r="EM182" s="20">
        <f t="shared" si="180"/>
        <v>381.90422991293241</v>
      </c>
      <c r="EN182" s="59">
        <f t="shared" si="128"/>
        <v>675.23756324626572</v>
      </c>
      <c r="EO182" s="59">
        <f ca="1">AVERAGE(OFFSET($EN$3,0,0,'Données projet'!$E$15+1,1))-AVERAGE(OFFSET($H$3,0,0,'Données projet'!$E$15+1,1))</f>
        <v>262.20955982183017</v>
      </c>
      <c r="EP182" s="59">
        <f t="shared" si="154"/>
        <v>101.35842063036193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5.6843418860808015E-14</v>
      </c>
      <c r="FF182" s="17">
        <f>FE182*VLOOKUP('Données projet'!$B$16,Paramètres!$A$1:$I$89,3,0)*VLOOKUP('Données projet'!$B$16,Paramètres!$A$1:$I$89,5,0)</f>
        <v>4.5224624045658861E-14</v>
      </c>
      <c r="FG182" s="13">
        <f t="shared" si="182"/>
        <v>7.4514601661523691E-13</v>
      </c>
      <c r="FH182" s="20">
        <f t="shared" si="183"/>
        <v>1.3765621991510601E-12</v>
      </c>
      <c r="FI182" s="59">
        <f t="shared" si="131"/>
        <v>293.33333333333468</v>
      </c>
      <c r="FJ182" s="59">
        <f ca="1">AVERAGE(OFFSET($FI$3,0,0,'Données projet'!$E$16+1,1))-AVERAGE(OFFSET($H$3,0,0,'Données projet'!$E$16+1,1))</f>
        <v>199.58763537752952</v>
      </c>
      <c r="FK182" s="59">
        <f t="shared" si="156"/>
        <v>242.62852778451929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0.16518859824033252</v>
      </c>
      <c r="FS182" s="21">
        <f>EXP(-LN(2)/2)*FS181+(1-EXP(-LN(2)/2))/(LN(2)/2)*FM182*FP182*VLOOKUP('Données projet'!$B$16,Paramètres!$A$1:$I$89,3,0)*0.475*44/12</f>
        <v>4.0284733001900079E-22</v>
      </c>
      <c r="FT182" s="22">
        <f t="shared" si="184"/>
        <v>0.16518859824033252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5.6843418860808015E-14</v>
      </c>
      <c r="GA182" s="17">
        <f>FZ182*VLOOKUP('Données projet'!$B$17,Paramètres!$A$1:$I$89,3,0)*VLOOKUP('Données projet'!$B$17,Paramètres!$A$1:$I$89,5,0)</f>
        <v>4.1677594708744434E-14</v>
      </c>
      <c r="GB182" s="13">
        <f t="shared" si="185"/>
        <v>6.9326303456159188E-13</v>
      </c>
      <c r="GC182" s="20">
        <f t="shared" si="186"/>
        <v>1.2800215959791691E-12</v>
      </c>
      <c r="GD182" s="59">
        <f t="shared" si="134"/>
        <v>293.33333333333462</v>
      </c>
      <c r="GE182" s="59">
        <f ca="1">AVERAGE(OFFSET($GD$3,0,0,'Données projet'!$E$17+1,1))-AVERAGE(OFFSET($H$3,0,0,'Données projet'!$E$17+1,1))</f>
        <v>178.12968684094687</v>
      </c>
      <c r="GF182" s="59">
        <f t="shared" si="158"/>
        <v>219.36004077210373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0.12350949206204656</v>
      </c>
      <c r="GN182" s="21">
        <f>EXP(-LN(2)/2)*GN181+(1-EXP(-LN(2)/2))/(LN(2)/2)*GH182*GK182*VLOOKUP('Données projet'!$B$17,Paramètres!$A$1:$I$89,3,0)*0.475*44/12</f>
        <v>3.7125146099790237E-22</v>
      </c>
      <c r="GO182" s="21">
        <f t="shared" si="187"/>
        <v>0.12350949206204656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5.6843418860808015E-14</v>
      </c>
      <c r="GV182" s="17">
        <f>GU182*VLOOKUP('Données projet'!$B$18,Paramètres!$A$1:$I$89,3,0)*VLOOKUP('Données projet'!$B$18,Paramètres!$A$1:$I$89,5,0)</f>
        <v>4.5224624045658861E-14</v>
      </c>
      <c r="GW182" s="13">
        <f t="shared" si="188"/>
        <v>7.4514601661523691E-13</v>
      </c>
      <c r="GX182" s="20">
        <f t="shared" si="189"/>
        <v>1.3765621991510601E-12</v>
      </c>
      <c r="GY182" s="59">
        <f t="shared" si="137"/>
        <v>293.33333333333468</v>
      </c>
      <c r="GZ182" s="59">
        <f ca="1">AVERAGE(OFFSET($GY$3,0,0,'Données projet'!$E$18+1,1))-AVERAGE(OFFSET($H$3,0,0,'Données projet'!$E$18+1,1))</f>
        <v>199.58763537752952</v>
      </c>
      <c r="HA182" s="59">
        <f t="shared" si="160"/>
        <v>242.62852778451929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0</v>
      </c>
      <c r="HH182" s="21">
        <f>EXP(-LN(2)/25)*HH181+(1-EXP(-LN(2)/25))/(LN(2)/25)*Calculateur!HC182*Calculateur!HE182*VLOOKUP('Données projet'!$B$18,Paramètres!$A$1:$I$89,3,0)*0.475*44/12</f>
        <v>0.16518859824033252</v>
      </c>
      <c r="HI182" s="21">
        <f>EXP(-LN(2)/2)*HI181+(1-EXP(-LN(2)/2))/(LN(2)/2)*HC182*HF182*VLOOKUP('Données projet'!$B$18,Paramètres!$A$1:$I$89,3,0)*0.475*44/12</f>
        <v>4.0284733001900079E-22</v>
      </c>
      <c r="HJ182" s="22">
        <f t="shared" si="190"/>
        <v>0.16518859824033252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-7.3896444519050419E-13</v>
      </c>
      <c r="O183" s="13">
        <f>N183*VLOOKUP('Données projet'!$B$9,Paramètres!$A$1:$I$89,3,0)*VLOOKUP('Données projet'!$B$9,Paramètres!$A$1:$I$89,5,0)</f>
        <v>-6.6861503000836817E-13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309.07357540707869</v>
      </c>
      <c r="T183" s="59">
        <f t="shared" si="142"/>
        <v>155.9593924683299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183.50641025641025</v>
      </c>
      <c r="AG183" s="12">
        <f>VLOOKUP(A183,'Données projet'!$A$61:$I$81,9,0)</f>
        <v>2.5149572649572653</v>
      </c>
      <c r="AH183" s="12">
        <f t="array" ref="AH183">INDEX(AG:AG,MIN(IF(ISNUMBER(AG183:AG379),ROW(AG183:AG379),"")))</f>
        <v>2.5149572649572653</v>
      </c>
      <c r="AI183" s="13">
        <f>IF('Données projet'!$A$62&gt;35,AI182+AH183-AQ182,IF(A183&lt;'Données projet'!$A$62,$AF$205^A183,IF(A183='Données projet'!$A$62,'Données projet'!$B$62,AI182+AH183-AQ182)))</f>
        <v>183.50641025640959</v>
      </c>
      <c r="AJ183" s="13">
        <f>AI183*VLOOKUP('Données projet'!$B$10,Paramètres!$A$1:$I$89,3,0)*VLOOKUP('Données projet'!$B$10,Paramètres!$A$1:$I$89,5,0)</f>
        <v>166.0365999999994</v>
      </c>
      <c r="AK183" s="13">
        <f t="shared" si="164"/>
        <v>42.201138786899385</v>
      </c>
      <c r="AL183" s="20">
        <f t="shared" si="165"/>
        <v>362.680728387182</v>
      </c>
      <c r="AM183" s="59">
        <f t="shared" si="113"/>
        <v>656.01406172051531</v>
      </c>
      <c r="AN183" s="59">
        <f ca="1">AVERAGE(OFFSET($AM$3,0,0,'Données projet'!$E$10+1,1))-AVERAGE(OFFSET($H$3,0,0,'Données projet'!$E$10+1,1))</f>
        <v>234.30804102916278</v>
      </c>
      <c r="AO183" s="59">
        <f t="shared" si="144"/>
        <v>91.137993288782411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58.794871794871796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3.4106051316484809E-13</v>
      </c>
      <c r="BE183" s="13">
        <f>BD183*VLOOKUP('Données projet'!$B$11,Paramètres!$A$1:$I$89,3,0)*VLOOKUP('Données projet'!$B$11,Paramètres!$A$1:$I$89,5,0)</f>
        <v>1.5961632016114892E-13</v>
      </c>
      <c r="BF183" s="13">
        <f t="shared" si="167"/>
        <v>2.2708641912150958E-12</v>
      </c>
      <c r="BG183" s="20">
        <f t="shared" si="168"/>
        <v>4.2330868906469593E-12</v>
      </c>
      <c r="BH183" s="59">
        <f t="shared" si="116"/>
        <v>293.33333333333752</v>
      </c>
      <c r="BI183" s="59">
        <f ca="1">AVERAGE(OFFSET($BH$3,0,0,'Données projet'!$E$11+1,1))-AVERAGE(OFFSET($H$3,0,0,'Données projet'!$E$11+1,1))</f>
        <v>158.58786357608489</v>
      </c>
      <c r="BJ183" s="59">
        <f t="shared" si="146"/>
        <v>163.20074068819849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5.6843418860808015E-13</v>
      </c>
      <c r="BZ183" s="13">
        <f>BY183*VLOOKUP('Données projet'!$B$12,Paramètres!$A$1:$I$89,3,0)*VLOOKUP('Données projet'!$B$12,Paramètres!$A$1:$I$89,5,0)</f>
        <v>2.6602720026858149E-13</v>
      </c>
      <c r="CA183" s="13">
        <f t="shared" si="170"/>
        <v>3.5662905043956649E-12</v>
      </c>
      <c r="CB183" s="20">
        <f t="shared" si="171"/>
        <v>6.6746200022902298E-12</v>
      </c>
      <c r="CC183" s="59">
        <f t="shared" si="119"/>
        <v>293.33333333333997</v>
      </c>
      <c r="CD183" s="59">
        <f ca="1">AVERAGE(OFFSET($CC$3,0,0,'Données projet'!$E$12+1,1))-AVERAGE(OFFSET($H$3,0,0,'Données projet'!$E$12+1,1))</f>
        <v>123.2823358462245</v>
      </c>
      <c r="CE183" s="59">
        <f t="shared" si="148"/>
        <v>92.75115399786057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-2.8421709430404007E-13</v>
      </c>
      <c r="CU183" s="17">
        <f>CT183*VLOOKUP('Données projet'!$B$13,Paramètres!$A$1:$I$89,3,0)*VLOOKUP('Données projet'!$B$13,Paramètres!$A$1:$I$89,5,0)</f>
        <v>-1.69961822393816E-13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179.32848817523677</v>
      </c>
      <c r="CZ183" s="59">
        <f t="shared" si="150"/>
        <v>131.3292389103035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0.20593872637668009</v>
      </c>
      <c r="DH183" s="21">
        <f>EXP(-LN(2)/2)*DH182+(1-EXP(-LN(2)/2))/(LN(2)/2)*DB183*DE183*VLOOKUP('Données projet'!$B$13,Paramètres!$A$1:$I$89,3,0)*0.475*44/12</f>
        <v>1.3930699248820655E-22</v>
      </c>
      <c r="DI183" s="22">
        <f t="shared" si="175"/>
        <v>0.20593872637668009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-7.3896444519050419E-13</v>
      </c>
      <c r="DP183" s="17">
        <f>DO183*VLOOKUP('Données projet'!$B$14,Paramètres!$A$1:$I$89,3,0)*VLOOKUP('Données projet'!$B$14,Paramètres!$A$1:$I$89,5,0)</f>
        <v>-7.147264113882557E-13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340.4659523898373</v>
      </c>
      <c r="DU183" s="59">
        <f t="shared" si="152"/>
        <v>170.54530785680572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>
        <f>VLOOKUP(A183,'Données projet'!$A$191:$I$211,2,0)</f>
        <v>183.50641025641025</v>
      </c>
      <c r="EH183" s="12">
        <f>VLOOKUP(A183,'Données projet'!$A$191:$I$211,9,0)</f>
        <v>2.5149572649572653</v>
      </c>
      <c r="EI183" s="12">
        <f t="array" ref="EI183">INDEX(EH:EH,MIN(IF(ISNUMBER(EH183:EH379),ROW(EH183:EH379),"")))</f>
        <v>2.5149572649572653</v>
      </c>
      <c r="EJ183" s="12">
        <f>IF('Données projet'!$A$192&gt;35,EJ182+EI183-ER182,IF(A183&lt;'Données projet'!$A$192,$EG$205^A183,IF(A183='Données projet'!$A$192,'Données projet'!$B$192,EJ182+EI183-ER182)))</f>
        <v>183.50641025640959</v>
      </c>
      <c r="EK183" s="17">
        <f>EJ183*VLOOKUP('Données projet'!$B$15,Paramètres!$A$1:$I$89,3,0)*VLOOKUP('Données projet'!$B$15,Paramètres!$A$1:$I$89,5,0)</f>
        <v>177.48739999999935</v>
      </c>
      <c r="EL183" s="13">
        <f t="shared" si="179"/>
        <v>44.762722440271446</v>
      </c>
      <c r="EM183" s="20">
        <f t="shared" si="180"/>
        <v>387.08562991680492</v>
      </c>
      <c r="EN183" s="59">
        <f t="shared" si="128"/>
        <v>680.41896325013818</v>
      </c>
      <c r="EO183" s="59">
        <f ca="1">AVERAGE(OFFSET($EN$3,0,0,'Données projet'!$E$15+1,1))-AVERAGE(OFFSET($H$3,0,0,'Données projet'!$E$15+1,1))</f>
        <v>262.20955982183017</v>
      </c>
      <c r="EP183" s="59">
        <f t="shared" si="154"/>
        <v>101.35842063036193</v>
      </c>
      <c r="EQ183" s="15">
        <f>IF(ISNA(VLOOKUP(A183,'Données projet'!$A$191:$I$211,3,0)),0,VLOOKUP(A183,'Données projet'!$A$191:$I$211,3,0))</f>
        <v>17</v>
      </c>
      <c r="ER183" s="15">
        <f>IF(ISNA(VLOOKUP(A183,'Données projet'!$A$191:$I$211,4,0)),0,VLOOKUP(A183,'Données projet'!$A$191:$I$211,4,0))</f>
        <v>58.794871794871796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5.6843418860808015E-14</v>
      </c>
      <c r="FF183" s="17">
        <f>FE183*VLOOKUP('Données projet'!$B$16,Paramètres!$A$1:$I$89,3,0)*VLOOKUP('Données projet'!$B$16,Paramètres!$A$1:$I$89,5,0)</f>
        <v>4.5224624045658861E-14</v>
      </c>
      <c r="FG183" s="13">
        <f t="shared" si="182"/>
        <v>7.4514601661523691E-13</v>
      </c>
      <c r="FH183" s="20">
        <f t="shared" si="183"/>
        <v>1.3765621991510601E-12</v>
      </c>
      <c r="FI183" s="59">
        <f t="shared" si="131"/>
        <v>293.33333333333468</v>
      </c>
      <c r="FJ183" s="59">
        <f ca="1">AVERAGE(OFFSET($FI$3,0,0,'Données projet'!$E$16+1,1))-AVERAGE(OFFSET($H$3,0,0,'Données projet'!$E$16+1,1))</f>
        <v>199.58763537752952</v>
      </c>
      <c r="FK183" s="59">
        <f t="shared" si="156"/>
        <v>242.62852778451929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0.16067150733455979</v>
      </c>
      <c r="FS183" s="21">
        <f>EXP(-LN(2)/2)*FS182+(1-EXP(-LN(2)/2))/(LN(2)/2)*FM183*FP183*VLOOKUP('Données projet'!$B$16,Paramètres!$A$1:$I$89,3,0)*0.475*44/12</f>
        <v>2.8485607883933049E-22</v>
      </c>
      <c r="FT183" s="22">
        <f t="shared" si="184"/>
        <v>0.16067150733455979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5.6843418860808015E-14</v>
      </c>
      <c r="GA183" s="17">
        <f>FZ183*VLOOKUP('Données projet'!$B$17,Paramètres!$A$1:$I$89,3,0)*VLOOKUP('Données projet'!$B$17,Paramètres!$A$1:$I$89,5,0)</f>
        <v>4.1677594708744434E-14</v>
      </c>
      <c r="GB183" s="13">
        <f t="shared" si="185"/>
        <v>6.9326303456159188E-13</v>
      </c>
      <c r="GC183" s="20">
        <f t="shared" si="186"/>
        <v>1.2800215959791691E-12</v>
      </c>
      <c r="GD183" s="59">
        <f t="shared" si="134"/>
        <v>293.33333333333462</v>
      </c>
      <c r="GE183" s="59">
        <f ca="1">AVERAGE(OFFSET($GD$3,0,0,'Données projet'!$E$17+1,1))-AVERAGE(OFFSET($H$3,0,0,'Données projet'!$E$17+1,1))</f>
        <v>178.12968684094687</v>
      </c>
      <c r="GF183" s="59">
        <f t="shared" si="158"/>
        <v>219.36004077210373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0.120132118506528</v>
      </c>
      <c r="GN183" s="21">
        <f>EXP(-LN(2)/2)*GN182+(1-EXP(-LN(2)/2))/(LN(2)/2)*GH183*GK183*VLOOKUP('Données projet'!$B$17,Paramètres!$A$1:$I$89,3,0)*0.475*44/12</f>
        <v>2.6251442559702983E-22</v>
      </c>
      <c r="GO183" s="21">
        <f t="shared" si="187"/>
        <v>0.120132118506528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5.6843418860808015E-14</v>
      </c>
      <c r="GV183" s="17">
        <f>GU183*VLOOKUP('Données projet'!$B$18,Paramètres!$A$1:$I$89,3,0)*VLOOKUP('Données projet'!$B$18,Paramètres!$A$1:$I$89,5,0)</f>
        <v>4.5224624045658861E-14</v>
      </c>
      <c r="GW183" s="13">
        <f t="shared" si="188"/>
        <v>7.4514601661523691E-13</v>
      </c>
      <c r="GX183" s="20">
        <f t="shared" si="189"/>
        <v>1.3765621991510601E-12</v>
      </c>
      <c r="GY183" s="59">
        <f t="shared" si="137"/>
        <v>293.33333333333468</v>
      </c>
      <c r="GZ183" s="59">
        <f ca="1">AVERAGE(OFFSET($GY$3,0,0,'Données projet'!$E$18+1,1))-AVERAGE(OFFSET($H$3,0,0,'Données projet'!$E$18+1,1))</f>
        <v>199.58763537752952</v>
      </c>
      <c r="HA183" s="59">
        <f t="shared" si="160"/>
        <v>242.62852778451929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0</v>
      </c>
      <c r="HH183" s="21">
        <f>EXP(-LN(2)/25)*HH182+(1-EXP(-LN(2)/25))/(LN(2)/25)*Calculateur!HC183*Calculateur!HE183*VLOOKUP('Données projet'!$B$18,Paramètres!$A$1:$I$89,3,0)*0.475*44/12</f>
        <v>0.16067150733455979</v>
      </c>
      <c r="HI183" s="21">
        <f>EXP(-LN(2)/2)*HI182+(1-EXP(-LN(2)/2))/(LN(2)/2)*HC183*HF183*VLOOKUP('Données projet'!$B$18,Paramètres!$A$1:$I$89,3,0)*0.475*44/12</f>
        <v>2.8485607883933049E-22</v>
      </c>
      <c r="HJ183" s="22">
        <f t="shared" si="190"/>
        <v>0.16067150733455979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-7.3896444519050419E-13</v>
      </c>
      <c r="O184" s="13">
        <f>N184*VLOOKUP('Données projet'!$B$9,Paramètres!$A$1:$I$89,3,0)*VLOOKUP('Données projet'!$B$9,Paramètres!$A$1:$I$89,5,0)</f>
        <v>-6.6861503000836817E-13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309.07357540707869</v>
      </c>
      <c r="T184" s="59">
        <f t="shared" si="142"/>
        <v>155.9593924683299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1.5384615384615377</v>
      </c>
      <c r="AI184" s="13">
        <f>IF('Données projet'!$A$62&gt;35,AI183+AH184-AQ183,IF(A184&lt;'Données projet'!$A$62,$AF$205^A184,IF(A184='Données projet'!$A$62,'Données projet'!$B$62,AI183+AH184-AQ183)))</f>
        <v>126.24999999999935</v>
      </c>
      <c r="AJ184" s="13">
        <f>AI184*VLOOKUP('Données projet'!$B$10,Paramètres!$A$1:$I$89,3,0)*VLOOKUP('Données projet'!$B$10,Paramètres!$A$1:$I$89,5,0)</f>
        <v>114.2309999999994</v>
      </c>
      <c r="AK184" s="13">
        <f t="shared" si="164"/>
        <v>30.325640932877782</v>
      </c>
      <c r="AL184" s="20">
        <f t="shared" si="165"/>
        <v>251.76948295809439</v>
      </c>
      <c r="AM184" s="59">
        <f t="shared" si="113"/>
        <v>545.10281629142764</v>
      </c>
      <c r="AN184" s="59">
        <f ca="1">AVERAGE(OFFSET($AM$3,0,0,'Données projet'!$E$10+1,1))-AVERAGE(OFFSET($H$3,0,0,'Données projet'!$E$10+1,1))</f>
        <v>234.30804102916278</v>
      </c>
      <c r="AO184" s="59">
        <f t="shared" si="144"/>
        <v>91.137993288782411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3.4106051316484809E-13</v>
      </c>
      <c r="BE184" s="13">
        <f>BD184*VLOOKUP('Données projet'!$B$11,Paramètres!$A$1:$I$89,3,0)*VLOOKUP('Données projet'!$B$11,Paramètres!$A$1:$I$89,5,0)</f>
        <v>1.5961632016114892E-13</v>
      </c>
      <c r="BF184" s="13">
        <f t="shared" si="167"/>
        <v>2.2708641912150958E-12</v>
      </c>
      <c r="BG184" s="20">
        <f t="shared" si="168"/>
        <v>4.2330868906469593E-12</v>
      </c>
      <c r="BH184" s="59">
        <f t="shared" si="116"/>
        <v>293.33333333333752</v>
      </c>
      <c r="BI184" s="59">
        <f ca="1">AVERAGE(OFFSET($BH$3,0,0,'Données projet'!$E$11+1,1))-AVERAGE(OFFSET($H$3,0,0,'Données projet'!$E$11+1,1))</f>
        <v>158.58786357608489</v>
      </c>
      <c r="BJ184" s="59">
        <f t="shared" si="146"/>
        <v>163.20074068819849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5.6843418860808015E-13</v>
      </c>
      <c r="BZ184" s="13">
        <f>BY184*VLOOKUP('Données projet'!$B$12,Paramètres!$A$1:$I$89,3,0)*VLOOKUP('Données projet'!$B$12,Paramètres!$A$1:$I$89,5,0)</f>
        <v>2.6602720026858149E-13</v>
      </c>
      <c r="CA184" s="13">
        <f t="shared" si="170"/>
        <v>3.5662905043956649E-12</v>
      </c>
      <c r="CB184" s="20">
        <f t="shared" si="171"/>
        <v>6.6746200022902298E-12</v>
      </c>
      <c r="CC184" s="59">
        <f t="shared" si="119"/>
        <v>293.33333333333997</v>
      </c>
      <c r="CD184" s="59">
        <f ca="1">AVERAGE(OFFSET($CC$3,0,0,'Données projet'!$E$12+1,1))-AVERAGE(OFFSET($H$3,0,0,'Données projet'!$E$12+1,1))</f>
        <v>123.2823358462245</v>
      </c>
      <c r="CE184" s="59">
        <f t="shared" si="148"/>
        <v>92.75115399786057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-2.8421709430404007E-13</v>
      </c>
      <c r="CU184" s="17">
        <f>CT184*VLOOKUP('Données projet'!$B$13,Paramètres!$A$1:$I$89,3,0)*VLOOKUP('Données projet'!$B$13,Paramètres!$A$1:$I$89,5,0)</f>
        <v>-1.69961822393816E-13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179.32848817523677</v>
      </c>
      <c r="CZ184" s="59">
        <f t="shared" si="150"/>
        <v>131.3292389103035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0.20030732107406282</v>
      </c>
      <c r="DH184" s="21">
        <f>EXP(-LN(2)/2)*DH183+(1-EXP(-LN(2)/2))/(LN(2)/2)*DB184*DE184*VLOOKUP('Données projet'!$B$13,Paramètres!$A$1:$I$89,3,0)*0.475*44/12</f>
        <v>9.8504919055114291E-23</v>
      </c>
      <c r="DI184" s="22">
        <f t="shared" si="175"/>
        <v>0.20030732107406282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-7.3896444519050419E-13</v>
      </c>
      <c r="DP184" s="17">
        <f>DO184*VLOOKUP('Données projet'!$B$14,Paramètres!$A$1:$I$89,3,0)*VLOOKUP('Données projet'!$B$14,Paramètres!$A$1:$I$89,5,0)</f>
        <v>-7.147264113882557E-13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340.4659523898373</v>
      </c>
      <c r="DU184" s="59">
        <f t="shared" si="152"/>
        <v>170.54530785680572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1.5384615384615377</v>
      </c>
      <c r="EJ184" s="12">
        <f>IF('Données projet'!$A$192&gt;35,EJ183+EI184-ER183,IF(A184&lt;'Données projet'!$A$192,$EG$205^A184,IF(A184='Données projet'!$A$192,'Données projet'!$B$192,EJ183+EI184-ER183)))</f>
        <v>126.24999999999935</v>
      </c>
      <c r="EK184" s="17">
        <f>EJ184*VLOOKUP('Données projet'!$B$15,Paramètres!$A$1:$I$89,3,0)*VLOOKUP('Données projet'!$B$15,Paramètres!$A$1:$I$89,5,0)</f>
        <v>122.10899999999937</v>
      </c>
      <c r="EL184" s="13">
        <f t="shared" si="179"/>
        <v>32.166389034106842</v>
      </c>
      <c r="EM184" s="20">
        <f t="shared" si="180"/>
        <v>268.69630256773502</v>
      </c>
      <c r="EN184" s="59">
        <f t="shared" si="128"/>
        <v>562.02963590106833</v>
      </c>
      <c r="EO184" s="59">
        <f ca="1">AVERAGE(OFFSET($EN$3,0,0,'Données projet'!$E$15+1,1))-AVERAGE(OFFSET($H$3,0,0,'Données projet'!$E$15+1,1))</f>
        <v>262.20955982183017</v>
      </c>
      <c r="EP184" s="59">
        <f t="shared" si="154"/>
        <v>101.35842063036193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5.6843418860808015E-14</v>
      </c>
      <c r="FF184" s="17">
        <f>FE184*VLOOKUP('Données projet'!$B$16,Paramètres!$A$1:$I$89,3,0)*VLOOKUP('Données projet'!$B$16,Paramètres!$A$1:$I$89,5,0)</f>
        <v>4.5224624045658861E-14</v>
      </c>
      <c r="FG184" s="13">
        <f t="shared" si="182"/>
        <v>7.4514601661523691E-13</v>
      </c>
      <c r="FH184" s="20">
        <f t="shared" si="183"/>
        <v>1.3765621991510601E-12</v>
      </c>
      <c r="FI184" s="59">
        <f t="shared" si="131"/>
        <v>293.33333333333468</v>
      </c>
      <c r="FJ184" s="59">
        <f ca="1">AVERAGE(OFFSET($FI$3,0,0,'Données projet'!$E$16+1,1))-AVERAGE(OFFSET($H$3,0,0,'Données projet'!$E$16+1,1))</f>
        <v>199.58763537752952</v>
      </c>
      <c r="FK184" s="59">
        <f t="shared" si="156"/>
        <v>242.62852778451929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0.15627793651714889</v>
      </c>
      <c r="FS184" s="21">
        <f>EXP(-LN(2)/2)*FS183+(1-EXP(-LN(2)/2))/(LN(2)/2)*FM184*FP184*VLOOKUP('Données projet'!$B$16,Paramètres!$A$1:$I$89,3,0)*0.475*44/12</f>
        <v>2.014236650095004E-22</v>
      </c>
      <c r="FT184" s="22">
        <f t="shared" si="184"/>
        <v>0.15627793651714889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5.6843418860808015E-14</v>
      </c>
      <c r="GA184" s="17">
        <f>FZ184*VLOOKUP('Données projet'!$B$17,Paramètres!$A$1:$I$89,3,0)*VLOOKUP('Données projet'!$B$17,Paramètres!$A$1:$I$89,5,0)</f>
        <v>4.1677594708744434E-14</v>
      </c>
      <c r="GB184" s="13">
        <f t="shared" si="185"/>
        <v>6.9326303456159188E-13</v>
      </c>
      <c r="GC184" s="20">
        <f t="shared" si="186"/>
        <v>1.2800215959791691E-12</v>
      </c>
      <c r="GD184" s="59">
        <f t="shared" si="134"/>
        <v>293.33333333333462</v>
      </c>
      <c r="GE184" s="59">
        <f ca="1">AVERAGE(OFFSET($GD$3,0,0,'Données projet'!$E$17+1,1))-AVERAGE(OFFSET($H$3,0,0,'Données projet'!$E$17+1,1))</f>
        <v>178.12968684094687</v>
      </c>
      <c r="GF184" s="59">
        <f t="shared" si="158"/>
        <v>219.36004077210373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0.11684709940849344</v>
      </c>
      <c r="GN184" s="21">
        <f>EXP(-LN(2)/2)*GN183+(1-EXP(-LN(2)/2))/(LN(2)/2)*GH184*GK184*VLOOKUP('Données projet'!$B$17,Paramètres!$A$1:$I$89,3,0)*0.475*44/12</f>
        <v>1.8562573049895118E-22</v>
      </c>
      <c r="GO184" s="21">
        <f t="shared" si="187"/>
        <v>0.11684709940849344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5.6843418860808015E-14</v>
      </c>
      <c r="GV184" s="17">
        <f>GU184*VLOOKUP('Données projet'!$B$18,Paramètres!$A$1:$I$89,3,0)*VLOOKUP('Données projet'!$B$18,Paramètres!$A$1:$I$89,5,0)</f>
        <v>4.5224624045658861E-14</v>
      </c>
      <c r="GW184" s="13">
        <f t="shared" si="188"/>
        <v>7.4514601661523691E-13</v>
      </c>
      <c r="GX184" s="20">
        <f t="shared" si="189"/>
        <v>1.3765621991510601E-12</v>
      </c>
      <c r="GY184" s="59">
        <f t="shared" si="137"/>
        <v>293.33333333333468</v>
      </c>
      <c r="GZ184" s="59">
        <f ca="1">AVERAGE(OFFSET($GY$3,0,0,'Données projet'!$E$18+1,1))-AVERAGE(OFFSET($H$3,0,0,'Données projet'!$E$18+1,1))</f>
        <v>199.58763537752952</v>
      </c>
      <c r="HA184" s="59">
        <f t="shared" si="160"/>
        <v>242.62852778451929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0</v>
      </c>
      <c r="HH184" s="21">
        <f>EXP(-LN(2)/25)*HH183+(1-EXP(-LN(2)/25))/(LN(2)/25)*Calculateur!HC184*Calculateur!HE184*VLOOKUP('Données projet'!$B$18,Paramètres!$A$1:$I$89,3,0)*0.475*44/12</f>
        <v>0.15627793651714889</v>
      </c>
      <c r="HI184" s="21">
        <f>EXP(-LN(2)/2)*HI183+(1-EXP(-LN(2)/2))/(LN(2)/2)*HC184*HF184*VLOOKUP('Données projet'!$B$18,Paramètres!$A$1:$I$89,3,0)*0.475*44/12</f>
        <v>2.014236650095004E-22</v>
      </c>
      <c r="HJ184" s="22">
        <f t="shared" si="190"/>
        <v>0.15627793651714889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-7.3896444519050419E-13</v>
      </c>
      <c r="O185" s="13">
        <f>N185*VLOOKUP('Données projet'!$B$9,Paramètres!$A$1:$I$89,3,0)*VLOOKUP('Données projet'!$B$9,Paramètres!$A$1:$I$89,5,0)</f>
        <v>-6.6861503000836817E-13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309.07357540707869</v>
      </c>
      <c r="T185" s="59">
        <f t="shared" si="142"/>
        <v>155.9593924683299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1.5384615384615377</v>
      </c>
      <c r="AI185" s="13">
        <f>IF('Données projet'!$A$62&gt;35,AI184+AH185-AQ184,IF(A185&lt;'Données projet'!$A$62,$AF$205^A185,IF(A185='Données projet'!$A$62,'Données projet'!$B$62,AI184+AH185-AQ184)))</f>
        <v>127.78846153846088</v>
      </c>
      <c r="AJ185" s="13">
        <f>AI185*VLOOKUP('Données projet'!$B$10,Paramètres!$A$1:$I$89,3,0)*VLOOKUP('Données projet'!$B$10,Paramètres!$A$1:$I$89,5,0)</f>
        <v>115.62299999999941</v>
      </c>
      <c r="AK185" s="13">
        <f t="shared" si="164"/>
        <v>30.651938791248913</v>
      </c>
      <c r="AL185" s="20">
        <f t="shared" si="165"/>
        <v>254.76218506142413</v>
      </c>
      <c r="AM185" s="59">
        <f t="shared" si="113"/>
        <v>548.09551839475739</v>
      </c>
      <c r="AN185" s="59">
        <f ca="1">AVERAGE(OFFSET($AM$3,0,0,'Données projet'!$E$10+1,1))-AVERAGE(OFFSET($H$3,0,0,'Données projet'!$E$10+1,1))</f>
        <v>234.30804102916278</v>
      </c>
      <c r="AO185" s="59">
        <f t="shared" si="144"/>
        <v>91.137993288782411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3.4106051316484809E-13</v>
      </c>
      <c r="BE185" s="13">
        <f>BD185*VLOOKUP('Données projet'!$B$11,Paramètres!$A$1:$I$89,3,0)*VLOOKUP('Données projet'!$B$11,Paramètres!$A$1:$I$89,5,0)</f>
        <v>1.5961632016114892E-13</v>
      </c>
      <c r="BF185" s="13">
        <f t="shared" si="167"/>
        <v>2.2708641912150958E-12</v>
      </c>
      <c r="BG185" s="20">
        <f t="shared" si="168"/>
        <v>4.2330868906469593E-12</v>
      </c>
      <c r="BH185" s="59">
        <f t="shared" si="116"/>
        <v>293.33333333333752</v>
      </c>
      <c r="BI185" s="59">
        <f ca="1">AVERAGE(OFFSET($BH$3,0,0,'Données projet'!$E$11+1,1))-AVERAGE(OFFSET($H$3,0,0,'Données projet'!$E$11+1,1))</f>
        <v>158.58786357608489</v>
      </c>
      <c r="BJ185" s="59">
        <f t="shared" si="146"/>
        <v>163.20074068819849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5.6843418860808015E-13</v>
      </c>
      <c r="BZ185" s="13">
        <f>BY185*VLOOKUP('Données projet'!$B$12,Paramètres!$A$1:$I$89,3,0)*VLOOKUP('Données projet'!$B$12,Paramètres!$A$1:$I$89,5,0)</f>
        <v>2.6602720026858149E-13</v>
      </c>
      <c r="CA185" s="13">
        <f t="shared" si="170"/>
        <v>3.5662905043956649E-12</v>
      </c>
      <c r="CB185" s="20">
        <f t="shared" si="171"/>
        <v>6.6746200022902298E-12</v>
      </c>
      <c r="CC185" s="59">
        <f t="shared" si="119"/>
        <v>293.33333333333997</v>
      </c>
      <c r="CD185" s="59">
        <f ca="1">AVERAGE(OFFSET($CC$3,0,0,'Données projet'!$E$12+1,1))-AVERAGE(OFFSET($H$3,0,0,'Données projet'!$E$12+1,1))</f>
        <v>123.2823358462245</v>
      </c>
      <c r="CE185" s="59">
        <f t="shared" si="148"/>
        <v>92.75115399786057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-2.8421709430404007E-13</v>
      </c>
      <c r="CU185" s="17">
        <f>CT185*VLOOKUP('Données projet'!$B$13,Paramètres!$A$1:$I$89,3,0)*VLOOKUP('Données projet'!$B$13,Paramètres!$A$1:$I$89,5,0)</f>
        <v>-1.69961822393816E-13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179.32848817523677</v>
      </c>
      <c r="CZ185" s="59">
        <f t="shared" si="150"/>
        <v>131.3292389103035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0.19482990684558837</v>
      </c>
      <c r="DH185" s="21">
        <f>EXP(-LN(2)/2)*DH184+(1-EXP(-LN(2)/2))/(LN(2)/2)*DB185*DE185*VLOOKUP('Données projet'!$B$13,Paramètres!$A$1:$I$89,3,0)*0.475*44/12</f>
        <v>6.9653496244103276E-23</v>
      </c>
      <c r="DI185" s="22">
        <f t="shared" si="175"/>
        <v>0.19482990684558837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-7.3896444519050419E-13</v>
      </c>
      <c r="DP185" s="17">
        <f>DO185*VLOOKUP('Données projet'!$B$14,Paramètres!$A$1:$I$89,3,0)*VLOOKUP('Données projet'!$B$14,Paramètres!$A$1:$I$89,5,0)</f>
        <v>-7.147264113882557E-13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340.4659523898373</v>
      </c>
      <c r="DU185" s="59">
        <f t="shared" si="152"/>
        <v>170.54530785680572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1.5384615384615377</v>
      </c>
      <c r="EJ185" s="12">
        <f>IF('Données projet'!$A$192&gt;35,EJ184+EI185-ER184,IF(A185&lt;'Données projet'!$A$192,$EG$205^A185,IF(A185='Données projet'!$A$192,'Données projet'!$B$192,EJ184+EI185-ER184)))</f>
        <v>127.78846153846088</v>
      </c>
      <c r="EK185" s="17">
        <f>EJ185*VLOOKUP('Données projet'!$B$15,Paramètres!$A$1:$I$89,3,0)*VLOOKUP('Données projet'!$B$15,Paramètres!$A$1:$I$89,5,0)</f>
        <v>123.59699999999937</v>
      </c>
      <c r="EL185" s="13">
        <f t="shared" si="179"/>
        <v>32.512492975540198</v>
      </c>
      <c r="EM185" s="20">
        <f t="shared" si="180"/>
        <v>271.89070026573143</v>
      </c>
      <c r="EN185" s="59">
        <f t="shared" si="128"/>
        <v>565.2240335990648</v>
      </c>
      <c r="EO185" s="59">
        <f ca="1">AVERAGE(OFFSET($EN$3,0,0,'Données projet'!$E$15+1,1))-AVERAGE(OFFSET($H$3,0,0,'Données projet'!$E$15+1,1))</f>
        <v>262.20955982183017</v>
      </c>
      <c r="EP185" s="59">
        <f t="shared" si="154"/>
        <v>101.35842063036193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5.6843418860808015E-14</v>
      </c>
      <c r="FF185" s="17">
        <f>FE185*VLOOKUP('Données projet'!$B$16,Paramètres!$A$1:$I$89,3,0)*VLOOKUP('Données projet'!$B$16,Paramètres!$A$1:$I$89,5,0)</f>
        <v>4.5224624045658861E-14</v>
      </c>
      <c r="FG185" s="13">
        <f t="shared" si="182"/>
        <v>7.4514601661523691E-13</v>
      </c>
      <c r="FH185" s="20">
        <f t="shared" si="183"/>
        <v>1.3765621991510601E-12</v>
      </c>
      <c r="FI185" s="59">
        <f t="shared" si="131"/>
        <v>293.33333333333468</v>
      </c>
      <c r="FJ185" s="59">
        <f ca="1">AVERAGE(OFFSET($FI$3,0,0,'Données projet'!$E$16+1,1))-AVERAGE(OFFSET($H$3,0,0,'Données projet'!$E$16+1,1))</f>
        <v>199.58763537752952</v>
      </c>
      <c r="FK185" s="59">
        <f t="shared" si="156"/>
        <v>242.62852778451929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0.15200450812478794</v>
      </c>
      <c r="FS185" s="21">
        <f>EXP(-LN(2)/2)*FS184+(1-EXP(-LN(2)/2))/(LN(2)/2)*FM185*FP185*VLOOKUP('Données projet'!$B$16,Paramètres!$A$1:$I$89,3,0)*0.475*44/12</f>
        <v>1.4242803941966524E-22</v>
      </c>
      <c r="FT185" s="22">
        <f t="shared" si="184"/>
        <v>0.15200450812478794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5.6843418860808015E-14</v>
      </c>
      <c r="GA185" s="17">
        <f>FZ185*VLOOKUP('Données projet'!$B$17,Paramètres!$A$1:$I$89,3,0)*VLOOKUP('Données projet'!$B$17,Paramètres!$A$1:$I$89,5,0)</f>
        <v>4.1677594708744434E-14</v>
      </c>
      <c r="GB185" s="13">
        <f t="shared" si="185"/>
        <v>6.9326303456159188E-13</v>
      </c>
      <c r="GC185" s="20">
        <f t="shared" si="186"/>
        <v>1.2800215959791691E-12</v>
      </c>
      <c r="GD185" s="59">
        <f t="shared" si="134"/>
        <v>293.33333333333462</v>
      </c>
      <c r="GE185" s="59">
        <f ca="1">AVERAGE(OFFSET($GD$3,0,0,'Données projet'!$E$17+1,1))-AVERAGE(OFFSET($H$3,0,0,'Données projet'!$E$17+1,1))</f>
        <v>178.12968684094687</v>
      </c>
      <c r="GF185" s="59">
        <f t="shared" si="158"/>
        <v>219.36004077210373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0.11365190933044629</v>
      </c>
      <c r="GN185" s="21">
        <f>EXP(-LN(2)/2)*GN184+(1-EXP(-LN(2)/2))/(LN(2)/2)*GH185*GK185*VLOOKUP('Données projet'!$B$17,Paramètres!$A$1:$I$89,3,0)*0.475*44/12</f>
        <v>1.3125721279851491E-22</v>
      </c>
      <c r="GO185" s="21">
        <f t="shared" si="187"/>
        <v>0.11365190933044629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5.6843418860808015E-14</v>
      </c>
      <c r="GV185" s="17">
        <f>GU185*VLOOKUP('Données projet'!$B$18,Paramètres!$A$1:$I$89,3,0)*VLOOKUP('Données projet'!$B$18,Paramètres!$A$1:$I$89,5,0)</f>
        <v>4.5224624045658861E-14</v>
      </c>
      <c r="GW185" s="13">
        <f t="shared" si="188"/>
        <v>7.4514601661523691E-13</v>
      </c>
      <c r="GX185" s="20">
        <f t="shared" si="189"/>
        <v>1.3765621991510601E-12</v>
      </c>
      <c r="GY185" s="59">
        <f t="shared" si="137"/>
        <v>293.33333333333468</v>
      </c>
      <c r="GZ185" s="59">
        <f ca="1">AVERAGE(OFFSET($GY$3,0,0,'Données projet'!$E$18+1,1))-AVERAGE(OFFSET($H$3,0,0,'Données projet'!$E$18+1,1))</f>
        <v>199.58763537752952</v>
      </c>
      <c r="HA185" s="59">
        <f t="shared" si="160"/>
        <v>242.62852778451929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0</v>
      </c>
      <c r="HH185" s="21">
        <f>EXP(-LN(2)/25)*HH184+(1-EXP(-LN(2)/25))/(LN(2)/25)*Calculateur!HC185*Calculateur!HE185*VLOOKUP('Données projet'!$B$18,Paramètres!$A$1:$I$89,3,0)*0.475*44/12</f>
        <v>0.15200450812478794</v>
      </c>
      <c r="HI185" s="21">
        <f>EXP(-LN(2)/2)*HI184+(1-EXP(-LN(2)/2))/(LN(2)/2)*HC185*HF185*VLOOKUP('Données projet'!$B$18,Paramètres!$A$1:$I$89,3,0)*0.475*44/12</f>
        <v>1.4242803941966524E-22</v>
      </c>
      <c r="HJ185" s="22">
        <f t="shared" si="190"/>
        <v>0.15200450812478794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-7.3896444519050419E-13</v>
      </c>
      <c r="O186" s="13">
        <f>N186*VLOOKUP('Données projet'!$B$9,Paramètres!$A$1:$I$89,3,0)*VLOOKUP('Données projet'!$B$9,Paramètres!$A$1:$I$89,5,0)</f>
        <v>-6.6861503000836817E-13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309.07357540707869</v>
      </c>
      <c r="T186" s="59">
        <f t="shared" si="142"/>
        <v>155.9593924683299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129.32692307692307</v>
      </c>
      <c r="AG186" s="12">
        <f>VLOOKUP(A186,'Données projet'!$A$61:$I$81,9,0)</f>
        <v>1.5384615384615377</v>
      </c>
      <c r="AH186" s="12">
        <f t="array" ref="AH186">INDEX(AG:AG,MIN(IF(ISNUMBER(AG186:AG382),ROW(AG186:AG382),"")))</f>
        <v>1.5384615384615377</v>
      </c>
      <c r="AI186" s="13">
        <f>IF('Données projet'!$A$62&gt;35,AI185+AH186-AQ185,IF(A186&lt;'Données projet'!$A$62,$AF$205^A186,IF(A186='Données projet'!$A$62,'Données projet'!$B$62,AI185+AH186-AQ185)))</f>
        <v>129.32692307692241</v>
      </c>
      <c r="AJ186" s="13">
        <f>AI186*VLOOKUP('Données projet'!$B$10,Paramètres!$A$1:$I$89,3,0)*VLOOKUP('Données projet'!$B$10,Paramètres!$A$1:$I$89,5,0)</f>
        <v>117.01499999999939</v>
      </c>
      <c r="AK186" s="13">
        <f t="shared" si="164"/>
        <v>30.977779699248124</v>
      </c>
      <c r="AL186" s="20">
        <f t="shared" si="165"/>
        <v>257.75409130952272</v>
      </c>
      <c r="AM186" s="59">
        <f t="shared" si="113"/>
        <v>551.08742464285604</v>
      </c>
      <c r="AN186" s="59">
        <f ca="1">AVERAGE(OFFSET($AM$3,0,0,'Données projet'!$E$10+1,1))-AVERAGE(OFFSET($H$3,0,0,'Données projet'!$E$10+1,1))</f>
        <v>234.30804102916278</v>
      </c>
      <c r="AO186" s="59">
        <f t="shared" si="144"/>
        <v>91.137993288782411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129.32692307692307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3.4106051316484809E-13</v>
      </c>
      <c r="BE186" s="13">
        <f>BD186*VLOOKUP('Données projet'!$B$11,Paramètres!$A$1:$I$89,3,0)*VLOOKUP('Données projet'!$B$11,Paramètres!$A$1:$I$89,5,0)</f>
        <v>1.5961632016114892E-13</v>
      </c>
      <c r="BF186" s="13">
        <f t="shared" si="167"/>
        <v>2.2708641912150958E-12</v>
      </c>
      <c r="BG186" s="20">
        <f t="shared" si="168"/>
        <v>4.2330868906469593E-12</v>
      </c>
      <c r="BH186" s="59">
        <f t="shared" si="116"/>
        <v>293.33333333333752</v>
      </c>
      <c r="BI186" s="59">
        <f ca="1">AVERAGE(OFFSET($BH$3,0,0,'Données projet'!$E$11+1,1))-AVERAGE(OFFSET($H$3,0,0,'Données projet'!$E$11+1,1))</f>
        <v>158.58786357608489</v>
      </c>
      <c r="BJ186" s="59">
        <f t="shared" si="146"/>
        <v>163.20074068819849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5.6843418860808015E-13</v>
      </c>
      <c r="BZ186" s="13">
        <f>BY186*VLOOKUP('Données projet'!$B$12,Paramètres!$A$1:$I$89,3,0)*VLOOKUP('Données projet'!$B$12,Paramètres!$A$1:$I$89,5,0)</f>
        <v>2.6602720026858149E-13</v>
      </c>
      <c r="CA186" s="13">
        <f t="shared" si="170"/>
        <v>3.5662905043956649E-12</v>
      </c>
      <c r="CB186" s="20">
        <f t="shared" si="171"/>
        <v>6.6746200022902298E-12</v>
      </c>
      <c r="CC186" s="59">
        <f t="shared" si="119"/>
        <v>293.33333333333997</v>
      </c>
      <c r="CD186" s="59">
        <f ca="1">AVERAGE(OFFSET($CC$3,0,0,'Données projet'!$E$12+1,1))-AVERAGE(OFFSET($H$3,0,0,'Données projet'!$E$12+1,1))</f>
        <v>123.2823358462245</v>
      </c>
      <c r="CE186" s="59">
        <f t="shared" si="148"/>
        <v>92.75115399786057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-2.8421709430404007E-13</v>
      </c>
      <c r="CU186" s="17">
        <f>CT186*VLOOKUP('Données projet'!$B$13,Paramètres!$A$1:$I$89,3,0)*VLOOKUP('Données projet'!$B$13,Paramètres!$A$1:$I$89,5,0)</f>
        <v>-1.69961822393816E-13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179.32848817523677</v>
      </c>
      <c r="CZ186" s="59">
        <f t="shared" si="150"/>
        <v>131.3292389103035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0.18950227279723625</v>
      </c>
      <c r="DH186" s="21">
        <f>EXP(-LN(2)/2)*DH185+(1-EXP(-LN(2)/2))/(LN(2)/2)*DB186*DE186*VLOOKUP('Données projet'!$B$13,Paramètres!$A$1:$I$89,3,0)*0.475*44/12</f>
        <v>4.9252459527557145E-23</v>
      </c>
      <c r="DI186" s="22">
        <f t="shared" si="175"/>
        <v>0.18950227279723625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-7.3896444519050419E-13</v>
      </c>
      <c r="DP186" s="17">
        <f>DO186*VLOOKUP('Données projet'!$B$14,Paramètres!$A$1:$I$89,3,0)*VLOOKUP('Données projet'!$B$14,Paramètres!$A$1:$I$89,5,0)</f>
        <v>-7.147264113882557E-13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340.4659523898373</v>
      </c>
      <c r="DU186" s="59">
        <f t="shared" si="152"/>
        <v>170.54530785680572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>
        <f>VLOOKUP(A186,'Données projet'!$A$191:$I$211,2,0)</f>
        <v>129.32692307692307</v>
      </c>
      <c r="EH186" s="12">
        <f>VLOOKUP(A186,'Données projet'!$A$191:$I$211,9,0)</f>
        <v>1.5384615384615377</v>
      </c>
      <c r="EI186" s="12">
        <f t="array" ref="EI186">INDEX(EH:EH,MIN(IF(ISNUMBER(EH186:EH382),ROW(EH186:EH382),"")))</f>
        <v>1.5384615384615377</v>
      </c>
      <c r="EJ186" s="12">
        <f>IF('Données projet'!$A$192&gt;35,EJ185+EI186-ER185,IF(A186&lt;'Données projet'!$A$192,$EG$205^A186,IF(A186='Données projet'!$A$192,'Données projet'!$B$192,EJ185+EI186-ER185)))</f>
        <v>129.32692307692241</v>
      </c>
      <c r="EK186" s="17">
        <f>EJ186*VLOOKUP('Données projet'!$B$15,Paramètres!$A$1:$I$89,3,0)*VLOOKUP('Données projet'!$B$15,Paramètres!$A$1:$I$89,5,0)</f>
        <v>125.08499999999935</v>
      </c>
      <c r="EL186" s="13">
        <f t="shared" si="179"/>
        <v>32.858112229989828</v>
      </c>
      <c r="EM186" s="20">
        <f t="shared" si="180"/>
        <v>275.08425380056451</v>
      </c>
      <c r="EN186" s="59">
        <f t="shared" si="128"/>
        <v>568.41758713389777</v>
      </c>
      <c r="EO186" s="59">
        <f ca="1">AVERAGE(OFFSET($EN$3,0,0,'Données projet'!$E$15+1,1))-AVERAGE(OFFSET($H$3,0,0,'Données projet'!$E$15+1,1))</f>
        <v>262.20955982183017</v>
      </c>
      <c r="EP186" s="59">
        <f t="shared" si="154"/>
        <v>101.35842063036193</v>
      </c>
      <c r="EQ186" s="15">
        <f>IF(ISNA(VLOOKUP(A186,'Données projet'!$A$191:$I$211,3,0)),0,VLOOKUP(A186,'Données projet'!$A$191:$I$211,3,0))</f>
        <v>18</v>
      </c>
      <c r="ER186" s="15">
        <f>IF(ISNA(VLOOKUP(A186,'Données projet'!$A$191:$I$211,4,0)),0,VLOOKUP(A186,'Données projet'!$A$191:$I$211,4,0))</f>
        <v>129.32692307692307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5.6843418860808015E-14</v>
      </c>
      <c r="FF186" s="17">
        <f>FE186*VLOOKUP('Données projet'!$B$16,Paramètres!$A$1:$I$89,3,0)*VLOOKUP('Données projet'!$B$16,Paramètres!$A$1:$I$89,5,0)</f>
        <v>4.5224624045658861E-14</v>
      </c>
      <c r="FG186" s="13">
        <f t="shared" si="182"/>
        <v>7.4514601661523691E-13</v>
      </c>
      <c r="FH186" s="20">
        <f t="shared" si="183"/>
        <v>1.3765621991510601E-12</v>
      </c>
      <c r="FI186" s="59">
        <f t="shared" si="131"/>
        <v>293.33333333333468</v>
      </c>
      <c r="FJ186" s="59">
        <f ca="1">AVERAGE(OFFSET($FI$3,0,0,'Données projet'!$E$16+1,1))-AVERAGE(OFFSET($H$3,0,0,'Données projet'!$E$16+1,1))</f>
        <v>199.58763537752952</v>
      </c>
      <c r="FK186" s="59">
        <f t="shared" si="156"/>
        <v>242.62852778451929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0.14784793685654593</v>
      </c>
      <c r="FS186" s="21">
        <f>EXP(-LN(2)/2)*FS185+(1-EXP(-LN(2)/2))/(LN(2)/2)*FM186*FP186*VLOOKUP('Données projet'!$B$16,Paramètres!$A$1:$I$89,3,0)*0.475*44/12</f>
        <v>1.007118325047502E-22</v>
      </c>
      <c r="FT186" s="22">
        <f t="shared" si="184"/>
        <v>0.14784793685654593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5.6843418860808015E-14</v>
      </c>
      <c r="GA186" s="17">
        <f>FZ186*VLOOKUP('Données projet'!$B$17,Paramètres!$A$1:$I$89,3,0)*VLOOKUP('Données projet'!$B$17,Paramètres!$A$1:$I$89,5,0)</f>
        <v>4.1677594708744434E-14</v>
      </c>
      <c r="GB186" s="13">
        <f t="shared" si="185"/>
        <v>6.9326303456159188E-13</v>
      </c>
      <c r="GC186" s="20">
        <f t="shared" si="186"/>
        <v>1.2800215959791691E-12</v>
      </c>
      <c r="GD186" s="59">
        <f t="shared" si="134"/>
        <v>293.33333333333462</v>
      </c>
      <c r="GE186" s="59">
        <f ca="1">AVERAGE(OFFSET($GD$3,0,0,'Données projet'!$E$17+1,1))-AVERAGE(OFFSET($H$3,0,0,'Données projet'!$E$17+1,1))</f>
        <v>178.12968684094687</v>
      </c>
      <c r="GF186" s="59">
        <f t="shared" si="158"/>
        <v>219.36004077210373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0.11054409189311108</v>
      </c>
      <c r="GN186" s="21">
        <f>EXP(-LN(2)/2)*GN185+(1-EXP(-LN(2)/2))/(LN(2)/2)*GH186*GK186*VLOOKUP('Données projet'!$B$17,Paramètres!$A$1:$I$89,3,0)*0.475*44/12</f>
        <v>9.2812865249475591E-23</v>
      </c>
      <c r="GO186" s="21">
        <f t="shared" si="187"/>
        <v>0.11054409189311108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5.6843418860808015E-14</v>
      </c>
      <c r="GV186" s="17">
        <f>GU186*VLOOKUP('Données projet'!$B$18,Paramètres!$A$1:$I$89,3,0)*VLOOKUP('Données projet'!$B$18,Paramètres!$A$1:$I$89,5,0)</f>
        <v>4.5224624045658861E-14</v>
      </c>
      <c r="GW186" s="13">
        <f t="shared" si="188"/>
        <v>7.4514601661523691E-13</v>
      </c>
      <c r="GX186" s="20">
        <f t="shared" si="189"/>
        <v>1.3765621991510601E-12</v>
      </c>
      <c r="GY186" s="59">
        <f t="shared" si="137"/>
        <v>293.33333333333468</v>
      </c>
      <c r="GZ186" s="59">
        <f ca="1">AVERAGE(OFFSET($GY$3,0,0,'Données projet'!$E$18+1,1))-AVERAGE(OFFSET($H$3,0,0,'Données projet'!$E$18+1,1))</f>
        <v>199.58763537752952</v>
      </c>
      <c r="HA186" s="59">
        <f t="shared" si="160"/>
        <v>242.62852778451929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0</v>
      </c>
      <c r="HH186" s="21">
        <f>EXP(-LN(2)/25)*HH185+(1-EXP(-LN(2)/25))/(LN(2)/25)*Calculateur!HC186*Calculateur!HE186*VLOOKUP('Données projet'!$B$18,Paramètres!$A$1:$I$89,3,0)*0.475*44/12</f>
        <v>0.14784793685654593</v>
      </c>
      <c r="HI186" s="21">
        <f>EXP(-LN(2)/2)*HI185+(1-EXP(-LN(2)/2))/(LN(2)/2)*HC186*HF186*VLOOKUP('Données projet'!$B$18,Paramètres!$A$1:$I$89,3,0)*0.475*44/12</f>
        <v>1.007118325047502E-22</v>
      </c>
      <c r="HJ186" s="22">
        <f t="shared" si="190"/>
        <v>0.14784793685654593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-7.3896444519050419E-13</v>
      </c>
      <c r="O187" s="13">
        <f>N187*VLOOKUP('Données projet'!$B$9,Paramètres!$A$1:$I$89,3,0)*VLOOKUP('Données projet'!$B$9,Paramètres!$A$1:$I$89,5,0)</f>
        <v>-6.6861503000836817E-13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309.07357540707869</v>
      </c>
      <c r="T187" s="59">
        <f t="shared" si="142"/>
        <v>155.9593924683299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-6.5369931689929217E-13</v>
      </c>
      <c r="AJ187" s="13">
        <f>AI187*VLOOKUP('Données projet'!$B$10,Paramètres!$A$1:$I$89,3,0)*VLOOKUP('Données projet'!$B$10,Paramètres!$A$1:$I$89,5,0)</f>
        <v>-5.9146714193047959E-13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234.30804102916278</v>
      </c>
      <c r="AO187" s="59">
        <f t="shared" si="144"/>
        <v>91.137993288782411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3.4106051316484809E-13</v>
      </c>
      <c r="BE187" s="13">
        <f>BD187*VLOOKUP('Données projet'!$B$11,Paramètres!$A$1:$I$89,3,0)*VLOOKUP('Données projet'!$B$11,Paramètres!$A$1:$I$89,5,0)</f>
        <v>1.5961632016114892E-13</v>
      </c>
      <c r="BF187" s="13">
        <f t="shared" si="167"/>
        <v>2.2708641912150958E-12</v>
      </c>
      <c r="BG187" s="20">
        <f t="shared" si="168"/>
        <v>4.2330868906469593E-12</v>
      </c>
      <c r="BH187" s="59">
        <f t="shared" si="116"/>
        <v>293.33333333333752</v>
      </c>
      <c r="BI187" s="59">
        <f ca="1">AVERAGE(OFFSET($BH$3,0,0,'Données projet'!$E$11+1,1))-AVERAGE(OFFSET($H$3,0,0,'Données projet'!$E$11+1,1))</f>
        <v>158.58786357608489</v>
      </c>
      <c r="BJ187" s="59">
        <f t="shared" si="146"/>
        <v>163.20074068819849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5.6843418860808015E-13</v>
      </c>
      <c r="BZ187" s="13">
        <f>BY187*VLOOKUP('Données projet'!$B$12,Paramètres!$A$1:$I$89,3,0)*VLOOKUP('Données projet'!$B$12,Paramètres!$A$1:$I$89,5,0)</f>
        <v>2.6602720026858149E-13</v>
      </c>
      <c r="CA187" s="13">
        <f t="shared" si="170"/>
        <v>3.5662905043956649E-12</v>
      </c>
      <c r="CB187" s="20">
        <f t="shared" si="171"/>
        <v>6.6746200022902298E-12</v>
      </c>
      <c r="CC187" s="59">
        <f t="shared" si="119"/>
        <v>293.33333333333997</v>
      </c>
      <c r="CD187" s="59">
        <f ca="1">AVERAGE(OFFSET($CC$3,0,0,'Données projet'!$E$12+1,1))-AVERAGE(OFFSET($H$3,0,0,'Données projet'!$E$12+1,1))</f>
        <v>123.2823358462245</v>
      </c>
      <c r="CE187" s="59">
        <f t="shared" si="148"/>
        <v>92.75115399786057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-2.8421709430404007E-13</v>
      </c>
      <c r="CU187" s="17">
        <f>CT187*VLOOKUP('Données projet'!$B$13,Paramètres!$A$1:$I$89,3,0)*VLOOKUP('Données projet'!$B$13,Paramètres!$A$1:$I$89,5,0)</f>
        <v>-1.69961822393816E-13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179.32848817523677</v>
      </c>
      <c r="CZ187" s="59">
        <f t="shared" si="150"/>
        <v>131.3292389103035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0.18432032318210442</v>
      </c>
      <c r="DH187" s="21">
        <f>EXP(-LN(2)/2)*DH186+(1-EXP(-LN(2)/2))/(LN(2)/2)*DB187*DE187*VLOOKUP('Données projet'!$B$13,Paramètres!$A$1:$I$89,3,0)*0.475*44/12</f>
        <v>3.4826748122051638E-23</v>
      </c>
      <c r="DI187" s="22">
        <f t="shared" si="175"/>
        <v>0.18432032318210442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-7.3896444519050419E-13</v>
      </c>
      <c r="DP187" s="17">
        <f>DO187*VLOOKUP('Données projet'!$B$14,Paramètres!$A$1:$I$89,3,0)*VLOOKUP('Données projet'!$B$14,Paramètres!$A$1:$I$89,5,0)</f>
        <v>-7.147264113882557E-13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340.4659523898373</v>
      </c>
      <c r="DU187" s="59">
        <f t="shared" si="152"/>
        <v>170.54530785680572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-6.5369931689929217E-13</v>
      </c>
      <c r="EK187" s="17">
        <f>EJ187*VLOOKUP('Données projet'!$B$15,Paramètres!$A$1:$I$89,3,0)*VLOOKUP('Données projet'!$B$15,Paramètres!$A$1:$I$89,5,0)</f>
        <v>-6.3225797930499538E-13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262.20955982183017</v>
      </c>
      <c r="EP187" s="59">
        <f t="shared" si="154"/>
        <v>101.35842063036193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5.6843418860808015E-14</v>
      </c>
      <c r="FF187" s="17">
        <f>FE187*VLOOKUP('Données projet'!$B$16,Paramètres!$A$1:$I$89,3,0)*VLOOKUP('Données projet'!$B$16,Paramètres!$A$1:$I$89,5,0)</f>
        <v>4.5224624045658861E-14</v>
      </c>
      <c r="FG187" s="13">
        <f t="shared" si="182"/>
        <v>7.4514601661523691E-13</v>
      </c>
      <c r="FH187" s="20">
        <f t="shared" si="183"/>
        <v>1.3765621991510601E-12</v>
      </c>
      <c r="FI187" s="59">
        <f t="shared" si="131"/>
        <v>293.33333333333468</v>
      </c>
      <c r="FJ187" s="59">
        <f ca="1">AVERAGE(OFFSET($FI$3,0,0,'Données projet'!$E$16+1,1))-AVERAGE(OFFSET($H$3,0,0,'Données projet'!$E$16+1,1))</f>
        <v>199.58763537752952</v>
      </c>
      <c r="FK187" s="59">
        <f t="shared" si="156"/>
        <v>242.62852778451929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0.14380502724821859</v>
      </c>
      <c r="FS187" s="21">
        <f>EXP(-LN(2)/2)*FS186+(1-EXP(-LN(2)/2))/(LN(2)/2)*FM187*FP187*VLOOKUP('Données projet'!$B$16,Paramètres!$A$1:$I$89,3,0)*0.475*44/12</f>
        <v>7.1214019709832622E-23</v>
      </c>
      <c r="FT187" s="22">
        <f t="shared" si="184"/>
        <v>0.14380502724821859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5.6843418860808015E-14</v>
      </c>
      <c r="GA187" s="17">
        <f>FZ187*VLOOKUP('Données projet'!$B$17,Paramètres!$A$1:$I$89,3,0)*VLOOKUP('Données projet'!$B$17,Paramètres!$A$1:$I$89,5,0)</f>
        <v>4.1677594708744434E-14</v>
      </c>
      <c r="GB187" s="13">
        <f t="shared" si="185"/>
        <v>6.9326303456159188E-13</v>
      </c>
      <c r="GC187" s="20">
        <f t="shared" si="186"/>
        <v>1.2800215959791691E-12</v>
      </c>
      <c r="GD187" s="59">
        <f t="shared" si="134"/>
        <v>293.33333333333462</v>
      </c>
      <c r="GE187" s="59">
        <f ca="1">AVERAGE(OFFSET($GD$3,0,0,'Données projet'!$E$17+1,1))-AVERAGE(OFFSET($H$3,0,0,'Données projet'!$E$17+1,1))</f>
        <v>178.12968684094687</v>
      </c>
      <c r="GF187" s="59">
        <f t="shared" si="158"/>
        <v>219.36004077210373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0.10752125788703282</v>
      </c>
      <c r="GN187" s="21">
        <f>EXP(-LN(2)/2)*GN186+(1-EXP(-LN(2)/2))/(LN(2)/2)*GH187*GK187*VLOOKUP('Données projet'!$B$17,Paramètres!$A$1:$I$89,3,0)*0.475*44/12</f>
        <v>6.5628606399257457E-23</v>
      </c>
      <c r="GO187" s="21">
        <f t="shared" si="187"/>
        <v>0.10752125788703282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5.6843418860808015E-14</v>
      </c>
      <c r="GV187" s="17">
        <f>GU187*VLOOKUP('Données projet'!$B$18,Paramètres!$A$1:$I$89,3,0)*VLOOKUP('Données projet'!$B$18,Paramètres!$A$1:$I$89,5,0)</f>
        <v>4.5224624045658861E-14</v>
      </c>
      <c r="GW187" s="13">
        <f t="shared" si="188"/>
        <v>7.4514601661523691E-13</v>
      </c>
      <c r="GX187" s="20">
        <f t="shared" si="189"/>
        <v>1.3765621991510601E-12</v>
      </c>
      <c r="GY187" s="59">
        <f t="shared" si="137"/>
        <v>293.33333333333468</v>
      </c>
      <c r="GZ187" s="59">
        <f ca="1">AVERAGE(OFFSET($GY$3,0,0,'Données projet'!$E$18+1,1))-AVERAGE(OFFSET($H$3,0,0,'Données projet'!$E$18+1,1))</f>
        <v>199.58763537752952</v>
      </c>
      <c r="HA187" s="59">
        <f t="shared" si="160"/>
        <v>242.62852778451929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0</v>
      </c>
      <c r="HH187" s="21">
        <f>EXP(-LN(2)/25)*HH186+(1-EXP(-LN(2)/25))/(LN(2)/25)*Calculateur!HC187*Calculateur!HE187*VLOOKUP('Données projet'!$B$18,Paramètres!$A$1:$I$89,3,0)*0.475*44/12</f>
        <v>0.14380502724821859</v>
      </c>
      <c r="HI187" s="21">
        <f>EXP(-LN(2)/2)*HI186+(1-EXP(-LN(2)/2))/(LN(2)/2)*HC187*HF187*VLOOKUP('Données projet'!$B$18,Paramètres!$A$1:$I$89,3,0)*0.475*44/12</f>
        <v>7.1214019709832622E-23</v>
      </c>
      <c r="HJ187" s="22">
        <f t="shared" si="190"/>
        <v>0.14380502724821859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-7.3896444519050419E-13</v>
      </c>
      <c r="O188" s="13">
        <f>N188*VLOOKUP('Données projet'!$B$9,Paramètres!$A$1:$I$89,3,0)*VLOOKUP('Données projet'!$B$9,Paramètres!$A$1:$I$89,5,0)</f>
        <v>-6.6861503000836817E-13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309.07357540707869</v>
      </c>
      <c r="T188" s="59">
        <f t="shared" si="142"/>
        <v>155.9593924683299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-6.5369931689929217E-13</v>
      </c>
      <c r="AJ188" s="13">
        <f>AI188*VLOOKUP('Données projet'!$B$10,Paramètres!$A$1:$I$89,3,0)*VLOOKUP('Données projet'!$B$10,Paramètres!$A$1:$I$89,5,0)</f>
        <v>-5.9146714193047959E-13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234.30804102916278</v>
      </c>
      <c r="AO188" s="59">
        <f t="shared" si="144"/>
        <v>91.137993288782411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3.4106051316484809E-13</v>
      </c>
      <c r="BE188" s="13">
        <f>BD188*VLOOKUP('Données projet'!$B$11,Paramètres!$A$1:$I$89,3,0)*VLOOKUP('Données projet'!$B$11,Paramètres!$A$1:$I$89,5,0)</f>
        <v>1.5961632016114892E-13</v>
      </c>
      <c r="BF188" s="13">
        <f t="shared" si="167"/>
        <v>2.2708641912150958E-12</v>
      </c>
      <c r="BG188" s="20">
        <f t="shared" si="168"/>
        <v>4.2330868906469593E-12</v>
      </c>
      <c r="BH188" s="59">
        <f t="shared" si="116"/>
        <v>293.33333333333752</v>
      </c>
      <c r="BI188" s="59">
        <f ca="1">AVERAGE(OFFSET($BH$3,0,0,'Données projet'!$E$11+1,1))-AVERAGE(OFFSET($H$3,0,0,'Données projet'!$E$11+1,1))</f>
        <v>158.58786357608489</v>
      </c>
      <c r="BJ188" s="59">
        <f t="shared" si="146"/>
        <v>163.20074068819849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5.6843418860808015E-13</v>
      </c>
      <c r="BZ188" s="13">
        <f>BY188*VLOOKUP('Données projet'!$B$12,Paramètres!$A$1:$I$89,3,0)*VLOOKUP('Données projet'!$B$12,Paramètres!$A$1:$I$89,5,0)</f>
        <v>2.6602720026858149E-13</v>
      </c>
      <c r="CA188" s="13">
        <f t="shared" si="170"/>
        <v>3.5662905043956649E-12</v>
      </c>
      <c r="CB188" s="20">
        <f t="shared" si="171"/>
        <v>6.6746200022902298E-12</v>
      </c>
      <c r="CC188" s="59">
        <f t="shared" si="119"/>
        <v>293.33333333333997</v>
      </c>
      <c r="CD188" s="59">
        <f ca="1">AVERAGE(OFFSET($CC$3,0,0,'Données projet'!$E$12+1,1))-AVERAGE(OFFSET($H$3,0,0,'Données projet'!$E$12+1,1))</f>
        <v>123.2823358462245</v>
      </c>
      <c r="CE188" s="59">
        <f t="shared" si="148"/>
        <v>92.75115399786057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-2.8421709430404007E-13</v>
      </c>
      <c r="CU188" s="17">
        <f>CT188*VLOOKUP('Données projet'!$B$13,Paramètres!$A$1:$I$89,3,0)*VLOOKUP('Données projet'!$B$13,Paramètres!$A$1:$I$89,5,0)</f>
        <v>-1.69961822393816E-13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179.32848817523677</v>
      </c>
      <c r="CZ188" s="59">
        <f t="shared" si="150"/>
        <v>131.3292389103035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0.17928007425170525</v>
      </c>
      <c r="DH188" s="21">
        <f>EXP(-LN(2)/2)*DH187+(1-EXP(-LN(2)/2))/(LN(2)/2)*DB188*DE188*VLOOKUP('Données projet'!$B$13,Paramètres!$A$1:$I$89,3,0)*0.475*44/12</f>
        <v>2.4626229763778573E-23</v>
      </c>
      <c r="DI188" s="22">
        <f t="shared" si="175"/>
        <v>0.17928007425170525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-7.3896444519050419E-13</v>
      </c>
      <c r="DP188" s="17">
        <f>DO188*VLOOKUP('Données projet'!$B$14,Paramètres!$A$1:$I$89,3,0)*VLOOKUP('Données projet'!$B$14,Paramètres!$A$1:$I$89,5,0)</f>
        <v>-7.147264113882557E-13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340.4659523898373</v>
      </c>
      <c r="DU188" s="59">
        <f t="shared" si="152"/>
        <v>170.54530785680572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-6.5369931689929217E-13</v>
      </c>
      <c r="EK188" s="17">
        <f>EJ188*VLOOKUP('Données projet'!$B$15,Paramètres!$A$1:$I$89,3,0)*VLOOKUP('Données projet'!$B$15,Paramètres!$A$1:$I$89,5,0)</f>
        <v>-6.3225797930499538E-13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262.20955982183017</v>
      </c>
      <c r="EP188" s="59">
        <f t="shared" si="154"/>
        <v>101.35842063036193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5.6843418860808015E-14</v>
      </c>
      <c r="FF188" s="17">
        <f>FE188*VLOOKUP('Données projet'!$B$16,Paramètres!$A$1:$I$89,3,0)*VLOOKUP('Données projet'!$B$16,Paramètres!$A$1:$I$89,5,0)</f>
        <v>4.5224624045658861E-14</v>
      </c>
      <c r="FG188" s="13">
        <f t="shared" si="182"/>
        <v>7.4514601661523691E-13</v>
      </c>
      <c r="FH188" s="20">
        <f t="shared" si="183"/>
        <v>1.3765621991510601E-12</v>
      </c>
      <c r="FI188" s="59">
        <f t="shared" si="131"/>
        <v>293.33333333333468</v>
      </c>
      <c r="FJ188" s="59">
        <f ca="1">AVERAGE(OFFSET($FI$3,0,0,'Données projet'!$E$16+1,1))-AVERAGE(OFFSET($H$3,0,0,'Données projet'!$E$16+1,1))</f>
        <v>199.58763537752952</v>
      </c>
      <c r="FK188" s="59">
        <f t="shared" si="156"/>
        <v>242.62852778451929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0.13987267121573835</v>
      </c>
      <c r="FS188" s="21">
        <f>EXP(-LN(2)/2)*FS187+(1-EXP(-LN(2)/2))/(LN(2)/2)*FM188*FP188*VLOOKUP('Données projet'!$B$16,Paramètres!$A$1:$I$89,3,0)*0.475*44/12</f>
        <v>5.0355916252375099E-23</v>
      </c>
      <c r="FT188" s="22">
        <f t="shared" si="184"/>
        <v>0.13987267121573835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5.6843418860808015E-14</v>
      </c>
      <c r="GA188" s="17">
        <f>FZ188*VLOOKUP('Données projet'!$B$17,Paramètres!$A$1:$I$89,3,0)*VLOOKUP('Données projet'!$B$17,Paramètres!$A$1:$I$89,5,0)</f>
        <v>4.1677594708744434E-14</v>
      </c>
      <c r="GB188" s="13">
        <f t="shared" si="185"/>
        <v>6.9326303456159188E-13</v>
      </c>
      <c r="GC188" s="20">
        <f t="shared" si="186"/>
        <v>1.2800215959791691E-12</v>
      </c>
      <c r="GD188" s="59">
        <f t="shared" si="134"/>
        <v>293.33333333333462</v>
      </c>
      <c r="GE188" s="59">
        <f ca="1">AVERAGE(OFFSET($GD$3,0,0,'Données projet'!$E$17+1,1))-AVERAGE(OFFSET($H$3,0,0,'Données projet'!$E$17+1,1))</f>
        <v>178.12968684094687</v>
      </c>
      <c r="GF188" s="59">
        <f t="shared" si="158"/>
        <v>219.36004077210373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0.1045810834358147</v>
      </c>
      <c r="GN188" s="21">
        <f>EXP(-LN(2)/2)*GN187+(1-EXP(-LN(2)/2))/(LN(2)/2)*GH188*GK188*VLOOKUP('Données projet'!$B$17,Paramètres!$A$1:$I$89,3,0)*0.475*44/12</f>
        <v>4.6406432624737796E-23</v>
      </c>
      <c r="GO188" s="21">
        <f t="shared" si="187"/>
        <v>0.1045810834358147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5.6843418860808015E-14</v>
      </c>
      <c r="GV188" s="17">
        <f>GU188*VLOOKUP('Données projet'!$B$18,Paramètres!$A$1:$I$89,3,0)*VLOOKUP('Données projet'!$B$18,Paramètres!$A$1:$I$89,5,0)</f>
        <v>4.5224624045658861E-14</v>
      </c>
      <c r="GW188" s="13">
        <f t="shared" si="188"/>
        <v>7.4514601661523691E-13</v>
      </c>
      <c r="GX188" s="20">
        <f t="shared" si="189"/>
        <v>1.3765621991510601E-12</v>
      </c>
      <c r="GY188" s="59">
        <f t="shared" si="137"/>
        <v>293.33333333333468</v>
      </c>
      <c r="GZ188" s="59">
        <f ca="1">AVERAGE(OFFSET($GY$3,0,0,'Données projet'!$E$18+1,1))-AVERAGE(OFFSET($H$3,0,0,'Données projet'!$E$18+1,1))</f>
        <v>199.58763537752952</v>
      </c>
      <c r="HA188" s="59">
        <f t="shared" si="160"/>
        <v>242.62852778451929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0</v>
      </c>
      <c r="HH188" s="21">
        <f>EXP(-LN(2)/25)*HH187+(1-EXP(-LN(2)/25))/(LN(2)/25)*Calculateur!HC188*Calculateur!HE188*VLOOKUP('Données projet'!$B$18,Paramètres!$A$1:$I$89,3,0)*0.475*44/12</f>
        <v>0.13987267121573835</v>
      </c>
      <c r="HI188" s="21">
        <f>EXP(-LN(2)/2)*HI187+(1-EXP(-LN(2)/2))/(LN(2)/2)*HC188*HF188*VLOOKUP('Données projet'!$B$18,Paramètres!$A$1:$I$89,3,0)*0.475*44/12</f>
        <v>5.0355916252375099E-23</v>
      </c>
      <c r="HJ188" s="22">
        <f t="shared" si="190"/>
        <v>0.13987267121573835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-7.3896444519050419E-13</v>
      </c>
      <c r="O189" s="13">
        <f>N189*VLOOKUP('Données projet'!$B$9,Paramètres!$A$1:$I$89,3,0)*VLOOKUP('Données projet'!$B$9,Paramètres!$A$1:$I$89,5,0)</f>
        <v>-6.6861503000836817E-13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309.07357540707869</v>
      </c>
      <c r="T189" s="59">
        <f t="shared" si="142"/>
        <v>155.9593924683299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-6.5369931689929217E-13</v>
      </c>
      <c r="AJ189" s="13">
        <f>AI189*VLOOKUP('Données projet'!$B$10,Paramètres!$A$1:$I$89,3,0)*VLOOKUP('Données projet'!$B$10,Paramètres!$A$1:$I$89,5,0)</f>
        <v>-5.9146714193047959E-13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234.30804102916278</v>
      </c>
      <c r="AO189" s="59">
        <f t="shared" si="144"/>
        <v>91.137993288782411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3.4106051316484809E-13</v>
      </c>
      <c r="BE189" s="13">
        <f>BD189*VLOOKUP('Données projet'!$B$11,Paramètres!$A$1:$I$89,3,0)*VLOOKUP('Données projet'!$B$11,Paramètres!$A$1:$I$89,5,0)</f>
        <v>1.5961632016114892E-13</v>
      </c>
      <c r="BF189" s="13">
        <f t="shared" si="167"/>
        <v>2.2708641912150958E-12</v>
      </c>
      <c r="BG189" s="20">
        <f t="shared" si="168"/>
        <v>4.2330868906469593E-12</v>
      </c>
      <c r="BH189" s="59">
        <f t="shared" si="116"/>
        <v>293.33333333333752</v>
      </c>
      <c r="BI189" s="59">
        <f ca="1">AVERAGE(OFFSET($BH$3,0,0,'Données projet'!$E$11+1,1))-AVERAGE(OFFSET($H$3,0,0,'Données projet'!$E$11+1,1))</f>
        <v>158.58786357608489</v>
      </c>
      <c r="BJ189" s="59">
        <f t="shared" si="146"/>
        <v>163.20074068819849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5.6843418860808015E-13</v>
      </c>
      <c r="BZ189" s="13">
        <f>BY189*VLOOKUP('Données projet'!$B$12,Paramètres!$A$1:$I$89,3,0)*VLOOKUP('Données projet'!$B$12,Paramètres!$A$1:$I$89,5,0)</f>
        <v>2.6602720026858149E-13</v>
      </c>
      <c r="CA189" s="13">
        <f t="shared" si="170"/>
        <v>3.5662905043956649E-12</v>
      </c>
      <c r="CB189" s="20">
        <f t="shared" si="171"/>
        <v>6.6746200022902298E-12</v>
      </c>
      <c r="CC189" s="59">
        <f t="shared" si="119"/>
        <v>293.33333333333997</v>
      </c>
      <c r="CD189" s="59">
        <f ca="1">AVERAGE(OFFSET($CC$3,0,0,'Données projet'!$E$12+1,1))-AVERAGE(OFFSET($H$3,0,0,'Données projet'!$E$12+1,1))</f>
        <v>123.2823358462245</v>
      </c>
      <c r="CE189" s="59">
        <f t="shared" si="148"/>
        <v>92.75115399786057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-2.8421709430404007E-13</v>
      </c>
      <c r="CU189" s="17">
        <f>CT189*VLOOKUP('Données projet'!$B$13,Paramètres!$A$1:$I$89,3,0)*VLOOKUP('Données projet'!$B$13,Paramètres!$A$1:$I$89,5,0)</f>
        <v>-1.69961822393816E-13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179.32848817523677</v>
      </c>
      <c r="CZ189" s="59">
        <f t="shared" si="150"/>
        <v>131.3292389103035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0.17437765119336301</v>
      </c>
      <c r="DH189" s="21">
        <f>EXP(-LN(2)/2)*DH188+(1-EXP(-LN(2)/2))/(LN(2)/2)*DB189*DE189*VLOOKUP('Données projet'!$B$13,Paramètres!$A$1:$I$89,3,0)*0.475*44/12</f>
        <v>1.7413374061025819E-23</v>
      </c>
      <c r="DI189" s="22">
        <f t="shared" si="175"/>
        <v>0.17437765119336301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-7.3896444519050419E-13</v>
      </c>
      <c r="DP189" s="17">
        <f>DO189*VLOOKUP('Données projet'!$B$14,Paramètres!$A$1:$I$89,3,0)*VLOOKUP('Données projet'!$B$14,Paramètres!$A$1:$I$89,5,0)</f>
        <v>-7.147264113882557E-13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340.4659523898373</v>
      </c>
      <c r="DU189" s="59">
        <f t="shared" si="152"/>
        <v>170.54530785680572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-6.5369931689929217E-13</v>
      </c>
      <c r="EK189" s="17">
        <f>EJ189*VLOOKUP('Données projet'!$B$15,Paramètres!$A$1:$I$89,3,0)*VLOOKUP('Données projet'!$B$15,Paramètres!$A$1:$I$89,5,0)</f>
        <v>-6.3225797930499538E-13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262.20955982183017</v>
      </c>
      <c r="EP189" s="59">
        <f t="shared" si="154"/>
        <v>101.35842063036193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5.6843418860808015E-14</v>
      </c>
      <c r="FF189" s="17">
        <f>FE189*VLOOKUP('Données projet'!$B$16,Paramètres!$A$1:$I$89,3,0)*VLOOKUP('Données projet'!$B$16,Paramètres!$A$1:$I$89,5,0)</f>
        <v>4.5224624045658861E-14</v>
      </c>
      <c r="FG189" s="13">
        <f t="shared" si="182"/>
        <v>7.4514601661523691E-13</v>
      </c>
      <c r="FH189" s="20">
        <f t="shared" si="183"/>
        <v>1.3765621991510601E-12</v>
      </c>
      <c r="FI189" s="59">
        <f t="shared" si="131"/>
        <v>293.33333333333468</v>
      </c>
      <c r="FJ189" s="59">
        <f ca="1">AVERAGE(OFFSET($FI$3,0,0,'Données projet'!$E$16+1,1))-AVERAGE(OFFSET($H$3,0,0,'Données projet'!$E$16+1,1))</f>
        <v>199.58763537752952</v>
      </c>
      <c r="FK189" s="59">
        <f t="shared" si="156"/>
        <v>242.62852778451929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0.13604784566575989</v>
      </c>
      <c r="FS189" s="21">
        <f>EXP(-LN(2)/2)*FS188+(1-EXP(-LN(2)/2))/(LN(2)/2)*FM189*FP189*VLOOKUP('Données projet'!$B$16,Paramètres!$A$1:$I$89,3,0)*0.475*44/12</f>
        <v>3.5607009854916311E-23</v>
      </c>
      <c r="FT189" s="22">
        <f t="shared" si="184"/>
        <v>0.13604784566575989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5.6843418860808015E-14</v>
      </c>
      <c r="GA189" s="17">
        <f>FZ189*VLOOKUP('Données projet'!$B$17,Paramètres!$A$1:$I$89,3,0)*VLOOKUP('Données projet'!$B$17,Paramètres!$A$1:$I$89,5,0)</f>
        <v>4.1677594708744434E-14</v>
      </c>
      <c r="GB189" s="13">
        <f t="shared" si="185"/>
        <v>6.9326303456159188E-13</v>
      </c>
      <c r="GC189" s="20">
        <f t="shared" si="186"/>
        <v>1.2800215959791691E-12</v>
      </c>
      <c r="GD189" s="59">
        <f t="shared" si="134"/>
        <v>293.33333333333462</v>
      </c>
      <c r="GE189" s="59">
        <f ca="1">AVERAGE(OFFSET($GD$3,0,0,'Données projet'!$E$17+1,1))-AVERAGE(OFFSET($H$3,0,0,'Données projet'!$E$17+1,1))</f>
        <v>178.12968684094687</v>
      </c>
      <c r="GF189" s="59">
        <f t="shared" si="158"/>
        <v>219.36004077210373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0.10172130820958218</v>
      </c>
      <c r="GN189" s="21">
        <f>EXP(-LN(2)/2)*GN188+(1-EXP(-LN(2)/2))/(LN(2)/2)*GH189*GK189*VLOOKUP('Données projet'!$B$17,Paramètres!$A$1:$I$89,3,0)*0.475*44/12</f>
        <v>3.2814303199628728E-23</v>
      </c>
      <c r="GO189" s="21">
        <f t="shared" si="187"/>
        <v>0.10172130820958218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5.6843418860808015E-14</v>
      </c>
      <c r="GV189" s="17">
        <f>GU189*VLOOKUP('Données projet'!$B$18,Paramètres!$A$1:$I$89,3,0)*VLOOKUP('Données projet'!$B$18,Paramètres!$A$1:$I$89,5,0)</f>
        <v>4.5224624045658861E-14</v>
      </c>
      <c r="GW189" s="13">
        <f t="shared" si="188"/>
        <v>7.4514601661523691E-13</v>
      </c>
      <c r="GX189" s="20">
        <f t="shared" si="189"/>
        <v>1.3765621991510601E-12</v>
      </c>
      <c r="GY189" s="59">
        <f t="shared" si="137"/>
        <v>293.33333333333468</v>
      </c>
      <c r="GZ189" s="59">
        <f ca="1">AVERAGE(OFFSET($GY$3,0,0,'Données projet'!$E$18+1,1))-AVERAGE(OFFSET($H$3,0,0,'Données projet'!$E$18+1,1))</f>
        <v>199.58763537752952</v>
      </c>
      <c r="HA189" s="59">
        <f t="shared" si="160"/>
        <v>242.62852778451929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0</v>
      </c>
      <c r="HH189" s="21">
        <f>EXP(-LN(2)/25)*HH188+(1-EXP(-LN(2)/25))/(LN(2)/25)*Calculateur!HC189*Calculateur!HE189*VLOOKUP('Données projet'!$B$18,Paramètres!$A$1:$I$89,3,0)*0.475*44/12</f>
        <v>0.13604784566575989</v>
      </c>
      <c r="HI189" s="21">
        <f>EXP(-LN(2)/2)*HI188+(1-EXP(-LN(2)/2))/(LN(2)/2)*HC189*HF189*VLOOKUP('Données projet'!$B$18,Paramètres!$A$1:$I$89,3,0)*0.475*44/12</f>
        <v>3.5607009854916311E-23</v>
      </c>
      <c r="HJ189" s="22">
        <f t="shared" si="190"/>
        <v>0.13604784566575989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-7.3896444519050419E-13</v>
      </c>
      <c r="O190" s="13">
        <f>N190*VLOOKUP('Données projet'!$B$9,Paramètres!$A$1:$I$89,3,0)*VLOOKUP('Données projet'!$B$9,Paramètres!$A$1:$I$89,5,0)</f>
        <v>-6.6861503000836817E-13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309.07357540707869</v>
      </c>
      <c r="T190" s="59">
        <f t="shared" si="142"/>
        <v>155.9593924683299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-6.5369931689929217E-13</v>
      </c>
      <c r="AJ190" s="13">
        <f>AI190*VLOOKUP('Données projet'!$B$10,Paramètres!$A$1:$I$89,3,0)*VLOOKUP('Données projet'!$B$10,Paramètres!$A$1:$I$89,5,0)</f>
        <v>-5.9146714193047959E-13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234.30804102916278</v>
      </c>
      <c r="AO190" s="59">
        <f t="shared" si="144"/>
        <v>91.137993288782411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3.4106051316484809E-13</v>
      </c>
      <c r="BE190" s="13">
        <f>BD190*VLOOKUP('Données projet'!$B$11,Paramètres!$A$1:$I$89,3,0)*VLOOKUP('Données projet'!$B$11,Paramètres!$A$1:$I$89,5,0)</f>
        <v>1.5961632016114892E-13</v>
      </c>
      <c r="BF190" s="13">
        <f t="shared" si="167"/>
        <v>2.2708641912150958E-12</v>
      </c>
      <c r="BG190" s="20">
        <f t="shared" si="168"/>
        <v>4.2330868906469593E-12</v>
      </c>
      <c r="BH190" s="59">
        <f t="shared" si="116"/>
        <v>293.33333333333752</v>
      </c>
      <c r="BI190" s="59">
        <f ca="1">AVERAGE(OFFSET($BH$3,0,0,'Données projet'!$E$11+1,1))-AVERAGE(OFFSET($H$3,0,0,'Données projet'!$E$11+1,1))</f>
        <v>158.58786357608489</v>
      </c>
      <c r="BJ190" s="59">
        <f t="shared" si="146"/>
        <v>163.20074068819849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5.6843418860808015E-13</v>
      </c>
      <c r="BZ190" s="13">
        <f>BY190*VLOOKUP('Données projet'!$B$12,Paramètres!$A$1:$I$89,3,0)*VLOOKUP('Données projet'!$B$12,Paramètres!$A$1:$I$89,5,0)</f>
        <v>2.6602720026858149E-13</v>
      </c>
      <c r="CA190" s="13">
        <f t="shared" si="170"/>
        <v>3.5662905043956649E-12</v>
      </c>
      <c r="CB190" s="20">
        <f t="shared" si="171"/>
        <v>6.6746200022902298E-12</v>
      </c>
      <c r="CC190" s="59">
        <f t="shared" si="119"/>
        <v>293.33333333333997</v>
      </c>
      <c r="CD190" s="59">
        <f ca="1">AVERAGE(OFFSET($CC$3,0,0,'Données projet'!$E$12+1,1))-AVERAGE(OFFSET($H$3,0,0,'Données projet'!$E$12+1,1))</f>
        <v>123.2823358462245</v>
      </c>
      <c r="CE190" s="59">
        <f t="shared" si="148"/>
        <v>92.75115399786057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-2.8421709430404007E-13</v>
      </c>
      <c r="CU190" s="17">
        <f>CT190*VLOOKUP('Données projet'!$B$13,Paramètres!$A$1:$I$89,3,0)*VLOOKUP('Données projet'!$B$13,Paramètres!$A$1:$I$89,5,0)</f>
        <v>-1.69961822393816E-13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179.32848817523677</v>
      </c>
      <c r="CZ190" s="59">
        <f t="shared" si="150"/>
        <v>131.3292389103035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0.16960928515135837</v>
      </c>
      <c r="DH190" s="21">
        <f>EXP(-LN(2)/2)*DH189+(1-EXP(-LN(2)/2))/(LN(2)/2)*DB190*DE190*VLOOKUP('Données projet'!$B$13,Paramètres!$A$1:$I$89,3,0)*0.475*44/12</f>
        <v>1.2313114881889286E-23</v>
      </c>
      <c r="DI190" s="22">
        <f t="shared" si="175"/>
        <v>0.16960928515135837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-7.3896444519050419E-13</v>
      </c>
      <c r="DP190" s="17">
        <f>DO190*VLOOKUP('Données projet'!$B$14,Paramètres!$A$1:$I$89,3,0)*VLOOKUP('Données projet'!$B$14,Paramètres!$A$1:$I$89,5,0)</f>
        <v>-7.147264113882557E-13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340.4659523898373</v>
      </c>
      <c r="DU190" s="59">
        <f t="shared" si="152"/>
        <v>170.54530785680572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-6.5369931689929217E-13</v>
      </c>
      <c r="EK190" s="17">
        <f>EJ190*VLOOKUP('Données projet'!$B$15,Paramètres!$A$1:$I$89,3,0)*VLOOKUP('Données projet'!$B$15,Paramètres!$A$1:$I$89,5,0)</f>
        <v>-6.3225797930499538E-13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262.20955982183017</v>
      </c>
      <c r="EP190" s="59">
        <f t="shared" si="154"/>
        <v>101.35842063036193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5.6843418860808015E-14</v>
      </c>
      <c r="FF190" s="17">
        <f>FE190*VLOOKUP('Données projet'!$B$16,Paramètres!$A$1:$I$89,3,0)*VLOOKUP('Données projet'!$B$16,Paramètres!$A$1:$I$89,5,0)</f>
        <v>4.5224624045658861E-14</v>
      </c>
      <c r="FG190" s="13">
        <f t="shared" si="182"/>
        <v>7.4514601661523691E-13</v>
      </c>
      <c r="FH190" s="20">
        <f t="shared" si="183"/>
        <v>1.3765621991510601E-12</v>
      </c>
      <c r="FI190" s="59">
        <f t="shared" si="131"/>
        <v>293.33333333333468</v>
      </c>
      <c r="FJ190" s="59">
        <f ca="1">AVERAGE(OFFSET($FI$3,0,0,'Données projet'!$E$16+1,1))-AVERAGE(OFFSET($H$3,0,0,'Données projet'!$E$16+1,1))</f>
        <v>199.58763537752952</v>
      </c>
      <c r="FK190" s="59">
        <f t="shared" si="156"/>
        <v>242.62852778451929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0.13232761017158443</v>
      </c>
      <c r="FS190" s="21">
        <f>EXP(-LN(2)/2)*FS189+(1-EXP(-LN(2)/2))/(LN(2)/2)*FM190*FP190*VLOOKUP('Données projet'!$B$16,Paramètres!$A$1:$I$89,3,0)*0.475*44/12</f>
        <v>2.517795812618755E-23</v>
      </c>
      <c r="FT190" s="22">
        <f t="shared" si="184"/>
        <v>0.13232761017158443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5.6843418860808015E-14</v>
      </c>
      <c r="GA190" s="17">
        <f>FZ190*VLOOKUP('Données projet'!$B$17,Paramètres!$A$1:$I$89,3,0)*VLOOKUP('Données projet'!$B$17,Paramètres!$A$1:$I$89,5,0)</f>
        <v>4.1677594708744434E-14</v>
      </c>
      <c r="GB190" s="13">
        <f t="shared" si="185"/>
        <v>6.9326303456159188E-13</v>
      </c>
      <c r="GC190" s="20">
        <f t="shared" si="186"/>
        <v>1.2800215959791691E-12</v>
      </c>
      <c r="GD190" s="59">
        <f t="shared" si="134"/>
        <v>293.33333333333462</v>
      </c>
      <c r="GE190" s="59">
        <f ca="1">AVERAGE(OFFSET($GD$3,0,0,'Données projet'!$E$17+1,1))-AVERAGE(OFFSET($H$3,0,0,'Données projet'!$E$17+1,1))</f>
        <v>178.12968684094687</v>
      </c>
      <c r="GF190" s="59">
        <f t="shared" si="158"/>
        <v>219.36004077210373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9.8939733687300038E-2</v>
      </c>
      <c r="GN190" s="21">
        <f>EXP(-LN(2)/2)*GN189+(1-EXP(-LN(2)/2))/(LN(2)/2)*GH190*GK190*VLOOKUP('Données projet'!$B$17,Paramètres!$A$1:$I$89,3,0)*0.475*44/12</f>
        <v>2.3203216312368898E-23</v>
      </c>
      <c r="GO190" s="21">
        <f t="shared" si="187"/>
        <v>9.8939733687300038E-2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5.6843418860808015E-14</v>
      </c>
      <c r="GV190" s="17">
        <f>GU190*VLOOKUP('Données projet'!$B$18,Paramètres!$A$1:$I$89,3,0)*VLOOKUP('Données projet'!$B$18,Paramètres!$A$1:$I$89,5,0)</f>
        <v>4.5224624045658861E-14</v>
      </c>
      <c r="GW190" s="13">
        <f t="shared" si="188"/>
        <v>7.4514601661523691E-13</v>
      </c>
      <c r="GX190" s="20">
        <f t="shared" si="189"/>
        <v>1.3765621991510601E-12</v>
      </c>
      <c r="GY190" s="59">
        <f t="shared" si="137"/>
        <v>293.33333333333468</v>
      </c>
      <c r="GZ190" s="59">
        <f ca="1">AVERAGE(OFFSET($GY$3,0,0,'Données projet'!$E$18+1,1))-AVERAGE(OFFSET($H$3,0,0,'Données projet'!$E$18+1,1))</f>
        <v>199.58763537752952</v>
      </c>
      <c r="HA190" s="59">
        <f t="shared" si="160"/>
        <v>242.62852778451929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0</v>
      </c>
      <c r="HH190" s="21">
        <f>EXP(-LN(2)/25)*HH189+(1-EXP(-LN(2)/25))/(LN(2)/25)*Calculateur!HC190*Calculateur!HE190*VLOOKUP('Données projet'!$B$18,Paramètres!$A$1:$I$89,3,0)*0.475*44/12</f>
        <v>0.13232761017158443</v>
      </c>
      <c r="HI190" s="21">
        <f>EXP(-LN(2)/2)*HI189+(1-EXP(-LN(2)/2))/(LN(2)/2)*HC190*HF190*VLOOKUP('Données projet'!$B$18,Paramètres!$A$1:$I$89,3,0)*0.475*44/12</f>
        <v>2.517795812618755E-23</v>
      </c>
      <c r="HJ190" s="22">
        <f t="shared" si="190"/>
        <v>0.13232761017158443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-7.3896444519050419E-13</v>
      </c>
      <c r="O191" s="13">
        <f>N191*VLOOKUP('Données projet'!$B$9,Paramètres!$A$1:$I$89,3,0)*VLOOKUP('Données projet'!$B$9,Paramètres!$A$1:$I$89,5,0)</f>
        <v>-6.6861503000836817E-13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309.07357540707869</v>
      </c>
      <c r="T191" s="59">
        <f t="shared" si="142"/>
        <v>155.9593924683299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-6.5369931689929217E-13</v>
      </c>
      <c r="AJ191" s="13">
        <f>AI191*VLOOKUP('Données projet'!$B$10,Paramètres!$A$1:$I$89,3,0)*VLOOKUP('Données projet'!$B$10,Paramètres!$A$1:$I$89,5,0)</f>
        <v>-5.9146714193047959E-13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234.30804102916278</v>
      </c>
      <c r="AO191" s="59">
        <f t="shared" si="144"/>
        <v>91.137993288782411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3.4106051316484809E-13</v>
      </c>
      <c r="BE191" s="13">
        <f>BD191*VLOOKUP('Données projet'!$B$11,Paramètres!$A$1:$I$89,3,0)*VLOOKUP('Données projet'!$B$11,Paramètres!$A$1:$I$89,5,0)</f>
        <v>1.5961632016114892E-13</v>
      </c>
      <c r="BF191" s="13">
        <f t="shared" si="167"/>
        <v>2.2708641912150958E-12</v>
      </c>
      <c r="BG191" s="20">
        <f t="shared" si="168"/>
        <v>4.2330868906469593E-12</v>
      </c>
      <c r="BH191" s="59">
        <f t="shared" si="116"/>
        <v>293.33333333333752</v>
      </c>
      <c r="BI191" s="59">
        <f ca="1">AVERAGE(OFFSET($BH$3,0,0,'Données projet'!$E$11+1,1))-AVERAGE(OFFSET($H$3,0,0,'Données projet'!$E$11+1,1))</f>
        <v>158.58786357608489</v>
      </c>
      <c r="BJ191" s="59">
        <f t="shared" si="146"/>
        <v>163.20074068819849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5.6843418860808015E-13</v>
      </c>
      <c r="BZ191" s="13">
        <f>BY191*VLOOKUP('Données projet'!$B$12,Paramètres!$A$1:$I$89,3,0)*VLOOKUP('Données projet'!$B$12,Paramètres!$A$1:$I$89,5,0)</f>
        <v>2.6602720026858149E-13</v>
      </c>
      <c r="CA191" s="13">
        <f t="shared" si="170"/>
        <v>3.5662905043956649E-12</v>
      </c>
      <c r="CB191" s="20">
        <f t="shared" si="171"/>
        <v>6.6746200022902298E-12</v>
      </c>
      <c r="CC191" s="59">
        <f t="shared" si="119"/>
        <v>293.33333333333997</v>
      </c>
      <c r="CD191" s="59">
        <f ca="1">AVERAGE(OFFSET($CC$3,0,0,'Données projet'!$E$12+1,1))-AVERAGE(OFFSET($H$3,0,0,'Données projet'!$E$12+1,1))</f>
        <v>123.2823358462245</v>
      </c>
      <c r="CE191" s="59">
        <f t="shared" si="148"/>
        <v>92.75115399786057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-2.8421709430404007E-13</v>
      </c>
      <c r="CU191" s="17">
        <f>CT191*VLOOKUP('Données projet'!$B$13,Paramètres!$A$1:$I$89,3,0)*VLOOKUP('Données projet'!$B$13,Paramètres!$A$1:$I$89,5,0)</f>
        <v>-1.69961822393816E-13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179.32848817523677</v>
      </c>
      <c r="CZ191" s="59">
        <f t="shared" si="150"/>
        <v>131.3292389103035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0.1649713103295298</v>
      </c>
      <c r="DH191" s="21">
        <f>EXP(-LN(2)/2)*DH190+(1-EXP(-LN(2)/2))/(LN(2)/2)*DB191*DE191*VLOOKUP('Données projet'!$B$13,Paramètres!$A$1:$I$89,3,0)*0.475*44/12</f>
        <v>8.7066870305129095E-24</v>
      </c>
      <c r="DI191" s="22">
        <f t="shared" si="175"/>
        <v>0.1649713103295298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-7.3896444519050419E-13</v>
      </c>
      <c r="DP191" s="17">
        <f>DO191*VLOOKUP('Données projet'!$B$14,Paramètres!$A$1:$I$89,3,0)*VLOOKUP('Données projet'!$B$14,Paramètres!$A$1:$I$89,5,0)</f>
        <v>-7.147264113882557E-13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340.4659523898373</v>
      </c>
      <c r="DU191" s="59">
        <f t="shared" si="152"/>
        <v>170.54530785680572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-6.5369931689929217E-13</v>
      </c>
      <c r="EK191" s="17">
        <f>EJ191*VLOOKUP('Données projet'!$B$15,Paramètres!$A$1:$I$89,3,0)*VLOOKUP('Données projet'!$B$15,Paramètres!$A$1:$I$89,5,0)</f>
        <v>-6.3225797930499538E-13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262.20955982183017</v>
      </c>
      <c r="EP191" s="59">
        <f t="shared" si="154"/>
        <v>101.35842063036193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5.6843418860808015E-14</v>
      </c>
      <c r="FF191" s="17">
        <f>FE191*VLOOKUP('Données projet'!$B$16,Paramètres!$A$1:$I$89,3,0)*VLOOKUP('Données projet'!$B$16,Paramètres!$A$1:$I$89,5,0)</f>
        <v>4.5224624045658861E-14</v>
      </c>
      <c r="FG191" s="13">
        <f t="shared" si="182"/>
        <v>7.4514601661523691E-13</v>
      </c>
      <c r="FH191" s="20">
        <f t="shared" si="183"/>
        <v>1.3765621991510601E-12</v>
      </c>
      <c r="FI191" s="59">
        <f t="shared" si="131"/>
        <v>293.33333333333468</v>
      </c>
      <c r="FJ191" s="59">
        <f ca="1">AVERAGE(OFFSET($FI$3,0,0,'Données projet'!$E$16+1,1))-AVERAGE(OFFSET($H$3,0,0,'Données projet'!$E$16+1,1))</f>
        <v>199.58763537752952</v>
      </c>
      <c r="FK191" s="59">
        <f t="shared" si="156"/>
        <v>242.62852778451929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0.12870910471263586</v>
      </c>
      <c r="FS191" s="21">
        <f>EXP(-LN(2)/2)*FS190+(1-EXP(-LN(2)/2))/(LN(2)/2)*FM191*FP191*VLOOKUP('Données projet'!$B$16,Paramètres!$A$1:$I$89,3,0)*0.475*44/12</f>
        <v>1.7803504927458156E-23</v>
      </c>
      <c r="FT191" s="22">
        <f t="shared" si="184"/>
        <v>0.12870910471263586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5.6843418860808015E-14</v>
      </c>
      <c r="GA191" s="17">
        <f>FZ191*VLOOKUP('Données projet'!$B$17,Paramètres!$A$1:$I$89,3,0)*VLOOKUP('Données projet'!$B$17,Paramètres!$A$1:$I$89,5,0)</f>
        <v>4.1677594708744434E-14</v>
      </c>
      <c r="GB191" s="13">
        <f t="shared" si="185"/>
        <v>6.9326303456159188E-13</v>
      </c>
      <c r="GC191" s="20">
        <f t="shared" si="186"/>
        <v>1.2800215959791691E-12</v>
      </c>
      <c r="GD191" s="59">
        <f t="shared" si="134"/>
        <v>293.33333333333462</v>
      </c>
      <c r="GE191" s="59">
        <f ca="1">AVERAGE(OFFSET($GD$3,0,0,'Données projet'!$E$17+1,1))-AVERAGE(OFFSET($H$3,0,0,'Données projet'!$E$17+1,1))</f>
        <v>178.12968684094687</v>
      </c>
      <c r="GF191" s="59">
        <f t="shared" si="158"/>
        <v>219.36004077210373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9.6234221466606359E-2</v>
      </c>
      <c r="GN191" s="21">
        <f>EXP(-LN(2)/2)*GN190+(1-EXP(-LN(2)/2))/(LN(2)/2)*GH191*GK191*VLOOKUP('Données projet'!$B$17,Paramètres!$A$1:$I$89,3,0)*0.475*44/12</f>
        <v>1.6407151599814364E-23</v>
      </c>
      <c r="GO191" s="21">
        <f t="shared" si="187"/>
        <v>9.6234221466606359E-2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5.6843418860808015E-14</v>
      </c>
      <c r="GV191" s="17">
        <f>GU191*VLOOKUP('Données projet'!$B$18,Paramètres!$A$1:$I$89,3,0)*VLOOKUP('Données projet'!$B$18,Paramètres!$A$1:$I$89,5,0)</f>
        <v>4.5224624045658861E-14</v>
      </c>
      <c r="GW191" s="13">
        <f t="shared" si="188"/>
        <v>7.4514601661523691E-13</v>
      </c>
      <c r="GX191" s="20">
        <f t="shared" si="189"/>
        <v>1.3765621991510601E-12</v>
      </c>
      <c r="GY191" s="59">
        <f t="shared" si="137"/>
        <v>293.33333333333468</v>
      </c>
      <c r="GZ191" s="59">
        <f ca="1">AVERAGE(OFFSET($GY$3,0,0,'Données projet'!$E$18+1,1))-AVERAGE(OFFSET($H$3,0,0,'Données projet'!$E$18+1,1))</f>
        <v>199.58763537752952</v>
      </c>
      <c r="HA191" s="59">
        <f t="shared" si="160"/>
        <v>242.62852778451929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0</v>
      </c>
      <c r="HH191" s="21">
        <f>EXP(-LN(2)/25)*HH190+(1-EXP(-LN(2)/25))/(LN(2)/25)*Calculateur!HC191*Calculateur!HE191*VLOOKUP('Données projet'!$B$18,Paramètres!$A$1:$I$89,3,0)*0.475*44/12</f>
        <v>0.12870910471263586</v>
      </c>
      <c r="HI191" s="21">
        <f>EXP(-LN(2)/2)*HI190+(1-EXP(-LN(2)/2))/(LN(2)/2)*HC191*HF191*VLOOKUP('Données projet'!$B$18,Paramètres!$A$1:$I$89,3,0)*0.475*44/12</f>
        <v>1.7803504927458156E-23</v>
      </c>
      <c r="HJ191" s="22">
        <f t="shared" si="190"/>
        <v>0.12870910471263586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-7.3896444519050419E-13</v>
      </c>
      <c r="O192" s="13">
        <f>N192*VLOOKUP('Données projet'!$B$9,Paramètres!$A$1:$I$89,3,0)*VLOOKUP('Données projet'!$B$9,Paramètres!$A$1:$I$89,5,0)</f>
        <v>-6.6861503000836817E-13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309.07357540707869</v>
      </c>
      <c r="T192" s="59">
        <f t="shared" si="142"/>
        <v>155.9593924683299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-6.5369931689929217E-13</v>
      </c>
      <c r="AJ192" s="13">
        <f>AI192*VLOOKUP('Données projet'!$B$10,Paramètres!$A$1:$I$89,3,0)*VLOOKUP('Données projet'!$B$10,Paramètres!$A$1:$I$89,5,0)</f>
        <v>-5.9146714193047959E-13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234.30804102916278</v>
      </c>
      <c r="AO192" s="59">
        <f t="shared" si="144"/>
        <v>91.137993288782411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3.4106051316484809E-13</v>
      </c>
      <c r="BE192" s="13">
        <f>BD192*VLOOKUP('Données projet'!$B$11,Paramètres!$A$1:$I$89,3,0)*VLOOKUP('Données projet'!$B$11,Paramètres!$A$1:$I$89,5,0)</f>
        <v>1.5961632016114892E-13</v>
      </c>
      <c r="BF192" s="13">
        <f t="shared" si="167"/>
        <v>2.2708641912150958E-12</v>
      </c>
      <c r="BG192" s="20">
        <f t="shared" si="168"/>
        <v>4.2330868906469593E-12</v>
      </c>
      <c r="BH192" s="59">
        <f t="shared" si="116"/>
        <v>293.33333333333752</v>
      </c>
      <c r="BI192" s="59">
        <f ca="1">AVERAGE(OFFSET($BH$3,0,0,'Données projet'!$E$11+1,1))-AVERAGE(OFFSET($H$3,0,0,'Données projet'!$E$11+1,1))</f>
        <v>158.58786357608489</v>
      </c>
      <c r="BJ192" s="59">
        <f t="shared" si="146"/>
        <v>163.20074068819849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5.6843418860808015E-13</v>
      </c>
      <c r="BZ192" s="13">
        <f>BY192*VLOOKUP('Données projet'!$B$12,Paramètres!$A$1:$I$89,3,0)*VLOOKUP('Données projet'!$B$12,Paramètres!$A$1:$I$89,5,0)</f>
        <v>2.6602720026858149E-13</v>
      </c>
      <c r="CA192" s="13">
        <f t="shared" si="170"/>
        <v>3.5662905043956649E-12</v>
      </c>
      <c r="CB192" s="20">
        <f t="shared" si="171"/>
        <v>6.6746200022902298E-12</v>
      </c>
      <c r="CC192" s="59">
        <f t="shared" si="119"/>
        <v>293.33333333333997</v>
      </c>
      <c r="CD192" s="59">
        <f ca="1">AVERAGE(OFFSET($CC$3,0,0,'Données projet'!$E$12+1,1))-AVERAGE(OFFSET($H$3,0,0,'Données projet'!$E$12+1,1))</f>
        <v>123.2823358462245</v>
      </c>
      <c r="CE192" s="59">
        <f t="shared" si="148"/>
        <v>92.75115399786057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-2.8421709430404007E-13</v>
      </c>
      <c r="CU192" s="17">
        <f>CT192*VLOOKUP('Données projet'!$B$13,Paramètres!$A$1:$I$89,3,0)*VLOOKUP('Données projet'!$B$13,Paramètres!$A$1:$I$89,5,0)</f>
        <v>-1.69961822393816E-13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179.32848817523677</v>
      </c>
      <c r="CZ192" s="59">
        <f t="shared" si="150"/>
        <v>131.3292389103035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0.16046016117310466</v>
      </c>
      <c r="DH192" s="21">
        <f>EXP(-LN(2)/2)*DH191+(1-EXP(-LN(2)/2))/(LN(2)/2)*DB192*DE192*VLOOKUP('Données projet'!$B$13,Paramètres!$A$1:$I$89,3,0)*0.475*44/12</f>
        <v>6.1565574409446432E-24</v>
      </c>
      <c r="DI192" s="22">
        <f t="shared" si="175"/>
        <v>0.16046016117310466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-7.3896444519050419E-13</v>
      </c>
      <c r="DP192" s="17">
        <f>DO192*VLOOKUP('Données projet'!$B$14,Paramètres!$A$1:$I$89,3,0)*VLOOKUP('Données projet'!$B$14,Paramètres!$A$1:$I$89,5,0)</f>
        <v>-7.147264113882557E-13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340.4659523898373</v>
      </c>
      <c r="DU192" s="59">
        <f t="shared" si="152"/>
        <v>170.54530785680572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-6.5369931689929217E-13</v>
      </c>
      <c r="EK192" s="17">
        <f>EJ192*VLOOKUP('Données projet'!$B$15,Paramètres!$A$1:$I$89,3,0)*VLOOKUP('Données projet'!$B$15,Paramètres!$A$1:$I$89,5,0)</f>
        <v>-6.3225797930499538E-13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262.20955982183017</v>
      </c>
      <c r="EP192" s="59">
        <f t="shared" si="154"/>
        <v>101.35842063036193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5.6843418860808015E-14</v>
      </c>
      <c r="FF192" s="17">
        <f>FE192*VLOOKUP('Données projet'!$B$16,Paramètres!$A$1:$I$89,3,0)*VLOOKUP('Données projet'!$B$16,Paramètres!$A$1:$I$89,5,0)</f>
        <v>4.5224624045658861E-14</v>
      </c>
      <c r="FG192" s="13">
        <f t="shared" si="182"/>
        <v>7.4514601661523691E-13</v>
      </c>
      <c r="FH192" s="20">
        <f t="shared" si="183"/>
        <v>1.3765621991510601E-12</v>
      </c>
      <c r="FI192" s="59">
        <f t="shared" si="131"/>
        <v>293.33333333333468</v>
      </c>
      <c r="FJ192" s="59">
        <f ca="1">AVERAGE(OFFSET($FI$3,0,0,'Données projet'!$E$16+1,1))-AVERAGE(OFFSET($H$3,0,0,'Données projet'!$E$16+1,1))</f>
        <v>199.58763537752952</v>
      </c>
      <c r="FK192" s="59">
        <f t="shared" si="156"/>
        <v>242.62852778451929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0.12518954747575117</v>
      </c>
      <c r="FS192" s="21">
        <f>EXP(-LN(2)/2)*FS191+(1-EXP(-LN(2)/2))/(LN(2)/2)*FM192*FP192*VLOOKUP('Données projet'!$B$16,Paramètres!$A$1:$I$89,3,0)*0.475*44/12</f>
        <v>1.2588979063093775E-23</v>
      </c>
      <c r="FT192" s="22">
        <f t="shared" si="184"/>
        <v>0.12518954747575117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5.6843418860808015E-14</v>
      </c>
      <c r="GA192" s="17">
        <f>FZ192*VLOOKUP('Données projet'!$B$17,Paramètres!$A$1:$I$89,3,0)*VLOOKUP('Données projet'!$B$17,Paramètres!$A$1:$I$89,5,0)</f>
        <v>4.1677594708744434E-14</v>
      </c>
      <c r="GB192" s="13">
        <f t="shared" si="185"/>
        <v>6.9326303456159188E-13</v>
      </c>
      <c r="GC192" s="20">
        <f t="shared" si="186"/>
        <v>1.2800215959791691E-12</v>
      </c>
      <c r="GD192" s="59">
        <f t="shared" si="134"/>
        <v>293.33333333333462</v>
      </c>
      <c r="GE192" s="59">
        <f ca="1">AVERAGE(OFFSET($GD$3,0,0,'Données projet'!$E$17+1,1))-AVERAGE(OFFSET($H$3,0,0,'Données projet'!$E$17+1,1))</f>
        <v>178.12968684094687</v>
      </c>
      <c r="GF192" s="59">
        <f t="shared" si="158"/>
        <v>219.36004077210373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9.3602691619864245E-2</v>
      </c>
      <c r="GN192" s="21">
        <f>EXP(-LN(2)/2)*GN191+(1-EXP(-LN(2)/2))/(LN(2)/2)*GH192*GK192*VLOOKUP('Données projet'!$B$17,Paramètres!$A$1:$I$89,3,0)*0.475*44/12</f>
        <v>1.1601608156184449E-23</v>
      </c>
      <c r="GO192" s="21">
        <f t="shared" si="187"/>
        <v>9.3602691619864245E-2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5.6843418860808015E-14</v>
      </c>
      <c r="GV192" s="17">
        <f>GU192*VLOOKUP('Données projet'!$B$18,Paramètres!$A$1:$I$89,3,0)*VLOOKUP('Données projet'!$B$18,Paramètres!$A$1:$I$89,5,0)</f>
        <v>4.5224624045658861E-14</v>
      </c>
      <c r="GW192" s="13">
        <f t="shared" si="188"/>
        <v>7.4514601661523691E-13</v>
      </c>
      <c r="GX192" s="20">
        <f t="shared" si="189"/>
        <v>1.3765621991510601E-12</v>
      </c>
      <c r="GY192" s="59">
        <f t="shared" si="137"/>
        <v>293.33333333333468</v>
      </c>
      <c r="GZ192" s="59">
        <f ca="1">AVERAGE(OFFSET($GY$3,0,0,'Données projet'!$E$18+1,1))-AVERAGE(OFFSET($H$3,0,0,'Données projet'!$E$18+1,1))</f>
        <v>199.58763537752952</v>
      </c>
      <c r="HA192" s="59">
        <f t="shared" si="160"/>
        <v>242.62852778451929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0</v>
      </c>
      <c r="HH192" s="21">
        <f>EXP(-LN(2)/25)*HH191+(1-EXP(-LN(2)/25))/(LN(2)/25)*Calculateur!HC192*Calculateur!HE192*VLOOKUP('Données projet'!$B$18,Paramètres!$A$1:$I$89,3,0)*0.475*44/12</f>
        <v>0.12518954747575117</v>
      </c>
      <c r="HI192" s="21">
        <f>EXP(-LN(2)/2)*HI191+(1-EXP(-LN(2)/2))/(LN(2)/2)*HC192*HF192*VLOOKUP('Données projet'!$B$18,Paramètres!$A$1:$I$89,3,0)*0.475*44/12</f>
        <v>1.2588979063093775E-23</v>
      </c>
      <c r="HJ192" s="22">
        <f t="shared" si="190"/>
        <v>0.12518954747575117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-7.3896444519050419E-13</v>
      </c>
      <c r="O193" s="13">
        <f>N193*VLOOKUP('Données projet'!$B$9,Paramètres!$A$1:$I$89,3,0)*VLOOKUP('Données projet'!$B$9,Paramètres!$A$1:$I$89,5,0)</f>
        <v>-6.6861503000836817E-13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309.07357540707869</v>
      </c>
      <c r="T193" s="59">
        <f t="shared" si="142"/>
        <v>155.9593924683299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-6.5369931689929217E-13</v>
      </c>
      <c r="AJ193" s="13">
        <f>AI193*VLOOKUP('Données projet'!$B$10,Paramètres!$A$1:$I$89,3,0)*VLOOKUP('Données projet'!$B$10,Paramètres!$A$1:$I$89,5,0)</f>
        <v>-5.9146714193047959E-13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234.30804102916278</v>
      </c>
      <c r="AO193" s="59">
        <f t="shared" si="144"/>
        <v>91.137993288782411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3.4106051316484809E-13</v>
      </c>
      <c r="BE193" s="13">
        <f>BD193*VLOOKUP('Données projet'!$B$11,Paramètres!$A$1:$I$89,3,0)*VLOOKUP('Données projet'!$B$11,Paramètres!$A$1:$I$89,5,0)</f>
        <v>1.5961632016114892E-13</v>
      </c>
      <c r="BF193" s="13">
        <f t="shared" si="167"/>
        <v>2.2708641912150958E-12</v>
      </c>
      <c r="BG193" s="20">
        <f t="shared" si="168"/>
        <v>4.2330868906469593E-12</v>
      </c>
      <c r="BH193" s="59">
        <f t="shared" si="116"/>
        <v>293.33333333333752</v>
      </c>
      <c r="BI193" s="59">
        <f ca="1">AVERAGE(OFFSET($BH$3,0,0,'Données projet'!$E$11+1,1))-AVERAGE(OFFSET($H$3,0,0,'Données projet'!$E$11+1,1))</f>
        <v>158.58786357608489</v>
      </c>
      <c r="BJ193" s="59">
        <f t="shared" si="146"/>
        <v>163.20074068819849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5.6843418860808015E-13</v>
      </c>
      <c r="BZ193" s="13">
        <f>BY193*VLOOKUP('Données projet'!$B$12,Paramètres!$A$1:$I$89,3,0)*VLOOKUP('Données projet'!$B$12,Paramètres!$A$1:$I$89,5,0)</f>
        <v>2.6602720026858149E-13</v>
      </c>
      <c r="CA193" s="13">
        <f t="shared" si="170"/>
        <v>3.5662905043956649E-12</v>
      </c>
      <c r="CB193" s="20">
        <f t="shared" si="171"/>
        <v>6.6746200022902298E-12</v>
      </c>
      <c r="CC193" s="59">
        <f t="shared" si="119"/>
        <v>293.33333333333997</v>
      </c>
      <c r="CD193" s="59">
        <f ca="1">AVERAGE(OFFSET($CC$3,0,0,'Données projet'!$E$12+1,1))-AVERAGE(OFFSET($H$3,0,0,'Données projet'!$E$12+1,1))</f>
        <v>123.2823358462245</v>
      </c>
      <c r="CE193" s="59">
        <f t="shared" si="148"/>
        <v>92.75115399786057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-2.8421709430404007E-13</v>
      </c>
      <c r="CU193" s="17">
        <f>CT193*VLOOKUP('Données projet'!$B$13,Paramètres!$A$1:$I$89,3,0)*VLOOKUP('Données projet'!$B$13,Paramètres!$A$1:$I$89,5,0)</f>
        <v>-1.69961822393816E-13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179.32848817523677</v>
      </c>
      <c r="CZ193" s="59">
        <f t="shared" si="150"/>
        <v>131.3292389103035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0.15607236962759297</v>
      </c>
      <c r="DH193" s="21">
        <f>EXP(-LN(2)/2)*DH192+(1-EXP(-LN(2)/2))/(LN(2)/2)*DB193*DE193*VLOOKUP('Données projet'!$B$13,Paramètres!$A$1:$I$89,3,0)*0.475*44/12</f>
        <v>4.3533435152564547E-24</v>
      </c>
      <c r="DI193" s="22">
        <f t="shared" si="175"/>
        <v>0.15607236962759297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-7.3896444519050419E-13</v>
      </c>
      <c r="DP193" s="17">
        <f>DO193*VLOOKUP('Données projet'!$B$14,Paramètres!$A$1:$I$89,3,0)*VLOOKUP('Données projet'!$B$14,Paramètres!$A$1:$I$89,5,0)</f>
        <v>-7.147264113882557E-13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340.4659523898373</v>
      </c>
      <c r="DU193" s="59">
        <f t="shared" si="152"/>
        <v>170.54530785680572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-6.5369931689929217E-13</v>
      </c>
      <c r="EK193" s="17">
        <f>EJ193*VLOOKUP('Données projet'!$B$15,Paramètres!$A$1:$I$89,3,0)*VLOOKUP('Données projet'!$B$15,Paramètres!$A$1:$I$89,5,0)</f>
        <v>-6.3225797930499538E-13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262.20955982183017</v>
      </c>
      <c r="EP193" s="59">
        <f t="shared" si="154"/>
        <v>101.35842063036193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5.6843418860808015E-14</v>
      </c>
      <c r="FF193" s="17">
        <f>FE193*VLOOKUP('Données projet'!$B$16,Paramètres!$A$1:$I$89,3,0)*VLOOKUP('Données projet'!$B$16,Paramètres!$A$1:$I$89,5,0)</f>
        <v>4.5224624045658861E-14</v>
      </c>
      <c r="FG193" s="13">
        <f t="shared" si="182"/>
        <v>7.4514601661523691E-13</v>
      </c>
      <c r="FH193" s="20">
        <f t="shared" si="183"/>
        <v>1.3765621991510601E-12</v>
      </c>
      <c r="FI193" s="59">
        <f t="shared" si="131"/>
        <v>293.33333333333468</v>
      </c>
      <c r="FJ193" s="59">
        <f ca="1">AVERAGE(OFFSET($FI$3,0,0,'Données projet'!$E$16+1,1))-AVERAGE(OFFSET($H$3,0,0,'Données projet'!$E$16+1,1))</f>
        <v>199.58763537752952</v>
      </c>
      <c r="FK193" s="59">
        <f t="shared" si="156"/>
        <v>242.62852778451929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0.12176623271659458</v>
      </c>
      <c r="FS193" s="21">
        <f>EXP(-LN(2)/2)*FS192+(1-EXP(-LN(2)/2))/(LN(2)/2)*FM193*FP193*VLOOKUP('Données projet'!$B$16,Paramètres!$A$1:$I$89,3,0)*0.475*44/12</f>
        <v>8.9017524637290778E-24</v>
      </c>
      <c r="FT193" s="22">
        <f t="shared" si="184"/>
        <v>0.12176623271659458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5.6843418860808015E-14</v>
      </c>
      <c r="GA193" s="17">
        <f>FZ193*VLOOKUP('Données projet'!$B$17,Paramètres!$A$1:$I$89,3,0)*VLOOKUP('Données projet'!$B$17,Paramètres!$A$1:$I$89,5,0)</f>
        <v>4.1677594708744434E-14</v>
      </c>
      <c r="GB193" s="13">
        <f t="shared" si="185"/>
        <v>6.9326303456159188E-13</v>
      </c>
      <c r="GC193" s="20">
        <f t="shared" si="186"/>
        <v>1.2800215959791691E-12</v>
      </c>
      <c r="GD193" s="59">
        <f t="shared" si="134"/>
        <v>293.33333333333462</v>
      </c>
      <c r="GE193" s="59">
        <f ca="1">AVERAGE(OFFSET($GD$3,0,0,'Données projet'!$E$17+1,1))-AVERAGE(OFFSET($H$3,0,0,'Données projet'!$E$17+1,1))</f>
        <v>178.12968684094687</v>
      </c>
      <c r="GF193" s="59">
        <f t="shared" si="158"/>
        <v>219.36004077210373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9.1043121095167434E-2</v>
      </c>
      <c r="GN193" s="21">
        <f>EXP(-LN(2)/2)*GN192+(1-EXP(-LN(2)/2))/(LN(2)/2)*GH193*GK193*VLOOKUP('Données projet'!$B$17,Paramètres!$A$1:$I$89,3,0)*0.475*44/12</f>
        <v>8.2035757999071821E-24</v>
      </c>
      <c r="GO193" s="21">
        <f t="shared" si="187"/>
        <v>9.1043121095167434E-2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5.6843418860808015E-14</v>
      </c>
      <c r="GV193" s="17">
        <f>GU193*VLOOKUP('Données projet'!$B$18,Paramètres!$A$1:$I$89,3,0)*VLOOKUP('Données projet'!$B$18,Paramètres!$A$1:$I$89,5,0)</f>
        <v>4.5224624045658861E-14</v>
      </c>
      <c r="GW193" s="13">
        <f t="shared" si="188"/>
        <v>7.4514601661523691E-13</v>
      </c>
      <c r="GX193" s="20">
        <f t="shared" si="189"/>
        <v>1.3765621991510601E-12</v>
      </c>
      <c r="GY193" s="59">
        <f t="shared" si="137"/>
        <v>293.33333333333468</v>
      </c>
      <c r="GZ193" s="59">
        <f ca="1">AVERAGE(OFFSET($GY$3,0,0,'Données projet'!$E$18+1,1))-AVERAGE(OFFSET($H$3,0,0,'Données projet'!$E$18+1,1))</f>
        <v>199.58763537752952</v>
      </c>
      <c r="HA193" s="59">
        <f t="shared" si="160"/>
        <v>242.62852778451929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0</v>
      </c>
      <c r="HH193" s="21">
        <f>EXP(-LN(2)/25)*HH192+(1-EXP(-LN(2)/25))/(LN(2)/25)*Calculateur!HC193*Calculateur!HE193*VLOOKUP('Données projet'!$B$18,Paramètres!$A$1:$I$89,3,0)*0.475*44/12</f>
        <v>0.12176623271659458</v>
      </c>
      <c r="HI193" s="21">
        <f>EXP(-LN(2)/2)*HI192+(1-EXP(-LN(2)/2))/(LN(2)/2)*HC193*HF193*VLOOKUP('Données projet'!$B$18,Paramètres!$A$1:$I$89,3,0)*0.475*44/12</f>
        <v>8.9017524637290778E-24</v>
      </c>
      <c r="HJ193" s="22">
        <f t="shared" si="190"/>
        <v>0.12176623271659458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-7.3896444519050419E-13</v>
      </c>
      <c r="O194" s="13">
        <f>N194*VLOOKUP('Données projet'!$B$9,Paramètres!$A$1:$I$89,3,0)*VLOOKUP('Données projet'!$B$9,Paramètres!$A$1:$I$89,5,0)</f>
        <v>-6.6861503000836817E-13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309.07357540707869</v>
      </c>
      <c r="T194" s="59">
        <f t="shared" si="142"/>
        <v>155.9593924683299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-6.5369931689929217E-13</v>
      </c>
      <c r="AJ194" s="13">
        <f>AI194*VLOOKUP('Données projet'!$B$10,Paramètres!$A$1:$I$89,3,0)*VLOOKUP('Données projet'!$B$10,Paramètres!$A$1:$I$89,5,0)</f>
        <v>-5.9146714193047959E-13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234.30804102916278</v>
      </c>
      <c r="AO194" s="59">
        <f t="shared" si="144"/>
        <v>91.137993288782411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3.4106051316484809E-13</v>
      </c>
      <c r="BE194" s="13">
        <f>BD194*VLOOKUP('Données projet'!$B$11,Paramètres!$A$1:$I$89,3,0)*VLOOKUP('Données projet'!$B$11,Paramètres!$A$1:$I$89,5,0)</f>
        <v>1.5961632016114892E-13</v>
      </c>
      <c r="BF194" s="13">
        <f t="shared" si="167"/>
        <v>2.2708641912150958E-12</v>
      </c>
      <c r="BG194" s="20">
        <f t="shared" si="168"/>
        <v>4.2330868906469593E-12</v>
      </c>
      <c r="BH194" s="59">
        <f t="shared" si="116"/>
        <v>293.33333333333752</v>
      </c>
      <c r="BI194" s="59">
        <f ca="1">AVERAGE(OFFSET($BH$3,0,0,'Données projet'!$E$11+1,1))-AVERAGE(OFFSET($H$3,0,0,'Données projet'!$E$11+1,1))</f>
        <v>158.58786357608489</v>
      </c>
      <c r="BJ194" s="59">
        <f t="shared" si="146"/>
        <v>163.20074068819849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5.6843418860808015E-13</v>
      </c>
      <c r="BZ194" s="13">
        <f>BY194*VLOOKUP('Données projet'!$B$12,Paramètres!$A$1:$I$89,3,0)*VLOOKUP('Données projet'!$B$12,Paramètres!$A$1:$I$89,5,0)</f>
        <v>2.6602720026858149E-13</v>
      </c>
      <c r="CA194" s="13">
        <f t="shared" si="170"/>
        <v>3.5662905043956649E-12</v>
      </c>
      <c r="CB194" s="20">
        <f t="shared" si="171"/>
        <v>6.6746200022902298E-12</v>
      </c>
      <c r="CC194" s="59">
        <f t="shared" si="119"/>
        <v>293.33333333333997</v>
      </c>
      <c r="CD194" s="59">
        <f ca="1">AVERAGE(OFFSET($CC$3,0,0,'Données projet'!$E$12+1,1))-AVERAGE(OFFSET($H$3,0,0,'Données projet'!$E$12+1,1))</f>
        <v>123.2823358462245</v>
      </c>
      <c r="CE194" s="59">
        <f t="shared" si="148"/>
        <v>92.75115399786057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-2.8421709430404007E-13</v>
      </c>
      <c r="CU194" s="17">
        <f>CT194*VLOOKUP('Données projet'!$B$13,Paramètres!$A$1:$I$89,3,0)*VLOOKUP('Données projet'!$B$13,Paramètres!$A$1:$I$89,5,0)</f>
        <v>-1.69961822393816E-13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179.32848817523677</v>
      </c>
      <c r="CZ194" s="59">
        <f t="shared" si="150"/>
        <v>131.3292389103035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0.15180456247263724</v>
      </c>
      <c r="DH194" s="21">
        <f>EXP(-LN(2)/2)*DH193+(1-EXP(-LN(2)/2))/(LN(2)/2)*DB194*DE194*VLOOKUP('Données projet'!$B$13,Paramètres!$A$1:$I$89,3,0)*0.475*44/12</f>
        <v>3.0782787204723216E-24</v>
      </c>
      <c r="DI194" s="22">
        <f t="shared" si="175"/>
        <v>0.15180456247263724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-7.3896444519050419E-13</v>
      </c>
      <c r="DP194" s="17">
        <f>DO194*VLOOKUP('Données projet'!$B$14,Paramètres!$A$1:$I$89,3,0)*VLOOKUP('Données projet'!$B$14,Paramètres!$A$1:$I$89,5,0)</f>
        <v>-7.147264113882557E-13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340.4659523898373</v>
      </c>
      <c r="DU194" s="59">
        <f t="shared" si="152"/>
        <v>170.54530785680572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-6.5369931689929217E-13</v>
      </c>
      <c r="EK194" s="17">
        <f>EJ194*VLOOKUP('Données projet'!$B$15,Paramètres!$A$1:$I$89,3,0)*VLOOKUP('Données projet'!$B$15,Paramètres!$A$1:$I$89,5,0)</f>
        <v>-6.3225797930499538E-13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262.20955982183017</v>
      </c>
      <c r="EP194" s="59">
        <f t="shared" si="154"/>
        <v>101.35842063036193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5.6843418860808015E-14</v>
      </c>
      <c r="FF194" s="17">
        <f>FE194*VLOOKUP('Données projet'!$B$16,Paramètres!$A$1:$I$89,3,0)*VLOOKUP('Données projet'!$B$16,Paramètres!$A$1:$I$89,5,0)</f>
        <v>4.5224624045658861E-14</v>
      </c>
      <c r="FG194" s="13">
        <f t="shared" si="182"/>
        <v>7.4514601661523691E-13</v>
      </c>
      <c r="FH194" s="20">
        <f t="shared" si="183"/>
        <v>1.3765621991510601E-12</v>
      </c>
      <c r="FI194" s="59">
        <f t="shared" si="131"/>
        <v>293.33333333333468</v>
      </c>
      <c r="FJ194" s="59">
        <f ca="1">AVERAGE(OFFSET($FI$3,0,0,'Données projet'!$E$16+1,1))-AVERAGE(OFFSET($H$3,0,0,'Données projet'!$E$16+1,1))</f>
        <v>199.58763537752952</v>
      </c>
      <c r="FK194" s="59">
        <f t="shared" si="156"/>
        <v>242.62852778451929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0.11843652867955141</v>
      </c>
      <c r="FS194" s="21">
        <f>EXP(-LN(2)/2)*FS193+(1-EXP(-LN(2)/2))/(LN(2)/2)*FM194*FP194*VLOOKUP('Données projet'!$B$16,Paramètres!$A$1:$I$89,3,0)*0.475*44/12</f>
        <v>6.2944895315468874E-24</v>
      </c>
      <c r="FT194" s="22">
        <f t="shared" si="184"/>
        <v>0.11843652867955141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5.6843418860808015E-14</v>
      </c>
      <c r="GA194" s="17">
        <f>FZ194*VLOOKUP('Données projet'!$B$17,Paramètres!$A$1:$I$89,3,0)*VLOOKUP('Données projet'!$B$17,Paramètres!$A$1:$I$89,5,0)</f>
        <v>4.1677594708744434E-14</v>
      </c>
      <c r="GB194" s="13">
        <f t="shared" si="185"/>
        <v>6.9326303456159188E-13</v>
      </c>
      <c r="GC194" s="20">
        <f t="shared" si="186"/>
        <v>1.2800215959791691E-12</v>
      </c>
      <c r="GD194" s="59">
        <f t="shared" si="134"/>
        <v>293.33333333333462</v>
      </c>
      <c r="GE194" s="59">
        <f ca="1">AVERAGE(OFFSET($GD$3,0,0,'Données projet'!$E$17+1,1))-AVERAGE(OFFSET($H$3,0,0,'Données projet'!$E$17+1,1))</f>
        <v>178.12968684094687</v>
      </c>
      <c r="GF194" s="59">
        <f t="shared" si="158"/>
        <v>219.36004077210373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8.855354216107042E-2</v>
      </c>
      <c r="GN194" s="21">
        <f>EXP(-LN(2)/2)*GN193+(1-EXP(-LN(2)/2))/(LN(2)/2)*GH194*GK194*VLOOKUP('Données projet'!$B$17,Paramètres!$A$1:$I$89,3,0)*0.475*44/12</f>
        <v>5.8008040780922245E-24</v>
      </c>
      <c r="GO194" s="21">
        <f t="shared" si="187"/>
        <v>8.855354216107042E-2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5.6843418860808015E-14</v>
      </c>
      <c r="GV194" s="17">
        <f>GU194*VLOOKUP('Données projet'!$B$18,Paramètres!$A$1:$I$89,3,0)*VLOOKUP('Données projet'!$B$18,Paramètres!$A$1:$I$89,5,0)</f>
        <v>4.5224624045658861E-14</v>
      </c>
      <c r="GW194" s="13">
        <f t="shared" si="188"/>
        <v>7.4514601661523691E-13</v>
      </c>
      <c r="GX194" s="20">
        <f t="shared" si="189"/>
        <v>1.3765621991510601E-12</v>
      </c>
      <c r="GY194" s="59">
        <f t="shared" si="137"/>
        <v>293.33333333333468</v>
      </c>
      <c r="GZ194" s="59">
        <f ca="1">AVERAGE(OFFSET($GY$3,0,0,'Données projet'!$E$18+1,1))-AVERAGE(OFFSET($H$3,0,0,'Données projet'!$E$18+1,1))</f>
        <v>199.58763537752952</v>
      </c>
      <c r="HA194" s="59">
        <f t="shared" si="160"/>
        <v>242.62852778451929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0</v>
      </c>
      <c r="HH194" s="21">
        <f>EXP(-LN(2)/25)*HH193+(1-EXP(-LN(2)/25))/(LN(2)/25)*Calculateur!HC194*Calculateur!HE194*VLOOKUP('Données projet'!$B$18,Paramètres!$A$1:$I$89,3,0)*0.475*44/12</f>
        <v>0.11843652867955141</v>
      </c>
      <c r="HI194" s="21">
        <f>EXP(-LN(2)/2)*HI193+(1-EXP(-LN(2)/2))/(LN(2)/2)*HC194*HF194*VLOOKUP('Données projet'!$B$18,Paramètres!$A$1:$I$89,3,0)*0.475*44/12</f>
        <v>6.2944895315468874E-24</v>
      </c>
      <c r="HJ194" s="22">
        <f t="shared" si="190"/>
        <v>0.11843652867955141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-7.3896444519050419E-13</v>
      </c>
      <c r="O195" s="13">
        <f>N195*VLOOKUP('Données projet'!$B$9,Paramètres!$A$1:$I$89,3,0)*VLOOKUP('Données projet'!$B$9,Paramètres!$A$1:$I$89,5,0)</f>
        <v>-6.6861503000836817E-13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309.07357540707869</v>
      </c>
      <c r="T195" s="59">
        <f t="shared" si="142"/>
        <v>155.9593924683299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-6.5369931689929217E-13</v>
      </c>
      <c r="AJ195" s="13">
        <f>AI195*VLOOKUP('Données projet'!$B$10,Paramètres!$A$1:$I$89,3,0)*VLOOKUP('Données projet'!$B$10,Paramètres!$A$1:$I$89,5,0)</f>
        <v>-5.9146714193047959E-13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234.30804102916278</v>
      </c>
      <c r="AO195" s="59">
        <f t="shared" si="144"/>
        <v>91.137993288782411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3.4106051316484809E-13</v>
      </c>
      <c r="BE195" s="13">
        <f>BD195*VLOOKUP('Données projet'!$B$11,Paramètres!$A$1:$I$89,3,0)*VLOOKUP('Données projet'!$B$11,Paramètres!$A$1:$I$89,5,0)</f>
        <v>1.5961632016114892E-13</v>
      </c>
      <c r="BF195" s="13">
        <f t="shared" si="167"/>
        <v>2.2708641912150958E-12</v>
      </c>
      <c r="BG195" s="20">
        <f t="shared" si="168"/>
        <v>4.2330868906469593E-12</v>
      </c>
      <c r="BH195" s="59">
        <f t="shared" si="116"/>
        <v>293.33333333333752</v>
      </c>
      <c r="BI195" s="59">
        <f ca="1">AVERAGE(OFFSET($BH$3,0,0,'Données projet'!$E$11+1,1))-AVERAGE(OFFSET($H$3,0,0,'Données projet'!$E$11+1,1))</f>
        <v>158.58786357608489</v>
      </c>
      <c r="BJ195" s="59">
        <f t="shared" si="146"/>
        <v>163.20074068819849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5.6843418860808015E-13</v>
      </c>
      <c r="BZ195" s="13">
        <f>BY195*VLOOKUP('Données projet'!$B$12,Paramètres!$A$1:$I$89,3,0)*VLOOKUP('Données projet'!$B$12,Paramètres!$A$1:$I$89,5,0)</f>
        <v>2.6602720026858149E-13</v>
      </c>
      <c r="CA195" s="13">
        <f t="shared" si="170"/>
        <v>3.5662905043956649E-12</v>
      </c>
      <c r="CB195" s="20">
        <f t="shared" si="171"/>
        <v>6.6746200022902298E-12</v>
      </c>
      <c r="CC195" s="59">
        <f t="shared" si="119"/>
        <v>293.33333333333997</v>
      </c>
      <c r="CD195" s="59">
        <f ca="1">AVERAGE(OFFSET($CC$3,0,0,'Données projet'!$E$12+1,1))-AVERAGE(OFFSET($H$3,0,0,'Données projet'!$E$12+1,1))</f>
        <v>123.2823358462245</v>
      </c>
      <c r="CE195" s="59">
        <f t="shared" si="148"/>
        <v>92.75115399786057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-2.8421709430404007E-13</v>
      </c>
      <c r="CU195" s="17">
        <f>CT195*VLOOKUP('Données projet'!$B$13,Paramètres!$A$1:$I$89,3,0)*VLOOKUP('Données projet'!$B$13,Paramètres!$A$1:$I$89,5,0)</f>
        <v>-1.69961822393816E-13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179.32848817523677</v>
      </c>
      <c r="CZ195" s="59">
        <f t="shared" si="150"/>
        <v>131.3292389103035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0.14765345872876798</v>
      </c>
      <c r="DH195" s="21">
        <f>EXP(-LN(2)/2)*DH194+(1-EXP(-LN(2)/2))/(LN(2)/2)*DB195*DE195*VLOOKUP('Données projet'!$B$13,Paramètres!$A$1:$I$89,3,0)*0.475*44/12</f>
        <v>2.1766717576282274E-24</v>
      </c>
      <c r="DI195" s="22">
        <f t="shared" si="175"/>
        <v>0.14765345872876798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-7.3896444519050419E-13</v>
      </c>
      <c r="DP195" s="17">
        <f>DO195*VLOOKUP('Données projet'!$B$14,Paramètres!$A$1:$I$89,3,0)*VLOOKUP('Données projet'!$B$14,Paramètres!$A$1:$I$89,5,0)</f>
        <v>-7.147264113882557E-13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340.4659523898373</v>
      </c>
      <c r="DU195" s="59">
        <f t="shared" si="152"/>
        <v>170.54530785680572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-6.5369931689929217E-13</v>
      </c>
      <c r="EK195" s="17">
        <f>EJ195*VLOOKUP('Données projet'!$B$15,Paramètres!$A$1:$I$89,3,0)*VLOOKUP('Données projet'!$B$15,Paramètres!$A$1:$I$89,5,0)</f>
        <v>-6.3225797930499538E-13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262.20955982183017</v>
      </c>
      <c r="EP195" s="59">
        <f t="shared" si="154"/>
        <v>101.35842063036193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5.6843418860808015E-14</v>
      </c>
      <c r="FF195" s="17">
        <f>FE195*VLOOKUP('Données projet'!$B$16,Paramètres!$A$1:$I$89,3,0)*VLOOKUP('Données projet'!$B$16,Paramètres!$A$1:$I$89,5,0)</f>
        <v>4.5224624045658861E-14</v>
      </c>
      <c r="FG195" s="13">
        <f t="shared" si="182"/>
        <v>7.4514601661523691E-13</v>
      </c>
      <c r="FH195" s="20">
        <f t="shared" si="183"/>
        <v>1.3765621991510601E-12</v>
      </c>
      <c r="FI195" s="59">
        <f t="shared" si="131"/>
        <v>293.33333333333468</v>
      </c>
      <c r="FJ195" s="59">
        <f ca="1">AVERAGE(OFFSET($FI$3,0,0,'Données projet'!$E$16+1,1))-AVERAGE(OFFSET($H$3,0,0,'Données projet'!$E$16+1,1))</f>
        <v>199.58763537752952</v>
      </c>
      <c r="FK195" s="59">
        <f t="shared" si="156"/>
        <v>242.62852778451929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0.11519787557450273</v>
      </c>
      <c r="FS195" s="21">
        <f>EXP(-LN(2)/2)*FS194+(1-EXP(-LN(2)/2))/(LN(2)/2)*FM195*FP195*VLOOKUP('Données projet'!$B$16,Paramètres!$A$1:$I$89,3,0)*0.475*44/12</f>
        <v>4.4508762318645389E-24</v>
      </c>
      <c r="FT195" s="22">
        <f t="shared" si="184"/>
        <v>0.11519787557450273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5.6843418860808015E-14</v>
      </c>
      <c r="GA195" s="17">
        <f>FZ195*VLOOKUP('Données projet'!$B$17,Paramètres!$A$1:$I$89,3,0)*VLOOKUP('Données projet'!$B$17,Paramètres!$A$1:$I$89,5,0)</f>
        <v>4.1677594708744434E-14</v>
      </c>
      <c r="GB195" s="13">
        <f t="shared" si="185"/>
        <v>6.9326303456159188E-13</v>
      </c>
      <c r="GC195" s="20">
        <f t="shared" si="186"/>
        <v>1.2800215959791691E-12</v>
      </c>
      <c r="GD195" s="59">
        <f t="shared" si="134"/>
        <v>293.33333333333462</v>
      </c>
      <c r="GE195" s="59">
        <f ca="1">AVERAGE(OFFSET($GD$3,0,0,'Données projet'!$E$17+1,1))-AVERAGE(OFFSET($H$3,0,0,'Données projet'!$E$17+1,1))</f>
        <v>178.12968684094687</v>
      </c>
      <c r="GF195" s="59">
        <f t="shared" si="158"/>
        <v>219.36004077210373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8.6132040893847558E-2</v>
      </c>
      <c r="GN195" s="21">
        <f>EXP(-LN(2)/2)*GN194+(1-EXP(-LN(2)/2))/(LN(2)/2)*GH195*GK195*VLOOKUP('Données projet'!$B$17,Paramètres!$A$1:$I$89,3,0)*0.475*44/12</f>
        <v>4.1017878999535911E-24</v>
      </c>
      <c r="GO195" s="21">
        <f t="shared" si="187"/>
        <v>8.6132040893847558E-2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5.6843418860808015E-14</v>
      </c>
      <c r="GV195" s="17">
        <f>GU195*VLOOKUP('Données projet'!$B$18,Paramètres!$A$1:$I$89,3,0)*VLOOKUP('Données projet'!$B$18,Paramètres!$A$1:$I$89,5,0)</f>
        <v>4.5224624045658861E-14</v>
      </c>
      <c r="GW195" s="13">
        <f t="shared" si="188"/>
        <v>7.4514601661523691E-13</v>
      </c>
      <c r="GX195" s="20">
        <f t="shared" si="189"/>
        <v>1.3765621991510601E-12</v>
      </c>
      <c r="GY195" s="59">
        <f t="shared" si="137"/>
        <v>293.33333333333468</v>
      </c>
      <c r="GZ195" s="59">
        <f ca="1">AVERAGE(OFFSET($GY$3,0,0,'Données projet'!$E$18+1,1))-AVERAGE(OFFSET($H$3,0,0,'Données projet'!$E$18+1,1))</f>
        <v>199.58763537752952</v>
      </c>
      <c r="HA195" s="59">
        <f t="shared" si="160"/>
        <v>242.62852778451929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0</v>
      </c>
      <c r="HH195" s="21">
        <f>EXP(-LN(2)/25)*HH194+(1-EXP(-LN(2)/25))/(LN(2)/25)*Calculateur!HC195*Calculateur!HE195*VLOOKUP('Données projet'!$B$18,Paramètres!$A$1:$I$89,3,0)*0.475*44/12</f>
        <v>0.11519787557450273</v>
      </c>
      <c r="HI195" s="21">
        <f>EXP(-LN(2)/2)*HI194+(1-EXP(-LN(2)/2))/(LN(2)/2)*HC195*HF195*VLOOKUP('Données projet'!$B$18,Paramètres!$A$1:$I$89,3,0)*0.475*44/12</f>
        <v>4.4508762318645389E-24</v>
      </c>
      <c r="HJ195" s="22">
        <f t="shared" si="190"/>
        <v>0.11519787557450273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-7.3896444519050419E-13</v>
      </c>
      <c r="O196" s="13">
        <f>N196*VLOOKUP('Données projet'!$B$9,Paramètres!$A$1:$I$89,3,0)*VLOOKUP('Données projet'!$B$9,Paramètres!$A$1:$I$89,5,0)</f>
        <v>-6.6861503000836817E-13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309.07357540707869</v>
      </c>
      <c r="T196" s="59">
        <f t="shared" si="142"/>
        <v>155.9593924683299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-6.5369931689929217E-13</v>
      </c>
      <c r="AJ196" s="13">
        <f>AI196*VLOOKUP('Données projet'!$B$10,Paramètres!$A$1:$I$89,3,0)*VLOOKUP('Données projet'!$B$10,Paramètres!$A$1:$I$89,5,0)</f>
        <v>-5.9146714193047959E-13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234.30804102916278</v>
      </c>
      <c r="AO196" s="59">
        <f t="shared" si="144"/>
        <v>91.137993288782411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3.4106051316484809E-13</v>
      </c>
      <c r="BE196" s="13">
        <f>BD196*VLOOKUP('Données projet'!$B$11,Paramètres!$A$1:$I$89,3,0)*VLOOKUP('Données projet'!$B$11,Paramètres!$A$1:$I$89,5,0)</f>
        <v>1.5961632016114892E-13</v>
      </c>
      <c r="BF196" s="13">
        <f t="shared" si="167"/>
        <v>2.2708641912150958E-12</v>
      </c>
      <c r="BG196" s="20">
        <f t="shared" si="168"/>
        <v>4.2330868906469593E-12</v>
      </c>
      <c r="BH196" s="59">
        <f t="shared" ref="BH196:BH203" si="194">BG196+(AY196+AZ196)*44/12</f>
        <v>293.33333333333752</v>
      </c>
      <c r="BI196" s="59">
        <f ca="1">AVERAGE(OFFSET($BH$3,0,0,'Données projet'!$E$11+1,1))-AVERAGE(OFFSET($H$3,0,0,'Données projet'!$E$11+1,1))</f>
        <v>158.58786357608489</v>
      </c>
      <c r="BJ196" s="59">
        <f t="shared" si="146"/>
        <v>163.20074068819849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5.6843418860808015E-13</v>
      </c>
      <c r="BZ196" s="13">
        <f>BY196*VLOOKUP('Données projet'!$B$12,Paramètres!$A$1:$I$89,3,0)*VLOOKUP('Données projet'!$B$12,Paramètres!$A$1:$I$89,5,0)</f>
        <v>2.6602720026858149E-13</v>
      </c>
      <c r="CA196" s="13">
        <f t="shared" si="170"/>
        <v>3.5662905043956649E-12</v>
      </c>
      <c r="CB196" s="20">
        <f t="shared" si="171"/>
        <v>6.6746200022902298E-12</v>
      </c>
      <c r="CC196" s="59">
        <f t="shared" ref="CC196:CC203" si="195">CB196+(BT196+BU196)*44/12</f>
        <v>293.33333333333997</v>
      </c>
      <c r="CD196" s="59">
        <f ca="1">AVERAGE(OFFSET($CC$3,0,0,'Données projet'!$E$12+1,1))-AVERAGE(OFFSET($H$3,0,0,'Données projet'!$E$12+1,1))</f>
        <v>123.2823358462245</v>
      </c>
      <c r="CE196" s="59">
        <f t="shared" si="148"/>
        <v>92.75115399786057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-2.8421709430404007E-13</v>
      </c>
      <c r="CU196" s="17">
        <f>CT196*VLOOKUP('Données projet'!$B$13,Paramètres!$A$1:$I$89,3,0)*VLOOKUP('Données projet'!$B$13,Paramètres!$A$1:$I$89,5,0)</f>
        <v>-1.69961822393816E-13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179.32848817523677</v>
      </c>
      <c r="CZ196" s="59">
        <f t="shared" si="150"/>
        <v>131.3292389103035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0.14361586713507188</v>
      </c>
      <c r="DH196" s="21">
        <f>EXP(-LN(2)/2)*DH195+(1-EXP(-LN(2)/2))/(LN(2)/2)*DB196*DE196*VLOOKUP('Données projet'!$B$13,Paramètres!$A$1:$I$89,3,0)*0.475*44/12</f>
        <v>1.5391393602361608E-24</v>
      </c>
      <c r="DI196" s="22">
        <f t="shared" si="175"/>
        <v>0.14361586713507188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-7.3896444519050419E-13</v>
      </c>
      <c r="DP196" s="17">
        <f>DO196*VLOOKUP('Données projet'!$B$14,Paramètres!$A$1:$I$89,3,0)*VLOOKUP('Données projet'!$B$14,Paramètres!$A$1:$I$89,5,0)</f>
        <v>-7.147264113882557E-13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340.4659523898373</v>
      </c>
      <c r="DU196" s="59">
        <f t="shared" si="152"/>
        <v>170.54530785680572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-6.5369931689929217E-13</v>
      </c>
      <c r="EK196" s="17">
        <f>EJ196*VLOOKUP('Données projet'!$B$15,Paramètres!$A$1:$I$89,3,0)*VLOOKUP('Données projet'!$B$15,Paramètres!$A$1:$I$89,5,0)</f>
        <v>-6.3225797930499538E-13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262.20955982183017</v>
      </c>
      <c r="EP196" s="59">
        <f t="shared" si="154"/>
        <v>101.35842063036193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5.6843418860808015E-14</v>
      </c>
      <c r="FF196" s="17">
        <f>FE196*VLOOKUP('Données projet'!$B$16,Paramètres!$A$1:$I$89,3,0)*VLOOKUP('Données projet'!$B$16,Paramètres!$A$1:$I$89,5,0)</f>
        <v>4.5224624045658861E-14</v>
      </c>
      <c r="FG196" s="13">
        <f t="shared" si="182"/>
        <v>7.4514601661523691E-13</v>
      </c>
      <c r="FH196" s="20">
        <f t="shared" si="183"/>
        <v>1.3765621991510601E-12</v>
      </c>
      <c r="FI196" s="59">
        <f t="shared" ref="FI196:FI203" si="199">FH196+(EZ196+FA196)*44/12</f>
        <v>293.33333333333468</v>
      </c>
      <c r="FJ196" s="59">
        <f ca="1">AVERAGE(OFFSET($FI$3,0,0,'Données projet'!$E$16+1,1))-AVERAGE(OFFSET($H$3,0,0,'Données projet'!$E$16+1,1))</f>
        <v>199.58763537752952</v>
      </c>
      <c r="FK196" s="59">
        <f t="shared" si="156"/>
        <v>242.62852778451929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0.11204778360892496</v>
      </c>
      <c r="FS196" s="21">
        <f>EXP(-LN(2)/2)*FS195+(1-EXP(-LN(2)/2))/(LN(2)/2)*FM196*FP196*VLOOKUP('Données projet'!$B$16,Paramètres!$A$1:$I$89,3,0)*0.475*44/12</f>
        <v>3.1472447657734437E-24</v>
      </c>
      <c r="FT196" s="22">
        <f t="shared" si="184"/>
        <v>0.11204778360892496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5.6843418860808015E-14</v>
      </c>
      <c r="GA196" s="17">
        <f>FZ196*VLOOKUP('Données projet'!$B$17,Paramètres!$A$1:$I$89,3,0)*VLOOKUP('Données projet'!$B$17,Paramètres!$A$1:$I$89,5,0)</f>
        <v>4.1677594708744434E-14</v>
      </c>
      <c r="GB196" s="13">
        <f t="shared" si="185"/>
        <v>6.9326303456159188E-13</v>
      </c>
      <c r="GC196" s="20">
        <f t="shared" si="186"/>
        <v>1.2800215959791691E-12</v>
      </c>
      <c r="GD196" s="59">
        <f t="shared" ref="GD196:GD203" si="200">GC196+(FU196+FV196)*44/12</f>
        <v>293.33333333333462</v>
      </c>
      <c r="GE196" s="59">
        <f ca="1">AVERAGE(OFFSET($GD$3,0,0,'Données projet'!$E$17+1,1))-AVERAGE(OFFSET($H$3,0,0,'Données projet'!$E$17+1,1))</f>
        <v>178.12968684094687</v>
      </c>
      <c r="GF196" s="59">
        <f t="shared" si="158"/>
        <v>219.36004077210373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8.3776755706118131E-2</v>
      </c>
      <c r="GN196" s="21">
        <f>EXP(-LN(2)/2)*GN195+(1-EXP(-LN(2)/2))/(LN(2)/2)*GH196*GK196*VLOOKUP('Données projet'!$B$17,Paramètres!$A$1:$I$89,3,0)*0.475*44/12</f>
        <v>2.9004020390461122E-24</v>
      </c>
      <c r="GO196" s="21">
        <f t="shared" si="187"/>
        <v>8.3776755706118131E-2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5.6843418860808015E-14</v>
      </c>
      <c r="GV196" s="17">
        <f>GU196*VLOOKUP('Données projet'!$B$18,Paramètres!$A$1:$I$89,3,0)*VLOOKUP('Données projet'!$B$18,Paramètres!$A$1:$I$89,5,0)</f>
        <v>4.5224624045658861E-14</v>
      </c>
      <c r="GW196" s="13">
        <f t="shared" si="188"/>
        <v>7.4514601661523691E-13</v>
      </c>
      <c r="GX196" s="20">
        <f t="shared" si="189"/>
        <v>1.3765621991510601E-12</v>
      </c>
      <c r="GY196" s="59">
        <f t="shared" ref="GY196:GY203" si="201">GX196+(GP196+GQ196)*44/12</f>
        <v>293.33333333333468</v>
      </c>
      <c r="GZ196" s="59">
        <f ca="1">AVERAGE(OFFSET($GY$3,0,0,'Données projet'!$E$18+1,1))-AVERAGE(OFFSET($H$3,0,0,'Données projet'!$E$18+1,1))</f>
        <v>199.58763537752952</v>
      </c>
      <c r="HA196" s="59">
        <f t="shared" si="160"/>
        <v>242.62852778451929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0</v>
      </c>
      <c r="HH196" s="21">
        <f>EXP(-LN(2)/25)*HH195+(1-EXP(-LN(2)/25))/(LN(2)/25)*Calculateur!HC196*Calculateur!HE196*VLOOKUP('Données projet'!$B$18,Paramètres!$A$1:$I$89,3,0)*0.475*44/12</f>
        <v>0.11204778360892496</v>
      </c>
      <c r="HI196" s="21">
        <f>EXP(-LN(2)/2)*HI195+(1-EXP(-LN(2)/2))/(LN(2)/2)*HC196*HF196*VLOOKUP('Données projet'!$B$18,Paramètres!$A$1:$I$89,3,0)*0.475*44/12</f>
        <v>3.1472447657734437E-24</v>
      </c>
      <c r="HJ196" s="22">
        <f t="shared" si="190"/>
        <v>0.11204778360892496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-7.3896444519050419E-13</v>
      </c>
      <c r="O197" s="13">
        <f>N197*VLOOKUP('Données projet'!$B$9,Paramètres!$A$1:$I$89,3,0)*VLOOKUP('Données projet'!$B$9,Paramètres!$A$1:$I$89,5,0)</f>
        <v>-6.6861503000836817E-13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309.07357540707869</v>
      </c>
      <c r="T197" s="59">
        <f t="shared" ref="T197:T203" si="204">$T$3</f>
        <v>155.9593924683299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-6.5369931689929217E-13</v>
      </c>
      <c r="AJ197" s="13">
        <f>AI197*VLOOKUP('Données projet'!$B$10,Paramètres!$A$1:$I$89,3,0)*VLOOKUP('Données projet'!$B$10,Paramètres!$A$1:$I$89,5,0)</f>
        <v>-5.9146714193047959E-13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234.30804102916278</v>
      </c>
      <c r="AO197" s="59">
        <f t="shared" ref="AO197:AO203" si="205">$AO$3</f>
        <v>91.137993288782411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3.4106051316484809E-13</v>
      </c>
      <c r="BE197" s="13">
        <f>BD197*VLOOKUP('Données projet'!$B$11,Paramètres!$A$1:$I$89,3,0)*VLOOKUP('Données projet'!$B$11,Paramètres!$A$1:$I$89,5,0)</f>
        <v>1.5961632016114892E-13</v>
      </c>
      <c r="BF197" s="13">
        <f t="shared" si="167"/>
        <v>2.2708641912150958E-12</v>
      </c>
      <c r="BG197" s="20">
        <f t="shared" si="168"/>
        <v>4.2330868906469593E-12</v>
      </c>
      <c r="BH197" s="59">
        <f t="shared" si="194"/>
        <v>293.33333333333752</v>
      </c>
      <c r="BI197" s="59">
        <f ca="1">AVERAGE(OFFSET($BH$3,0,0,'Données projet'!$E$11+1,1))-AVERAGE(OFFSET($H$3,0,0,'Données projet'!$E$11+1,1))</f>
        <v>158.58786357608489</v>
      </c>
      <c r="BJ197" s="59">
        <f t="shared" ref="BJ197:BJ203" si="206">$BJ$3</f>
        <v>163.20074068819849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5.6843418860808015E-13</v>
      </c>
      <c r="BZ197" s="13">
        <f>BY197*VLOOKUP('Données projet'!$B$12,Paramètres!$A$1:$I$89,3,0)*VLOOKUP('Données projet'!$B$12,Paramètres!$A$1:$I$89,5,0)</f>
        <v>2.6602720026858149E-13</v>
      </c>
      <c r="CA197" s="13">
        <f t="shared" si="170"/>
        <v>3.5662905043956649E-12</v>
      </c>
      <c r="CB197" s="20">
        <f t="shared" si="171"/>
        <v>6.6746200022902298E-12</v>
      </c>
      <c r="CC197" s="59">
        <f t="shared" si="195"/>
        <v>293.33333333333997</v>
      </c>
      <c r="CD197" s="59">
        <f ca="1">AVERAGE(OFFSET($CC$3,0,0,'Données projet'!$E$12+1,1))-AVERAGE(OFFSET($H$3,0,0,'Données projet'!$E$12+1,1))</f>
        <v>123.2823358462245</v>
      </c>
      <c r="CE197" s="59">
        <f t="shared" ref="CE197:CE203" si="207">$CE$3</f>
        <v>92.75115399786057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-2.8421709430404007E-13</v>
      </c>
      <c r="CU197" s="17">
        <f>CT197*VLOOKUP('Données projet'!$B$13,Paramètres!$A$1:$I$89,3,0)*VLOOKUP('Données projet'!$B$13,Paramètres!$A$1:$I$89,5,0)</f>
        <v>-1.69961822393816E-13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179.32848817523677</v>
      </c>
      <c r="CZ197" s="59">
        <f t="shared" ref="CZ197:CZ203" si="208">$CZ$3</f>
        <v>131.3292389103035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0.13968868369583312</v>
      </c>
      <c r="DH197" s="21">
        <f>EXP(-LN(2)/2)*DH196+(1-EXP(-LN(2)/2))/(LN(2)/2)*DB197*DE197*VLOOKUP('Données projet'!$B$13,Paramètres!$A$1:$I$89,3,0)*0.475*44/12</f>
        <v>1.0883358788141137E-24</v>
      </c>
      <c r="DI197" s="22">
        <f t="shared" si="175"/>
        <v>0.13968868369583312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-7.3896444519050419E-13</v>
      </c>
      <c r="DP197" s="17">
        <f>DO197*VLOOKUP('Données projet'!$B$14,Paramètres!$A$1:$I$89,3,0)*VLOOKUP('Données projet'!$B$14,Paramètres!$A$1:$I$89,5,0)</f>
        <v>-7.147264113882557E-13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340.4659523898373</v>
      </c>
      <c r="DU197" s="59">
        <f t="shared" ref="DU197:DU203" si="209">$DU$3</f>
        <v>170.54530785680572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-6.5369931689929217E-13</v>
      </c>
      <c r="EK197" s="17">
        <f>EJ197*VLOOKUP('Données projet'!$B$15,Paramètres!$A$1:$I$89,3,0)*VLOOKUP('Données projet'!$B$15,Paramètres!$A$1:$I$89,5,0)</f>
        <v>-6.3225797930499538E-13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262.20955982183017</v>
      </c>
      <c r="EP197" s="59">
        <f t="shared" ref="EP197:EP203" si="210">$EP$3</f>
        <v>101.35842063036193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5.6843418860808015E-14</v>
      </c>
      <c r="FF197" s="17">
        <f>FE197*VLOOKUP('Données projet'!$B$16,Paramètres!$A$1:$I$89,3,0)*VLOOKUP('Données projet'!$B$16,Paramètres!$A$1:$I$89,5,0)</f>
        <v>4.5224624045658861E-14</v>
      </c>
      <c r="FG197" s="13">
        <f t="shared" si="182"/>
        <v>7.4514601661523691E-13</v>
      </c>
      <c r="FH197" s="20">
        <f t="shared" si="183"/>
        <v>1.3765621991510601E-12</v>
      </c>
      <c r="FI197" s="59">
        <f t="shared" si="199"/>
        <v>293.33333333333468</v>
      </c>
      <c r="FJ197" s="59">
        <f ca="1">AVERAGE(OFFSET($FI$3,0,0,'Données projet'!$E$16+1,1))-AVERAGE(OFFSET($H$3,0,0,'Données projet'!$E$16+1,1))</f>
        <v>199.58763537752952</v>
      </c>
      <c r="FK197" s="59">
        <f t="shared" ref="FK197:FK203" si="211">$FK$3</f>
        <v>242.62852778451929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0.10898383107380206</v>
      </c>
      <c r="FS197" s="21">
        <f>EXP(-LN(2)/2)*FS196+(1-EXP(-LN(2)/2))/(LN(2)/2)*FM197*FP197*VLOOKUP('Données projet'!$B$16,Paramètres!$A$1:$I$89,3,0)*0.475*44/12</f>
        <v>2.2254381159322694E-24</v>
      </c>
      <c r="FT197" s="22">
        <f t="shared" si="184"/>
        <v>0.10898383107380206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5.6843418860808015E-14</v>
      </c>
      <c r="GA197" s="17">
        <f>FZ197*VLOOKUP('Données projet'!$B$17,Paramètres!$A$1:$I$89,3,0)*VLOOKUP('Données projet'!$B$17,Paramètres!$A$1:$I$89,5,0)</f>
        <v>4.1677594708744434E-14</v>
      </c>
      <c r="GB197" s="13">
        <f t="shared" si="185"/>
        <v>6.9326303456159188E-13</v>
      </c>
      <c r="GC197" s="20">
        <f t="shared" si="186"/>
        <v>1.2800215959791691E-12</v>
      </c>
      <c r="GD197" s="59">
        <f t="shared" si="200"/>
        <v>293.33333333333462</v>
      </c>
      <c r="GE197" s="59">
        <f ca="1">AVERAGE(OFFSET($GD$3,0,0,'Données projet'!$E$17+1,1))-AVERAGE(OFFSET($H$3,0,0,'Données projet'!$E$17+1,1))</f>
        <v>178.12968684094687</v>
      </c>
      <c r="GF197" s="59">
        <f t="shared" ref="GF197:GF203" si="212">$GF$3</f>
        <v>219.36004077210373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8.1485875915706218E-2</v>
      </c>
      <c r="GN197" s="21">
        <f>EXP(-LN(2)/2)*GN196+(1-EXP(-LN(2)/2))/(LN(2)/2)*GH197*GK197*VLOOKUP('Données projet'!$B$17,Paramètres!$A$1:$I$89,3,0)*0.475*44/12</f>
        <v>2.0508939499767955E-24</v>
      </c>
      <c r="GO197" s="21">
        <f t="shared" si="187"/>
        <v>8.1485875915706218E-2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5.6843418860808015E-14</v>
      </c>
      <c r="GV197" s="17">
        <f>GU197*VLOOKUP('Données projet'!$B$18,Paramètres!$A$1:$I$89,3,0)*VLOOKUP('Données projet'!$B$18,Paramètres!$A$1:$I$89,5,0)</f>
        <v>4.5224624045658861E-14</v>
      </c>
      <c r="GW197" s="13">
        <f t="shared" si="188"/>
        <v>7.4514601661523691E-13</v>
      </c>
      <c r="GX197" s="20">
        <f t="shared" si="189"/>
        <v>1.3765621991510601E-12</v>
      </c>
      <c r="GY197" s="59">
        <f t="shared" si="201"/>
        <v>293.33333333333468</v>
      </c>
      <c r="GZ197" s="59">
        <f ca="1">AVERAGE(OFFSET($GY$3,0,0,'Données projet'!$E$18+1,1))-AVERAGE(OFFSET($H$3,0,0,'Données projet'!$E$18+1,1))</f>
        <v>199.58763537752952</v>
      </c>
      <c r="HA197" s="59">
        <f t="shared" ref="HA197:HA203" si="213">$HA$3</f>
        <v>242.62852778451929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0</v>
      </c>
      <c r="HH197" s="21">
        <f>EXP(-LN(2)/25)*HH196+(1-EXP(-LN(2)/25))/(LN(2)/25)*Calculateur!HC197*Calculateur!HE197*VLOOKUP('Données projet'!$B$18,Paramètres!$A$1:$I$89,3,0)*0.475*44/12</f>
        <v>0.10898383107380206</v>
      </c>
      <c r="HI197" s="21">
        <f>EXP(-LN(2)/2)*HI196+(1-EXP(-LN(2)/2))/(LN(2)/2)*HC197*HF197*VLOOKUP('Données projet'!$B$18,Paramètres!$A$1:$I$89,3,0)*0.475*44/12</f>
        <v>2.2254381159322694E-24</v>
      </c>
      <c r="HJ197" s="22">
        <f t="shared" si="190"/>
        <v>0.10898383107380206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-7.3896444519050419E-13</v>
      </c>
      <c r="O198" s="13">
        <f>N198*VLOOKUP('Données projet'!$B$9,Paramètres!$A$1:$I$89,3,0)*VLOOKUP('Données projet'!$B$9,Paramètres!$A$1:$I$89,5,0)</f>
        <v>-6.6861503000836817E-13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309.07357540707869</v>
      </c>
      <c r="T198" s="59">
        <f t="shared" si="204"/>
        <v>155.9593924683299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-6.5369931689929217E-13</v>
      </c>
      <c r="AJ198" s="13">
        <f>AI198*VLOOKUP('Données projet'!$B$10,Paramètres!$A$1:$I$89,3,0)*VLOOKUP('Données projet'!$B$10,Paramètres!$A$1:$I$89,5,0)</f>
        <v>-5.9146714193047959E-13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234.30804102916278</v>
      </c>
      <c r="AO198" s="59">
        <f t="shared" si="205"/>
        <v>91.137993288782411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3.4106051316484809E-13</v>
      </c>
      <c r="BE198" s="13">
        <f>BD198*VLOOKUP('Données projet'!$B$11,Paramètres!$A$1:$I$89,3,0)*VLOOKUP('Données projet'!$B$11,Paramètres!$A$1:$I$89,5,0)</f>
        <v>1.5961632016114892E-13</v>
      </c>
      <c r="BF198" s="13">
        <f t="shared" si="167"/>
        <v>2.2708641912150958E-12</v>
      </c>
      <c r="BG198" s="20">
        <f t="shared" si="168"/>
        <v>4.2330868906469593E-12</v>
      </c>
      <c r="BH198" s="59">
        <f t="shared" si="194"/>
        <v>293.33333333333752</v>
      </c>
      <c r="BI198" s="59">
        <f ca="1">AVERAGE(OFFSET($BH$3,0,0,'Données projet'!$E$11+1,1))-AVERAGE(OFFSET($H$3,0,0,'Données projet'!$E$11+1,1))</f>
        <v>158.58786357608489</v>
      </c>
      <c r="BJ198" s="59">
        <f t="shared" si="206"/>
        <v>163.20074068819849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5.6843418860808015E-13</v>
      </c>
      <c r="BZ198" s="13">
        <f>BY198*VLOOKUP('Données projet'!$B$12,Paramètres!$A$1:$I$89,3,0)*VLOOKUP('Données projet'!$B$12,Paramètres!$A$1:$I$89,5,0)</f>
        <v>2.6602720026858149E-13</v>
      </c>
      <c r="CA198" s="13">
        <f t="shared" si="170"/>
        <v>3.5662905043956649E-12</v>
      </c>
      <c r="CB198" s="20">
        <f t="shared" si="171"/>
        <v>6.6746200022902298E-12</v>
      </c>
      <c r="CC198" s="59">
        <f t="shared" si="195"/>
        <v>293.33333333333997</v>
      </c>
      <c r="CD198" s="59">
        <f ca="1">AVERAGE(OFFSET($CC$3,0,0,'Données projet'!$E$12+1,1))-AVERAGE(OFFSET($H$3,0,0,'Données projet'!$E$12+1,1))</f>
        <v>123.2823358462245</v>
      </c>
      <c r="CE198" s="59">
        <f t="shared" si="207"/>
        <v>92.75115399786057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-2.8421709430404007E-13</v>
      </c>
      <c r="CU198" s="17">
        <f>CT198*VLOOKUP('Données projet'!$B$13,Paramètres!$A$1:$I$89,3,0)*VLOOKUP('Données projet'!$B$13,Paramètres!$A$1:$I$89,5,0)</f>
        <v>-1.69961822393816E-13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179.32848817523677</v>
      </c>
      <c r="CZ198" s="59">
        <f t="shared" si="208"/>
        <v>131.3292389103035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0.13586888929426194</v>
      </c>
      <c r="DH198" s="21">
        <f>EXP(-LN(2)/2)*DH197+(1-EXP(-LN(2)/2))/(LN(2)/2)*DB198*DE198*VLOOKUP('Données projet'!$B$13,Paramètres!$A$1:$I$89,3,0)*0.475*44/12</f>
        <v>7.695696801180804E-25</v>
      </c>
      <c r="DI198" s="22">
        <f t="shared" si="175"/>
        <v>0.13586888929426194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-7.3896444519050419E-13</v>
      </c>
      <c r="DP198" s="17">
        <f>DO198*VLOOKUP('Données projet'!$B$14,Paramètres!$A$1:$I$89,3,0)*VLOOKUP('Données projet'!$B$14,Paramètres!$A$1:$I$89,5,0)</f>
        <v>-7.147264113882557E-13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340.4659523898373</v>
      </c>
      <c r="DU198" s="59">
        <f t="shared" si="209"/>
        <v>170.54530785680572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-6.5369931689929217E-13</v>
      </c>
      <c r="EK198" s="17">
        <f>EJ198*VLOOKUP('Données projet'!$B$15,Paramètres!$A$1:$I$89,3,0)*VLOOKUP('Données projet'!$B$15,Paramètres!$A$1:$I$89,5,0)</f>
        <v>-6.3225797930499538E-13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262.20955982183017</v>
      </c>
      <c r="EP198" s="59">
        <f t="shared" si="210"/>
        <v>101.35842063036193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5.6843418860808015E-14</v>
      </c>
      <c r="FF198" s="17">
        <f>FE198*VLOOKUP('Données projet'!$B$16,Paramètres!$A$1:$I$89,3,0)*VLOOKUP('Données projet'!$B$16,Paramètres!$A$1:$I$89,5,0)</f>
        <v>4.5224624045658861E-14</v>
      </c>
      <c r="FG198" s="13">
        <f t="shared" si="182"/>
        <v>7.4514601661523691E-13</v>
      </c>
      <c r="FH198" s="20">
        <f t="shared" si="183"/>
        <v>1.3765621991510601E-12</v>
      </c>
      <c r="FI198" s="59">
        <f t="shared" si="199"/>
        <v>293.33333333333468</v>
      </c>
      <c r="FJ198" s="59">
        <f ca="1">AVERAGE(OFFSET($FI$3,0,0,'Données projet'!$E$16+1,1))-AVERAGE(OFFSET($H$3,0,0,'Données projet'!$E$16+1,1))</f>
        <v>199.58763537752952</v>
      </c>
      <c r="FK198" s="59">
        <f t="shared" si="211"/>
        <v>242.62852778451929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0.10600366248187836</v>
      </c>
      <c r="FS198" s="21">
        <f>EXP(-LN(2)/2)*FS197+(1-EXP(-LN(2)/2))/(LN(2)/2)*FM198*FP198*VLOOKUP('Données projet'!$B$16,Paramètres!$A$1:$I$89,3,0)*0.475*44/12</f>
        <v>1.5736223828867218E-24</v>
      </c>
      <c r="FT198" s="22">
        <f t="shared" si="184"/>
        <v>0.10600366248187836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5.6843418860808015E-14</v>
      </c>
      <c r="GA198" s="17">
        <f>FZ198*VLOOKUP('Données projet'!$B$17,Paramètres!$A$1:$I$89,3,0)*VLOOKUP('Données projet'!$B$17,Paramètres!$A$1:$I$89,5,0)</f>
        <v>4.1677594708744434E-14</v>
      </c>
      <c r="GB198" s="13">
        <f t="shared" si="185"/>
        <v>6.9326303456159188E-13</v>
      </c>
      <c r="GC198" s="20">
        <f t="shared" si="186"/>
        <v>1.2800215959791691E-12</v>
      </c>
      <c r="GD198" s="59">
        <f t="shared" si="200"/>
        <v>293.33333333333462</v>
      </c>
      <c r="GE198" s="59">
        <f ca="1">AVERAGE(OFFSET($GD$3,0,0,'Données projet'!$E$17+1,1))-AVERAGE(OFFSET($H$3,0,0,'Données projet'!$E$17+1,1))</f>
        <v>178.12968684094687</v>
      </c>
      <c r="GF198" s="59">
        <f t="shared" si="212"/>
        <v>219.36004077210373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7.925764035363525E-2</v>
      </c>
      <c r="GN198" s="21">
        <f>EXP(-LN(2)/2)*GN197+(1-EXP(-LN(2)/2))/(LN(2)/2)*GH198*GK198*VLOOKUP('Données projet'!$B$17,Paramètres!$A$1:$I$89,3,0)*0.475*44/12</f>
        <v>1.4502010195230561E-24</v>
      </c>
      <c r="GO198" s="21">
        <f t="shared" si="187"/>
        <v>7.925764035363525E-2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5.6843418860808015E-14</v>
      </c>
      <c r="GV198" s="17">
        <f>GU198*VLOOKUP('Données projet'!$B$18,Paramètres!$A$1:$I$89,3,0)*VLOOKUP('Données projet'!$B$18,Paramètres!$A$1:$I$89,5,0)</f>
        <v>4.5224624045658861E-14</v>
      </c>
      <c r="GW198" s="13">
        <f t="shared" si="188"/>
        <v>7.4514601661523691E-13</v>
      </c>
      <c r="GX198" s="20">
        <f t="shared" si="189"/>
        <v>1.3765621991510601E-12</v>
      </c>
      <c r="GY198" s="59">
        <f t="shared" si="201"/>
        <v>293.33333333333468</v>
      </c>
      <c r="GZ198" s="59">
        <f ca="1">AVERAGE(OFFSET($GY$3,0,0,'Données projet'!$E$18+1,1))-AVERAGE(OFFSET($H$3,0,0,'Données projet'!$E$18+1,1))</f>
        <v>199.58763537752952</v>
      </c>
      <c r="HA198" s="59">
        <f t="shared" si="213"/>
        <v>242.62852778451929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0</v>
      </c>
      <c r="HH198" s="21">
        <f>EXP(-LN(2)/25)*HH197+(1-EXP(-LN(2)/25))/(LN(2)/25)*Calculateur!HC198*Calculateur!HE198*VLOOKUP('Données projet'!$B$18,Paramètres!$A$1:$I$89,3,0)*0.475*44/12</f>
        <v>0.10600366248187836</v>
      </c>
      <c r="HI198" s="21">
        <f>EXP(-LN(2)/2)*HI197+(1-EXP(-LN(2)/2))/(LN(2)/2)*HC198*HF198*VLOOKUP('Données projet'!$B$18,Paramètres!$A$1:$I$89,3,0)*0.475*44/12</f>
        <v>1.5736223828867218E-24</v>
      </c>
      <c r="HJ198" s="22">
        <f t="shared" si="190"/>
        <v>0.10600366248187836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-7.3896444519050419E-13</v>
      </c>
      <c r="O199" s="13">
        <f>N199*VLOOKUP('Données projet'!$B$9,Paramètres!$A$1:$I$89,3,0)*VLOOKUP('Données projet'!$B$9,Paramètres!$A$1:$I$89,5,0)</f>
        <v>-6.6861503000836817E-13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309.07357540707869</v>
      </c>
      <c r="T199" s="59">
        <f t="shared" si="204"/>
        <v>155.9593924683299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-6.5369931689929217E-13</v>
      </c>
      <c r="AJ199" s="13">
        <f>AI199*VLOOKUP('Données projet'!$B$10,Paramètres!$A$1:$I$89,3,0)*VLOOKUP('Données projet'!$B$10,Paramètres!$A$1:$I$89,5,0)</f>
        <v>-5.9146714193047959E-13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234.30804102916278</v>
      </c>
      <c r="AO199" s="59">
        <f t="shared" si="205"/>
        <v>91.137993288782411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3.4106051316484809E-13</v>
      </c>
      <c r="BE199" s="13">
        <f>BD199*VLOOKUP('Données projet'!$B$11,Paramètres!$A$1:$I$89,3,0)*VLOOKUP('Données projet'!$B$11,Paramètres!$A$1:$I$89,5,0)</f>
        <v>1.5961632016114892E-13</v>
      </c>
      <c r="BF199" s="13">
        <f t="shared" si="167"/>
        <v>2.2708641912150958E-12</v>
      </c>
      <c r="BG199" s="20">
        <f t="shared" si="168"/>
        <v>4.2330868906469593E-12</v>
      </c>
      <c r="BH199" s="59">
        <f t="shared" si="194"/>
        <v>293.33333333333752</v>
      </c>
      <c r="BI199" s="59">
        <f ca="1">AVERAGE(OFFSET($BH$3,0,0,'Données projet'!$E$11+1,1))-AVERAGE(OFFSET($H$3,0,0,'Données projet'!$E$11+1,1))</f>
        <v>158.58786357608489</v>
      </c>
      <c r="BJ199" s="59">
        <f t="shared" si="206"/>
        <v>163.20074068819849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5.6843418860808015E-13</v>
      </c>
      <c r="BZ199" s="13">
        <f>BY199*VLOOKUP('Données projet'!$B$12,Paramètres!$A$1:$I$89,3,0)*VLOOKUP('Données projet'!$B$12,Paramètres!$A$1:$I$89,5,0)</f>
        <v>2.6602720026858149E-13</v>
      </c>
      <c r="CA199" s="13">
        <f t="shared" si="170"/>
        <v>3.5662905043956649E-12</v>
      </c>
      <c r="CB199" s="20">
        <f t="shared" si="171"/>
        <v>6.6746200022902298E-12</v>
      </c>
      <c r="CC199" s="59">
        <f t="shared" si="195"/>
        <v>293.33333333333997</v>
      </c>
      <c r="CD199" s="59">
        <f ca="1">AVERAGE(OFFSET($CC$3,0,0,'Données projet'!$E$12+1,1))-AVERAGE(OFFSET($H$3,0,0,'Données projet'!$E$12+1,1))</f>
        <v>123.2823358462245</v>
      </c>
      <c r="CE199" s="59">
        <f t="shared" si="207"/>
        <v>92.75115399786057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-2.8421709430404007E-13</v>
      </c>
      <c r="CU199" s="17">
        <f>CT199*VLOOKUP('Données projet'!$B$13,Paramètres!$A$1:$I$89,3,0)*VLOOKUP('Données projet'!$B$13,Paramètres!$A$1:$I$89,5,0)</f>
        <v>-1.69961822393816E-13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179.32848817523677</v>
      </c>
      <c r="CZ199" s="59">
        <f t="shared" si="208"/>
        <v>131.3292389103035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0.132153547371476</v>
      </c>
      <c r="DH199" s="21">
        <f>EXP(-LN(2)/2)*DH198+(1-EXP(-LN(2)/2))/(LN(2)/2)*DB199*DE199*VLOOKUP('Données projet'!$B$13,Paramètres!$A$1:$I$89,3,0)*0.475*44/12</f>
        <v>5.4416793940705684E-25</v>
      </c>
      <c r="DI199" s="22">
        <f t="shared" si="175"/>
        <v>0.132153547371476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-7.3896444519050419E-13</v>
      </c>
      <c r="DP199" s="17">
        <f>DO199*VLOOKUP('Données projet'!$B$14,Paramètres!$A$1:$I$89,3,0)*VLOOKUP('Données projet'!$B$14,Paramètres!$A$1:$I$89,5,0)</f>
        <v>-7.147264113882557E-13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340.4659523898373</v>
      </c>
      <c r="DU199" s="59">
        <f t="shared" si="209"/>
        <v>170.54530785680572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-6.5369931689929217E-13</v>
      </c>
      <c r="EK199" s="17">
        <f>EJ199*VLOOKUP('Données projet'!$B$15,Paramètres!$A$1:$I$89,3,0)*VLOOKUP('Données projet'!$B$15,Paramètres!$A$1:$I$89,5,0)</f>
        <v>-6.3225797930499538E-13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262.20955982183017</v>
      </c>
      <c r="EP199" s="59">
        <f t="shared" si="210"/>
        <v>101.35842063036193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5.6843418860808015E-14</v>
      </c>
      <c r="FF199" s="17">
        <f>FE199*VLOOKUP('Données projet'!$B$16,Paramètres!$A$1:$I$89,3,0)*VLOOKUP('Données projet'!$B$16,Paramètres!$A$1:$I$89,5,0)</f>
        <v>4.5224624045658861E-14</v>
      </c>
      <c r="FG199" s="13">
        <f t="shared" si="182"/>
        <v>7.4514601661523691E-13</v>
      </c>
      <c r="FH199" s="20">
        <f t="shared" si="183"/>
        <v>1.3765621991510601E-12</v>
      </c>
      <c r="FI199" s="59">
        <f t="shared" si="199"/>
        <v>293.33333333333468</v>
      </c>
      <c r="FJ199" s="59">
        <f ca="1">AVERAGE(OFFSET($FI$3,0,0,'Données projet'!$E$16+1,1))-AVERAGE(OFFSET($H$3,0,0,'Données projet'!$E$16+1,1))</f>
        <v>199.58763537752952</v>
      </c>
      <c r="FK199" s="59">
        <f t="shared" si="211"/>
        <v>242.62852778451929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0.10310498675682106</v>
      </c>
      <c r="FS199" s="21">
        <f>EXP(-LN(2)/2)*FS198+(1-EXP(-LN(2)/2))/(LN(2)/2)*FM199*FP199*VLOOKUP('Données projet'!$B$16,Paramètres!$A$1:$I$89,3,0)*0.475*44/12</f>
        <v>1.1127190579661347E-24</v>
      </c>
      <c r="FT199" s="22">
        <f t="shared" si="184"/>
        <v>0.10310498675682106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5.6843418860808015E-14</v>
      </c>
      <c r="GA199" s="17">
        <f>FZ199*VLOOKUP('Données projet'!$B$17,Paramètres!$A$1:$I$89,3,0)*VLOOKUP('Données projet'!$B$17,Paramètres!$A$1:$I$89,5,0)</f>
        <v>4.1677594708744434E-14</v>
      </c>
      <c r="GB199" s="13">
        <f t="shared" si="185"/>
        <v>6.9326303456159188E-13</v>
      </c>
      <c r="GC199" s="20">
        <f t="shared" si="186"/>
        <v>1.2800215959791691E-12</v>
      </c>
      <c r="GD199" s="59">
        <f t="shared" si="200"/>
        <v>293.33333333333462</v>
      </c>
      <c r="GE199" s="59">
        <f ca="1">AVERAGE(OFFSET($GD$3,0,0,'Données projet'!$E$17+1,1))-AVERAGE(OFFSET($H$3,0,0,'Données projet'!$E$17+1,1))</f>
        <v>178.12968684094687</v>
      </c>
      <c r="GF199" s="59">
        <f t="shared" si="212"/>
        <v>219.36004077210373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7.709033601018693E-2</v>
      </c>
      <c r="GN199" s="21">
        <f>EXP(-LN(2)/2)*GN198+(1-EXP(-LN(2)/2))/(LN(2)/2)*GH199*GK199*VLOOKUP('Données projet'!$B$17,Paramètres!$A$1:$I$89,3,0)*0.475*44/12</f>
        <v>1.0254469749883978E-24</v>
      </c>
      <c r="GO199" s="21">
        <f t="shared" si="187"/>
        <v>7.709033601018693E-2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5.6843418860808015E-14</v>
      </c>
      <c r="GV199" s="17">
        <f>GU199*VLOOKUP('Données projet'!$B$18,Paramètres!$A$1:$I$89,3,0)*VLOOKUP('Données projet'!$B$18,Paramètres!$A$1:$I$89,5,0)</f>
        <v>4.5224624045658861E-14</v>
      </c>
      <c r="GW199" s="13">
        <f t="shared" si="188"/>
        <v>7.4514601661523691E-13</v>
      </c>
      <c r="GX199" s="20">
        <f t="shared" si="189"/>
        <v>1.3765621991510601E-12</v>
      </c>
      <c r="GY199" s="59">
        <f t="shared" si="201"/>
        <v>293.33333333333468</v>
      </c>
      <c r="GZ199" s="59">
        <f ca="1">AVERAGE(OFFSET($GY$3,0,0,'Données projet'!$E$18+1,1))-AVERAGE(OFFSET($H$3,0,0,'Données projet'!$E$18+1,1))</f>
        <v>199.58763537752952</v>
      </c>
      <c r="HA199" s="59">
        <f t="shared" si="213"/>
        <v>242.62852778451929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0</v>
      </c>
      <c r="HH199" s="21">
        <f>EXP(-LN(2)/25)*HH198+(1-EXP(-LN(2)/25))/(LN(2)/25)*Calculateur!HC199*Calculateur!HE199*VLOOKUP('Données projet'!$B$18,Paramètres!$A$1:$I$89,3,0)*0.475*44/12</f>
        <v>0.10310498675682106</v>
      </c>
      <c r="HI199" s="21">
        <f>EXP(-LN(2)/2)*HI198+(1-EXP(-LN(2)/2))/(LN(2)/2)*HC199*HF199*VLOOKUP('Données projet'!$B$18,Paramètres!$A$1:$I$89,3,0)*0.475*44/12</f>
        <v>1.1127190579661347E-24</v>
      </c>
      <c r="HJ199" s="22">
        <f t="shared" si="190"/>
        <v>0.10310498675682106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-7.3896444519050419E-13</v>
      </c>
      <c r="O200" s="13">
        <f>N200*VLOOKUP('Données projet'!$B$9,Paramètres!$A$1:$I$89,3,0)*VLOOKUP('Données projet'!$B$9,Paramètres!$A$1:$I$89,5,0)</f>
        <v>-6.6861503000836817E-13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309.07357540707869</v>
      </c>
      <c r="T200" s="59">
        <f t="shared" si="204"/>
        <v>155.9593924683299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-6.5369931689929217E-13</v>
      </c>
      <c r="AJ200" s="13">
        <f>AI200*VLOOKUP('Données projet'!$B$10,Paramètres!$A$1:$I$89,3,0)*VLOOKUP('Données projet'!$B$10,Paramètres!$A$1:$I$89,5,0)</f>
        <v>-5.9146714193047959E-13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234.30804102916278</v>
      </c>
      <c r="AO200" s="59">
        <f t="shared" si="205"/>
        <v>91.137993288782411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3.4106051316484809E-13</v>
      </c>
      <c r="BE200" s="13">
        <f>BD200*VLOOKUP('Données projet'!$B$11,Paramètres!$A$1:$I$89,3,0)*VLOOKUP('Données projet'!$B$11,Paramètres!$A$1:$I$89,5,0)</f>
        <v>1.5961632016114892E-13</v>
      </c>
      <c r="BF200" s="13">
        <f t="shared" si="167"/>
        <v>2.2708641912150958E-12</v>
      </c>
      <c r="BG200" s="20">
        <f t="shared" si="168"/>
        <v>4.2330868906469593E-12</v>
      </c>
      <c r="BH200" s="59">
        <f t="shared" si="194"/>
        <v>293.33333333333752</v>
      </c>
      <c r="BI200" s="59">
        <f ca="1">AVERAGE(OFFSET($BH$3,0,0,'Données projet'!$E$11+1,1))-AVERAGE(OFFSET($H$3,0,0,'Données projet'!$E$11+1,1))</f>
        <v>158.58786357608489</v>
      </c>
      <c r="BJ200" s="59">
        <f t="shared" si="206"/>
        <v>163.20074068819849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5.6843418860808015E-13</v>
      </c>
      <c r="BZ200" s="13">
        <f>BY200*VLOOKUP('Données projet'!$B$12,Paramètres!$A$1:$I$89,3,0)*VLOOKUP('Données projet'!$B$12,Paramètres!$A$1:$I$89,5,0)</f>
        <v>2.6602720026858149E-13</v>
      </c>
      <c r="CA200" s="13">
        <f t="shared" si="170"/>
        <v>3.5662905043956649E-12</v>
      </c>
      <c r="CB200" s="20">
        <f t="shared" si="171"/>
        <v>6.6746200022902298E-12</v>
      </c>
      <c r="CC200" s="59">
        <f t="shared" si="195"/>
        <v>293.33333333333997</v>
      </c>
      <c r="CD200" s="59">
        <f ca="1">AVERAGE(OFFSET($CC$3,0,0,'Données projet'!$E$12+1,1))-AVERAGE(OFFSET($H$3,0,0,'Données projet'!$E$12+1,1))</f>
        <v>123.2823358462245</v>
      </c>
      <c r="CE200" s="59">
        <f t="shared" si="207"/>
        <v>92.75115399786057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-2.8421709430404007E-13</v>
      </c>
      <c r="CU200" s="17">
        <f>CT200*VLOOKUP('Données projet'!$B$13,Paramètres!$A$1:$I$89,3,0)*VLOOKUP('Données projet'!$B$13,Paramètres!$A$1:$I$89,5,0)</f>
        <v>-1.69961822393816E-13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179.32848817523677</v>
      </c>
      <c r="CZ200" s="59">
        <f t="shared" si="208"/>
        <v>131.3292389103035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0.12853980166894996</v>
      </c>
      <c r="DH200" s="21">
        <f>EXP(-LN(2)/2)*DH199+(1-EXP(-LN(2)/2))/(LN(2)/2)*DB200*DE200*VLOOKUP('Données projet'!$B$13,Paramètres!$A$1:$I$89,3,0)*0.475*44/12</f>
        <v>3.847848400590402E-25</v>
      </c>
      <c r="DI200" s="22">
        <f t="shared" si="175"/>
        <v>0.12853980166894996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-7.3896444519050419E-13</v>
      </c>
      <c r="DP200" s="17">
        <f>DO200*VLOOKUP('Données projet'!$B$14,Paramètres!$A$1:$I$89,3,0)*VLOOKUP('Données projet'!$B$14,Paramètres!$A$1:$I$89,5,0)</f>
        <v>-7.147264113882557E-13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340.4659523898373</v>
      </c>
      <c r="DU200" s="59">
        <f t="shared" si="209"/>
        <v>170.54530785680572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-6.5369931689929217E-13</v>
      </c>
      <c r="EK200" s="17">
        <f>EJ200*VLOOKUP('Données projet'!$B$15,Paramètres!$A$1:$I$89,3,0)*VLOOKUP('Données projet'!$B$15,Paramètres!$A$1:$I$89,5,0)</f>
        <v>-6.3225797930499538E-13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262.20955982183017</v>
      </c>
      <c r="EP200" s="59">
        <f t="shared" si="210"/>
        <v>101.35842063036193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5.6843418860808015E-14</v>
      </c>
      <c r="FF200" s="17">
        <f>FE200*VLOOKUP('Données projet'!$B$16,Paramètres!$A$1:$I$89,3,0)*VLOOKUP('Données projet'!$B$16,Paramètres!$A$1:$I$89,5,0)</f>
        <v>4.5224624045658861E-14</v>
      </c>
      <c r="FG200" s="13">
        <f t="shared" si="182"/>
        <v>7.4514601661523691E-13</v>
      </c>
      <c r="FH200" s="20">
        <f t="shared" si="183"/>
        <v>1.3765621991510601E-12</v>
      </c>
      <c r="FI200" s="59">
        <f t="shared" si="199"/>
        <v>293.33333333333468</v>
      </c>
      <c r="FJ200" s="59">
        <f ca="1">AVERAGE(OFFSET($FI$3,0,0,'Données projet'!$E$16+1,1))-AVERAGE(OFFSET($H$3,0,0,'Données projet'!$E$16+1,1))</f>
        <v>199.58763537752952</v>
      </c>
      <c r="FK200" s="59">
        <f t="shared" si="211"/>
        <v>242.62852778451929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0.10028557547190019</v>
      </c>
      <c r="FS200" s="21">
        <f>EXP(-LN(2)/2)*FS199+(1-EXP(-LN(2)/2))/(LN(2)/2)*FM200*FP200*VLOOKUP('Données projet'!$B$16,Paramètres!$A$1:$I$89,3,0)*0.475*44/12</f>
        <v>7.8681119144336092E-25</v>
      </c>
      <c r="FT200" s="22">
        <f t="shared" si="184"/>
        <v>0.10028557547190019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5.6843418860808015E-14</v>
      </c>
      <c r="GA200" s="17">
        <f>FZ200*VLOOKUP('Données projet'!$B$17,Paramètres!$A$1:$I$89,3,0)*VLOOKUP('Données projet'!$B$17,Paramètres!$A$1:$I$89,5,0)</f>
        <v>4.1677594708744434E-14</v>
      </c>
      <c r="GB200" s="13">
        <f t="shared" si="185"/>
        <v>6.9326303456159188E-13</v>
      </c>
      <c r="GC200" s="20">
        <f t="shared" si="186"/>
        <v>1.2800215959791691E-12</v>
      </c>
      <c r="GD200" s="59">
        <f t="shared" si="200"/>
        <v>293.33333333333462</v>
      </c>
      <c r="GE200" s="59">
        <f ca="1">AVERAGE(OFFSET($GD$3,0,0,'Données projet'!$E$17+1,1))-AVERAGE(OFFSET($H$3,0,0,'Données projet'!$E$17+1,1))</f>
        <v>178.12968684094687</v>
      </c>
      <c r="GF200" s="59">
        <f t="shared" si="212"/>
        <v>219.36004077210373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7.4982296717983787E-2</v>
      </c>
      <c r="GN200" s="21">
        <f>EXP(-LN(2)/2)*GN199+(1-EXP(-LN(2)/2))/(LN(2)/2)*GH200*GK200*VLOOKUP('Données projet'!$B$17,Paramètres!$A$1:$I$89,3,0)*0.475*44/12</f>
        <v>7.2510050976152806E-25</v>
      </c>
      <c r="GO200" s="21">
        <f t="shared" si="187"/>
        <v>7.4982296717983787E-2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5.6843418860808015E-14</v>
      </c>
      <c r="GV200" s="17">
        <f>GU200*VLOOKUP('Données projet'!$B$18,Paramètres!$A$1:$I$89,3,0)*VLOOKUP('Données projet'!$B$18,Paramètres!$A$1:$I$89,5,0)</f>
        <v>4.5224624045658861E-14</v>
      </c>
      <c r="GW200" s="13">
        <f t="shared" si="188"/>
        <v>7.4514601661523691E-13</v>
      </c>
      <c r="GX200" s="20">
        <f t="shared" si="189"/>
        <v>1.3765621991510601E-12</v>
      </c>
      <c r="GY200" s="59">
        <f t="shared" si="201"/>
        <v>293.33333333333468</v>
      </c>
      <c r="GZ200" s="59">
        <f ca="1">AVERAGE(OFFSET($GY$3,0,0,'Données projet'!$E$18+1,1))-AVERAGE(OFFSET($H$3,0,0,'Données projet'!$E$18+1,1))</f>
        <v>199.58763537752952</v>
      </c>
      <c r="HA200" s="59">
        <f t="shared" si="213"/>
        <v>242.62852778451929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0</v>
      </c>
      <c r="HH200" s="21">
        <f>EXP(-LN(2)/25)*HH199+(1-EXP(-LN(2)/25))/(LN(2)/25)*Calculateur!HC200*Calculateur!HE200*VLOOKUP('Données projet'!$B$18,Paramètres!$A$1:$I$89,3,0)*0.475*44/12</f>
        <v>0.10028557547190019</v>
      </c>
      <c r="HI200" s="21">
        <f>EXP(-LN(2)/2)*HI199+(1-EXP(-LN(2)/2))/(LN(2)/2)*HC200*HF200*VLOOKUP('Données projet'!$B$18,Paramètres!$A$1:$I$89,3,0)*0.475*44/12</f>
        <v>7.8681119144336092E-25</v>
      </c>
      <c r="HJ200" s="22">
        <f t="shared" si="190"/>
        <v>0.10028557547190019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-7.3896444519050419E-13</v>
      </c>
      <c r="O201" s="13">
        <f>N201*VLOOKUP('Données projet'!$B$9,Paramètres!$A$1:$I$89,3,0)*VLOOKUP('Données projet'!$B$9,Paramètres!$A$1:$I$89,5,0)</f>
        <v>-6.6861503000836817E-13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309.07357540707869</v>
      </c>
      <c r="T201" s="59">
        <f t="shared" si="204"/>
        <v>155.9593924683299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-6.5369931689929217E-13</v>
      </c>
      <c r="AJ201" s="13">
        <f>AI201*VLOOKUP('Données projet'!$B$10,Paramètres!$A$1:$I$89,3,0)*VLOOKUP('Données projet'!$B$10,Paramètres!$A$1:$I$89,5,0)</f>
        <v>-5.9146714193047959E-13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234.30804102916278</v>
      </c>
      <c r="AO201" s="59">
        <f t="shared" si="205"/>
        <v>91.137993288782411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3.4106051316484809E-13</v>
      </c>
      <c r="BE201" s="13">
        <f>BD201*VLOOKUP('Données projet'!$B$11,Paramètres!$A$1:$I$89,3,0)*VLOOKUP('Données projet'!$B$11,Paramètres!$A$1:$I$89,5,0)</f>
        <v>1.5961632016114892E-13</v>
      </c>
      <c r="BF201" s="13">
        <f t="shared" si="167"/>
        <v>2.2708641912150958E-12</v>
      </c>
      <c r="BG201" s="20">
        <f t="shared" si="168"/>
        <v>4.2330868906469593E-12</v>
      </c>
      <c r="BH201" s="59">
        <f t="shared" si="194"/>
        <v>293.33333333333752</v>
      </c>
      <c r="BI201" s="59">
        <f ca="1">AVERAGE(OFFSET($BH$3,0,0,'Données projet'!$E$11+1,1))-AVERAGE(OFFSET($H$3,0,0,'Données projet'!$E$11+1,1))</f>
        <v>158.58786357608489</v>
      </c>
      <c r="BJ201" s="59">
        <f t="shared" si="206"/>
        <v>163.20074068819849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5.6843418860808015E-13</v>
      </c>
      <c r="BZ201" s="13">
        <f>BY201*VLOOKUP('Données projet'!$B$12,Paramètres!$A$1:$I$89,3,0)*VLOOKUP('Données projet'!$B$12,Paramètres!$A$1:$I$89,5,0)</f>
        <v>2.6602720026858149E-13</v>
      </c>
      <c r="CA201" s="13">
        <f t="shared" si="170"/>
        <v>3.5662905043956649E-12</v>
      </c>
      <c r="CB201" s="20">
        <f t="shared" si="171"/>
        <v>6.6746200022902298E-12</v>
      </c>
      <c r="CC201" s="59">
        <f t="shared" si="195"/>
        <v>293.33333333333997</v>
      </c>
      <c r="CD201" s="59">
        <f ca="1">AVERAGE(OFFSET($CC$3,0,0,'Données projet'!$E$12+1,1))-AVERAGE(OFFSET($H$3,0,0,'Données projet'!$E$12+1,1))</f>
        <v>123.2823358462245</v>
      </c>
      <c r="CE201" s="59">
        <f t="shared" si="207"/>
        <v>92.75115399786057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-2.8421709430404007E-13</v>
      </c>
      <c r="CU201" s="17">
        <f>CT201*VLOOKUP('Données projet'!$B$13,Paramètres!$A$1:$I$89,3,0)*VLOOKUP('Données projet'!$B$13,Paramètres!$A$1:$I$89,5,0)</f>
        <v>-1.69961822393816E-13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179.32848817523677</v>
      </c>
      <c r="CZ201" s="59">
        <f t="shared" si="208"/>
        <v>131.3292389103035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0.12502487403269813</v>
      </c>
      <c r="DH201" s="21">
        <f>EXP(-LN(2)/2)*DH200+(1-EXP(-LN(2)/2))/(LN(2)/2)*DB201*DE201*VLOOKUP('Données projet'!$B$13,Paramètres!$A$1:$I$89,3,0)*0.475*44/12</f>
        <v>2.7208396970352842E-25</v>
      </c>
      <c r="DI201" s="22">
        <f t="shared" si="175"/>
        <v>0.12502487403269813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-7.3896444519050419E-13</v>
      </c>
      <c r="DP201" s="17">
        <f>DO201*VLOOKUP('Données projet'!$B$14,Paramètres!$A$1:$I$89,3,0)*VLOOKUP('Données projet'!$B$14,Paramètres!$A$1:$I$89,5,0)</f>
        <v>-7.147264113882557E-13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340.4659523898373</v>
      </c>
      <c r="DU201" s="59">
        <f t="shared" si="209"/>
        <v>170.54530785680572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-6.5369931689929217E-13</v>
      </c>
      <c r="EK201" s="17">
        <f>EJ201*VLOOKUP('Données projet'!$B$15,Paramètres!$A$1:$I$89,3,0)*VLOOKUP('Données projet'!$B$15,Paramètres!$A$1:$I$89,5,0)</f>
        <v>-6.3225797930499538E-13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262.20955982183017</v>
      </c>
      <c r="EP201" s="59">
        <f t="shared" si="210"/>
        <v>101.35842063036193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5.6843418860808015E-14</v>
      </c>
      <c r="FF201" s="17">
        <f>FE201*VLOOKUP('Données projet'!$B$16,Paramètres!$A$1:$I$89,3,0)*VLOOKUP('Données projet'!$B$16,Paramètres!$A$1:$I$89,5,0)</f>
        <v>4.5224624045658861E-14</v>
      </c>
      <c r="FG201" s="13">
        <f t="shared" si="182"/>
        <v>7.4514601661523691E-13</v>
      </c>
      <c r="FH201" s="20">
        <f t="shared" si="183"/>
        <v>1.3765621991510601E-12</v>
      </c>
      <c r="FI201" s="59">
        <f t="shared" si="199"/>
        <v>293.33333333333468</v>
      </c>
      <c r="FJ201" s="59">
        <f ca="1">AVERAGE(OFFSET($FI$3,0,0,'Données projet'!$E$16+1,1))-AVERAGE(OFFSET($H$3,0,0,'Données projet'!$E$16+1,1))</f>
        <v>199.58763537752952</v>
      </c>
      <c r="FK201" s="59">
        <f t="shared" si="211"/>
        <v>242.62852778451929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9.7543261136831871E-2</v>
      </c>
      <c r="FS201" s="21">
        <f>EXP(-LN(2)/2)*FS200+(1-EXP(-LN(2)/2))/(LN(2)/2)*FM201*FP201*VLOOKUP('Données projet'!$B$16,Paramètres!$A$1:$I$89,3,0)*0.475*44/12</f>
        <v>5.5635952898306736E-25</v>
      </c>
      <c r="FT201" s="22">
        <f t="shared" si="184"/>
        <v>9.7543261136831871E-2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5.6843418860808015E-14</v>
      </c>
      <c r="GA201" s="17">
        <f>FZ201*VLOOKUP('Données projet'!$B$17,Paramètres!$A$1:$I$89,3,0)*VLOOKUP('Données projet'!$B$17,Paramètres!$A$1:$I$89,5,0)</f>
        <v>4.1677594708744434E-14</v>
      </c>
      <c r="GB201" s="13">
        <f t="shared" si="185"/>
        <v>6.9326303456159188E-13</v>
      </c>
      <c r="GC201" s="20">
        <f t="shared" si="186"/>
        <v>1.2800215959791691E-12</v>
      </c>
      <c r="GD201" s="59">
        <f t="shared" si="200"/>
        <v>293.33333333333462</v>
      </c>
      <c r="GE201" s="59">
        <f ca="1">AVERAGE(OFFSET($GD$3,0,0,'Données projet'!$E$17+1,1))-AVERAGE(OFFSET($H$3,0,0,'Données projet'!$E$17+1,1))</f>
        <v>178.12968684094687</v>
      </c>
      <c r="GF201" s="59">
        <f t="shared" si="212"/>
        <v>219.36004077210373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7.2931901871082908E-2</v>
      </c>
      <c r="GN201" s="21">
        <f>EXP(-LN(2)/2)*GN200+(1-EXP(-LN(2)/2))/(LN(2)/2)*GH201*GK201*VLOOKUP('Données projet'!$B$17,Paramètres!$A$1:$I$89,3,0)*0.475*44/12</f>
        <v>5.1272348749419888E-25</v>
      </c>
      <c r="GO201" s="21">
        <f t="shared" si="187"/>
        <v>7.2931901871082908E-2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5.6843418860808015E-14</v>
      </c>
      <c r="GV201" s="17">
        <f>GU201*VLOOKUP('Données projet'!$B$18,Paramètres!$A$1:$I$89,3,0)*VLOOKUP('Données projet'!$B$18,Paramètres!$A$1:$I$89,5,0)</f>
        <v>4.5224624045658861E-14</v>
      </c>
      <c r="GW201" s="13">
        <f t="shared" si="188"/>
        <v>7.4514601661523691E-13</v>
      </c>
      <c r="GX201" s="20">
        <f t="shared" si="189"/>
        <v>1.3765621991510601E-12</v>
      </c>
      <c r="GY201" s="59">
        <f t="shared" si="201"/>
        <v>293.33333333333468</v>
      </c>
      <c r="GZ201" s="59">
        <f ca="1">AVERAGE(OFFSET($GY$3,0,0,'Données projet'!$E$18+1,1))-AVERAGE(OFFSET($H$3,0,0,'Données projet'!$E$18+1,1))</f>
        <v>199.58763537752952</v>
      </c>
      <c r="HA201" s="59">
        <f t="shared" si="213"/>
        <v>242.62852778451929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0</v>
      </c>
      <c r="HH201" s="21">
        <f>EXP(-LN(2)/25)*HH200+(1-EXP(-LN(2)/25))/(LN(2)/25)*Calculateur!HC201*Calculateur!HE201*VLOOKUP('Données projet'!$B$18,Paramètres!$A$1:$I$89,3,0)*0.475*44/12</f>
        <v>9.7543261136831871E-2</v>
      </c>
      <c r="HI201" s="21">
        <f>EXP(-LN(2)/2)*HI200+(1-EXP(-LN(2)/2))/(LN(2)/2)*HC201*HF201*VLOOKUP('Données projet'!$B$18,Paramètres!$A$1:$I$89,3,0)*0.475*44/12</f>
        <v>5.5635952898306736E-25</v>
      </c>
      <c r="HJ201" s="22">
        <f t="shared" si="190"/>
        <v>9.7543261136831871E-2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-7.3896444519050419E-13</v>
      </c>
      <c r="O202" s="13">
        <f>N202*VLOOKUP('Données projet'!$B$9,Paramètres!$A$1:$I$89,3,0)*VLOOKUP('Données projet'!$B$9,Paramètres!$A$1:$I$89,5,0)</f>
        <v>-6.6861503000836817E-13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309.07357540707869</v>
      </c>
      <c r="T202" s="59">
        <f t="shared" si="204"/>
        <v>155.9593924683299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-6.5369931689929217E-13</v>
      </c>
      <c r="AJ202" s="13">
        <f>AI202*VLOOKUP('Données projet'!$B$10,Paramètres!$A$1:$I$89,3,0)*VLOOKUP('Données projet'!$B$10,Paramètres!$A$1:$I$89,5,0)</f>
        <v>-5.9146714193047959E-13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234.30804102916278</v>
      </c>
      <c r="AO202" s="59">
        <f t="shared" si="205"/>
        <v>91.137993288782411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3.4106051316484809E-13</v>
      </c>
      <c r="BE202" s="13">
        <f>BD202*VLOOKUP('Données projet'!$B$11,Paramètres!$A$1:$I$89,3,0)*VLOOKUP('Données projet'!$B$11,Paramètres!$A$1:$I$89,5,0)</f>
        <v>1.5961632016114892E-13</v>
      </c>
      <c r="BF202" s="13">
        <f t="shared" si="167"/>
        <v>2.2708641912150958E-12</v>
      </c>
      <c r="BG202" s="20">
        <f t="shared" si="168"/>
        <v>4.2330868906469593E-12</v>
      </c>
      <c r="BH202" s="59">
        <f t="shared" si="194"/>
        <v>293.33333333333752</v>
      </c>
      <c r="BI202" s="59">
        <f ca="1">AVERAGE(OFFSET($BH$3,0,0,'Données projet'!$E$11+1,1))-AVERAGE(OFFSET($H$3,0,0,'Données projet'!$E$11+1,1))</f>
        <v>158.58786357608489</v>
      </c>
      <c r="BJ202" s="59">
        <f t="shared" si="206"/>
        <v>163.20074068819849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5.6843418860808015E-13</v>
      </c>
      <c r="BZ202" s="13">
        <f>BY202*VLOOKUP('Données projet'!$B$12,Paramètres!$A$1:$I$89,3,0)*VLOOKUP('Données projet'!$B$12,Paramètres!$A$1:$I$89,5,0)</f>
        <v>2.6602720026858149E-13</v>
      </c>
      <c r="CA202" s="13">
        <f t="shared" si="170"/>
        <v>3.5662905043956649E-12</v>
      </c>
      <c r="CB202" s="20">
        <f t="shared" si="171"/>
        <v>6.6746200022902298E-12</v>
      </c>
      <c r="CC202" s="59">
        <f t="shared" si="195"/>
        <v>293.33333333333997</v>
      </c>
      <c r="CD202" s="59">
        <f ca="1">AVERAGE(OFFSET($CC$3,0,0,'Données projet'!$E$12+1,1))-AVERAGE(OFFSET($H$3,0,0,'Données projet'!$E$12+1,1))</f>
        <v>123.2823358462245</v>
      </c>
      <c r="CE202" s="59">
        <f t="shared" si="207"/>
        <v>92.75115399786057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-2.8421709430404007E-13</v>
      </c>
      <c r="CU202" s="17">
        <f>CT202*VLOOKUP('Données projet'!$B$13,Paramètres!$A$1:$I$89,3,0)*VLOOKUP('Données projet'!$B$13,Paramètres!$A$1:$I$89,5,0)</f>
        <v>-1.69961822393816E-13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179.32848817523677</v>
      </c>
      <c r="CZ202" s="59">
        <f t="shared" si="208"/>
        <v>131.3292389103035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0.12160606227750162</v>
      </c>
      <c r="DH202" s="21">
        <f>EXP(-LN(2)/2)*DH201+(1-EXP(-LN(2)/2))/(LN(2)/2)*DB202*DE202*VLOOKUP('Données projet'!$B$13,Paramètres!$A$1:$I$89,3,0)*0.475*44/12</f>
        <v>1.923924200295201E-25</v>
      </c>
      <c r="DI202" s="22">
        <f t="shared" si="175"/>
        <v>0.12160606227750162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-7.3896444519050419E-13</v>
      </c>
      <c r="DP202" s="17">
        <f>DO202*VLOOKUP('Données projet'!$B$14,Paramètres!$A$1:$I$89,3,0)*VLOOKUP('Données projet'!$B$14,Paramètres!$A$1:$I$89,5,0)</f>
        <v>-7.147264113882557E-13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340.4659523898373</v>
      </c>
      <c r="DU202" s="59">
        <f t="shared" si="209"/>
        <v>170.54530785680572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-6.5369931689929217E-13</v>
      </c>
      <c r="EK202" s="17">
        <f>EJ202*VLOOKUP('Données projet'!$B$15,Paramètres!$A$1:$I$89,3,0)*VLOOKUP('Données projet'!$B$15,Paramètres!$A$1:$I$89,5,0)</f>
        <v>-6.3225797930499538E-13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262.20955982183017</v>
      </c>
      <c r="EP202" s="59">
        <f t="shared" si="210"/>
        <v>101.35842063036193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5.6843418860808015E-14</v>
      </c>
      <c r="FF202" s="17">
        <f>FE202*VLOOKUP('Données projet'!$B$16,Paramètres!$A$1:$I$89,3,0)*VLOOKUP('Données projet'!$B$16,Paramètres!$A$1:$I$89,5,0)</f>
        <v>4.5224624045658861E-14</v>
      </c>
      <c r="FG202" s="13">
        <f t="shared" si="182"/>
        <v>7.4514601661523691E-13</v>
      </c>
      <c r="FH202" s="20">
        <f t="shared" si="183"/>
        <v>1.3765621991510601E-12</v>
      </c>
      <c r="FI202" s="59">
        <f t="shared" si="199"/>
        <v>293.33333333333468</v>
      </c>
      <c r="FJ202" s="59">
        <f ca="1">AVERAGE(OFFSET($FI$3,0,0,'Données projet'!$E$16+1,1))-AVERAGE(OFFSET($H$3,0,0,'Données projet'!$E$16+1,1))</f>
        <v>199.58763537752952</v>
      </c>
      <c r="FK202" s="59">
        <f t="shared" si="211"/>
        <v>242.62852778451929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9.4875935531468045E-2</v>
      </c>
      <c r="FS202" s="21">
        <f>EXP(-LN(2)/2)*FS201+(1-EXP(-LN(2)/2))/(LN(2)/2)*FM202*FP202*VLOOKUP('Données projet'!$B$16,Paramètres!$A$1:$I$89,3,0)*0.475*44/12</f>
        <v>3.9340559572168046E-25</v>
      </c>
      <c r="FT202" s="22">
        <f t="shared" si="184"/>
        <v>9.4875935531468045E-2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5.6843418860808015E-14</v>
      </c>
      <c r="GA202" s="17">
        <f>FZ202*VLOOKUP('Données projet'!$B$17,Paramètres!$A$1:$I$89,3,0)*VLOOKUP('Données projet'!$B$17,Paramètres!$A$1:$I$89,5,0)</f>
        <v>4.1677594708744434E-14</v>
      </c>
      <c r="GB202" s="13">
        <f t="shared" si="185"/>
        <v>6.9326303456159188E-13</v>
      </c>
      <c r="GC202" s="20">
        <f t="shared" si="186"/>
        <v>1.2800215959791691E-12</v>
      </c>
      <c r="GD202" s="59">
        <f t="shared" si="200"/>
        <v>293.33333333333462</v>
      </c>
      <c r="GE202" s="59">
        <f ca="1">AVERAGE(OFFSET($GD$3,0,0,'Données projet'!$E$17+1,1))-AVERAGE(OFFSET($H$3,0,0,'Données projet'!$E$17+1,1))</f>
        <v>178.12968684094687</v>
      </c>
      <c r="GF202" s="59">
        <f t="shared" si="212"/>
        <v>219.36004077210373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7.0937575179096116E-2</v>
      </c>
      <c r="GN202" s="21">
        <f>EXP(-LN(2)/2)*GN201+(1-EXP(-LN(2)/2))/(LN(2)/2)*GH202*GK202*VLOOKUP('Données projet'!$B$17,Paramètres!$A$1:$I$89,3,0)*0.475*44/12</f>
        <v>3.6255025488076403E-25</v>
      </c>
      <c r="GO202" s="21">
        <f t="shared" si="187"/>
        <v>7.0937575179096116E-2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5.6843418860808015E-14</v>
      </c>
      <c r="GV202" s="17">
        <f>GU202*VLOOKUP('Données projet'!$B$18,Paramètres!$A$1:$I$89,3,0)*VLOOKUP('Données projet'!$B$18,Paramètres!$A$1:$I$89,5,0)</f>
        <v>4.5224624045658861E-14</v>
      </c>
      <c r="GW202" s="13">
        <f t="shared" si="188"/>
        <v>7.4514601661523691E-13</v>
      </c>
      <c r="GX202" s="20">
        <f t="shared" si="189"/>
        <v>1.3765621991510601E-12</v>
      </c>
      <c r="GY202" s="59">
        <f t="shared" si="201"/>
        <v>293.33333333333468</v>
      </c>
      <c r="GZ202" s="59">
        <f ca="1">AVERAGE(OFFSET($GY$3,0,0,'Données projet'!$E$18+1,1))-AVERAGE(OFFSET($H$3,0,0,'Données projet'!$E$18+1,1))</f>
        <v>199.58763537752952</v>
      </c>
      <c r="HA202" s="59">
        <f t="shared" si="213"/>
        <v>242.62852778451929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0</v>
      </c>
      <c r="HH202" s="21">
        <f>EXP(-LN(2)/25)*HH201+(1-EXP(-LN(2)/25))/(LN(2)/25)*Calculateur!HC202*Calculateur!HE202*VLOOKUP('Données projet'!$B$18,Paramètres!$A$1:$I$89,3,0)*0.475*44/12</f>
        <v>9.4875935531468045E-2</v>
      </c>
      <c r="HI202" s="21">
        <f>EXP(-LN(2)/2)*HI201+(1-EXP(-LN(2)/2))/(LN(2)/2)*HC202*HF202*VLOOKUP('Données projet'!$B$18,Paramètres!$A$1:$I$89,3,0)*0.475*44/12</f>
        <v>3.9340559572168046E-25</v>
      </c>
      <c r="HJ202" s="22">
        <f t="shared" si="190"/>
        <v>9.4875935531468045E-2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-7.3896444519050419E-13</v>
      </c>
      <c r="O203" s="13">
        <f>N203*VLOOKUP('Données projet'!$B$9,Paramètres!$A$1:$I$89,3,0)*VLOOKUP('Données projet'!$B$9,Paramètres!$A$1:$I$89,5,0)</f>
        <v>-6.6861503000836817E-13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309.07357540707869</v>
      </c>
      <c r="T203" s="59">
        <f t="shared" si="204"/>
        <v>155.9593924683299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-6.5369931689929217E-13</v>
      </c>
      <c r="AJ203" s="13">
        <f>AI203*VLOOKUP('Données projet'!$B$10,Paramètres!$A$1:$I$89,3,0)*VLOOKUP('Données projet'!$B$10,Paramètres!$A$1:$I$89,5,0)</f>
        <v>-5.9146714193047959E-13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234.30804102916278</v>
      </c>
      <c r="AO203" s="59">
        <f t="shared" si="205"/>
        <v>91.137993288782411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3.4106051316484809E-13</v>
      </c>
      <c r="BE203" s="13">
        <f>BD203*VLOOKUP('Données projet'!$B$11,Paramètres!$A$1:$I$89,3,0)*VLOOKUP('Données projet'!$B$11,Paramètres!$A$1:$I$89,5,0)</f>
        <v>1.5961632016114892E-13</v>
      </c>
      <c r="BF203" s="13">
        <f t="shared" si="167"/>
        <v>2.2708641912150958E-12</v>
      </c>
      <c r="BG203" s="20">
        <f t="shared" si="168"/>
        <v>4.2330868906469593E-12</v>
      </c>
      <c r="BH203" s="59">
        <f t="shared" si="194"/>
        <v>293.33333333333752</v>
      </c>
      <c r="BI203" s="59">
        <f ca="1">AVERAGE(OFFSET($BH$3,0,0,'Données projet'!$E$11+1,1))-AVERAGE(OFFSET($H$3,0,0,'Données projet'!$E$11+1,1))</f>
        <v>158.58786357608489</v>
      </c>
      <c r="BJ203" s="59">
        <f t="shared" si="206"/>
        <v>163.20074068819849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5.6843418860808015E-13</v>
      </c>
      <c r="BZ203" s="13">
        <f>BY203*VLOOKUP('Données projet'!$B$12,Paramètres!$A$1:$I$89,3,0)*VLOOKUP('Données projet'!$B$12,Paramètres!$A$1:$I$89,5,0)</f>
        <v>2.6602720026858149E-13</v>
      </c>
      <c r="CA203" s="13">
        <f t="shared" si="170"/>
        <v>3.5662905043956649E-12</v>
      </c>
      <c r="CB203" s="20">
        <f t="shared" si="171"/>
        <v>6.6746200022902298E-12</v>
      </c>
      <c r="CC203" s="59">
        <f t="shared" si="195"/>
        <v>293.33333333333997</v>
      </c>
      <c r="CD203" s="59">
        <f ca="1">AVERAGE(OFFSET($CC$3,0,0,'Données projet'!$E$12+1,1))-AVERAGE(OFFSET($H$3,0,0,'Données projet'!$E$12+1,1))</f>
        <v>123.2823358462245</v>
      </c>
      <c r="CE203" s="59">
        <f t="shared" si="207"/>
        <v>92.75115399786057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-2.8421709430404007E-13</v>
      </c>
      <c r="CU203" s="17">
        <f>CT203*VLOOKUP('Données projet'!$B$13,Paramètres!$A$1:$I$89,3,0)*VLOOKUP('Données projet'!$B$13,Paramètres!$A$1:$I$89,5,0)</f>
        <v>-1.69961822393816E-13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179.32848817523677</v>
      </c>
      <c r="CZ203" s="59">
        <f t="shared" si="208"/>
        <v>131.3292389103035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0.11828073810953846</v>
      </c>
      <c r="DH203" s="21">
        <f>EXP(-LN(2)/2)*DH202+(1-EXP(-LN(2)/2))/(LN(2)/2)*DB203*DE203*VLOOKUP('Données projet'!$B$13,Paramètres!$A$1:$I$89,3,0)*0.475*44/12</f>
        <v>1.3604198485176421E-25</v>
      </c>
      <c r="DI203" s="22">
        <f t="shared" si="175"/>
        <v>0.11828073810953846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-7.3896444519050419E-13</v>
      </c>
      <c r="DP203" s="17">
        <f>DO203*VLOOKUP('Données projet'!$B$14,Paramètres!$A$1:$I$89,3,0)*VLOOKUP('Données projet'!$B$14,Paramètres!$A$1:$I$89,5,0)</f>
        <v>-7.147264113882557E-13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340.4659523898373</v>
      </c>
      <c r="DU203" s="59">
        <f t="shared" si="209"/>
        <v>170.54530785680572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-6.5369931689929217E-13</v>
      </c>
      <c r="EK203" s="17">
        <f>EJ203*VLOOKUP('Données projet'!$B$15,Paramètres!$A$1:$I$89,3,0)*VLOOKUP('Données projet'!$B$15,Paramètres!$A$1:$I$89,5,0)</f>
        <v>-6.3225797930499538E-13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262.20955982183017</v>
      </c>
      <c r="EP203" s="59">
        <f t="shared" si="210"/>
        <v>101.35842063036193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5.6843418860808015E-14</v>
      </c>
      <c r="FF203" s="17">
        <f>FE203*VLOOKUP('Données projet'!$B$16,Paramètres!$A$1:$I$89,3,0)*VLOOKUP('Données projet'!$B$16,Paramètres!$A$1:$I$89,5,0)</f>
        <v>4.5224624045658861E-14</v>
      </c>
      <c r="FG203" s="13">
        <f t="shared" si="182"/>
        <v>7.4514601661523691E-13</v>
      </c>
      <c r="FH203" s="20">
        <f t="shared" si="183"/>
        <v>1.3765621991510601E-12</v>
      </c>
      <c r="FI203" s="59">
        <f t="shared" si="199"/>
        <v>293.33333333333468</v>
      </c>
      <c r="FJ203" s="59">
        <f ca="1">AVERAGE(OFFSET($FI$3,0,0,'Données projet'!$E$16+1,1))-AVERAGE(OFFSET($H$3,0,0,'Données projet'!$E$16+1,1))</f>
        <v>199.58763537752952</v>
      </c>
      <c r="FK203" s="59">
        <f t="shared" si="211"/>
        <v>242.62852778451929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9.2281548085051443E-2</v>
      </c>
      <c r="FS203" s="21">
        <f>EXP(-LN(2)/2)*FS202+(1-EXP(-LN(2)/2))/(LN(2)/2)*FM203*FP203*VLOOKUP('Données projet'!$B$16,Paramètres!$A$1:$I$89,3,0)*0.475*44/12</f>
        <v>2.7817976449153368E-25</v>
      </c>
      <c r="FT203" s="22">
        <f t="shared" si="184"/>
        <v>9.2281548085051443E-2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5.6843418860808015E-14</v>
      </c>
      <c r="GA203" s="17">
        <f>FZ203*VLOOKUP('Données projet'!$B$17,Paramètres!$A$1:$I$89,3,0)*VLOOKUP('Données projet'!$B$17,Paramètres!$A$1:$I$89,5,0)</f>
        <v>4.1677594708744434E-14</v>
      </c>
      <c r="GB203" s="13">
        <f t="shared" si="185"/>
        <v>6.9326303456159188E-13</v>
      </c>
      <c r="GC203" s="20">
        <f t="shared" si="186"/>
        <v>1.2800215959791691E-12</v>
      </c>
      <c r="GD203" s="59">
        <f t="shared" si="200"/>
        <v>293.33333333333462</v>
      </c>
      <c r="GE203" s="59">
        <f ca="1">AVERAGE(OFFSET($GD$3,0,0,'Données projet'!$E$17+1,1))-AVERAGE(OFFSET($H$3,0,0,'Données projet'!$E$17+1,1))</f>
        <v>178.12968684094687</v>
      </c>
      <c r="GF203" s="59">
        <f t="shared" si="212"/>
        <v>219.36004077210373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6.8997783455378783E-2</v>
      </c>
      <c r="GN203" s="21">
        <f>EXP(-LN(2)/2)*GN202+(1-EXP(-LN(2)/2))/(LN(2)/2)*GH203*GK203*VLOOKUP('Données projet'!$B$17,Paramètres!$A$1:$I$89,3,0)*0.475*44/12</f>
        <v>2.5636174374709944E-25</v>
      </c>
      <c r="GO203" s="21">
        <f t="shared" si="187"/>
        <v>6.8997783455378783E-2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5.6843418860808015E-14</v>
      </c>
      <c r="GV203" s="17">
        <f>GU203*VLOOKUP('Données projet'!$B$18,Paramètres!$A$1:$I$89,3,0)*VLOOKUP('Données projet'!$B$18,Paramètres!$A$1:$I$89,5,0)</f>
        <v>4.5224624045658861E-14</v>
      </c>
      <c r="GW203" s="13">
        <f t="shared" si="188"/>
        <v>7.4514601661523691E-13</v>
      </c>
      <c r="GX203" s="20">
        <f t="shared" si="189"/>
        <v>1.3765621991510601E-12</v>
      </c>
      <c r="GY203" s="59">
        <f t="shared" si="201"/>
        <v>293.33333333333468</v>
      </c>
      <c r="GZ203" s="59">
        <f ca="1">AVERAGE(OFFSET($GY$3,0,0,'Données projet'!$E$18+1,1))-AVERAGE(OFFSET($H$3,0,0,'Données projet'!$E$18+1,1))</f>
        <v>199.58763537752952</v>
      </c>
      <c r="HA203" s="59">
        <f t="shared" si="213"/>
        <v>242.62852778451929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0</v>
      </c>
      <c r="HH203" s="21">
        <f>EXP(-LN(2)/25)*HH202+(1-EXP(-LN(2)/25))/(LN(2)/25)*Calculateur!HC203*Calculateur!HE203*VLOOKUP('Données projet'!$B$18,Paramètres!$A$1:$I$89,3,0)*0.475*44/12</f>
        <v>9.2281548085051443E-2</v>
      </c>
      <c r="HI203" s="21">
        <f>EXP(-LN(2)/2)*HI202+(1-EXP(-LN(2)/2))/(LN(2)/2)*HC203*HF203*VLOOKUP('Données projet'!$B$18,Paramètres!$A$1:$I$89,3,0)*0.475*44/12</f>
        <v>2.7817976449153368E-25</v>
      </c>
      <c r="HJ203" s="22">
        <f t="shared" si="190"/>
        <v>9.2281548085051443E-2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1.1690615875970631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1.1549646791274306</v>
      </c>
      <c r="BA205" s="82">
        <f>EXP(LN('Données projet'!B88)/'Données projet'!A88)</f>
        <v>1.1963772029987372</v>
      </c>
      <c r="BV205" s="82">
        <f>EXP(LN('Données projet'!B114)/'Données projet'!A114)</f>
        <v>1.1810516433311786</v>
      </c>
      <c r="CQ205" s="82">
        <f>EXP(LN('Données projet'!B140)/'Données projet'!A140)</f>
        <v>1.2691631451226497</v>
      </c>
      <c r="DL205" s="82">
        <f>EXP(LN('Données projet'!B166)/'Données projet'!A166)</f>
        <v>1.1690615875970631</v>
      </c>
      <c r="EG205" s="82">
        <f>EXP(LN('Données projet'!B192)/'Données projet'!A192)</f>
        <v>1.1549646791274306</v>
      </c>
      <c r="FB205" s="82">
        <f>EXP(LN('Données projet'!B218)/'Données projet'!A218)</f>
        <v>1.2557008269631629</v>
      </c>
      <c r="FW205" s="82">
        <f>EXP(LN('Données projet'!B244)/'Données projet'!A244)</f>
        <v>1.2557008269631629</v>
      </c>
      <c r="GR205" s="82">
        <f>EXP(LN('Données projet'!B270)/'Données projet'!A270)</f>
        <v>1.2557008269631629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98.716399999999993</v>
      </c>
      <c r="C6" s="147">
        <f ca="1">IF(OR('Données projet'!B9="",'Données projet'!C9="",'Données projet'!C9=0%),0,Calculateur!S3)</f>
        <v>309.07357540707869</v>
      </c>
      <c r="D6" s="147">
        <f>IF(OR('Données projet'!B9="",'Données projet'!C9="",'Données projet'!C9=0%),0,Calculateur!T3)</f>
        <v>155.9593924683299</v>
      </c>
      <c r="E6" s="147">
        <f ca="1">MIN(C6,D6)</f>
        <v>155.9593924683299</v>
      </c>
      <c r="F6" s="147">
        <f ca="1">E6*B6</f>
        <v>15395.749770660641</v>
      </c>
      <c r="G6" s="147">
        <f ca="1">F6*(100%-'Données projet'!$C$24)*(100%-'Données projet'!$C$25)*(100%-'Données projet'!$C$26)*(100%-'Données projet'!$C$27)</f>
        <v>13856.174793594577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13856.174793594577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1.0056</v>
      </c>
      <c r="C7" s="147">
        <f ca="1">IF(OR('Données projet'!B10="",'Données projet'!C10="",'Données projet'!C10=0%),0,Calculateur!AN3)</f>
        <v>234.30804102916278</v>
      </c>
      <c r="D7" s="147">
        <f>IF(OR('Données projet'!B10="",'Données projet'!C10="",'Données projet'!C10=0%),0,Calculateur!AO3)</f>
        <v>91.137993288782411</v>
      </c>
      <c r="E7" s="147">
        <f t="shared" ref="E7:E15" ca="1" si="0">MIN(C7,D7)</f>
        <v>91.137993288782411</v>
      </c>
      <c r="F7" s="147">
        <f t="shared" ref="F7:F15" ca="1" si="1">E7*B7</f>
        <v>91.648366051199602</v>
      </c>
      <c r="G7" s="147">
        <f ca="1">F7*(100%-'Données projet'!$C$24)*(100%-'Données projet'!$C$25)*(100%-'Données projet'!$C$26)*(100%-'Données projet'!$C$27)</f>
        <v>82.483529446079643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82.483529446079643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Cèdre de l'Atlas</v>
      </c>
      <c r="B8" s="154">
        <f>'Données projet'!D11</f>
        <v>12.067199999999998</v>
      </c>
      <c r="C8" s="147">
        <f ca="1">IF(OR('Données projet'!B11="",'Données projet'!C11="",'Données projet'!C11=0%),0,Calculateur!BI3)</f>
        <v>158.58786357608489</v>
      </c>
      <c r="D8" s="147">
        <f>IF(OR('Données projet'!B11="",'Données projet'!C11="",'Données projet'!C11=0%),0,Calculateur!BJ3)</f>
        <v>163.20074068819849</v>
      </c>
      <c r="E8" s="147">
        <f t="shared" ca="1" si="0"/>
        <v>158.58786357608489</v>
      </c>
      <c r="F8" s="147">
        <f t="shared" ca="1" si="1"/>
        <v>1913.7114673453311</v>
      </c>
      <c r="G8" s="147">
        <f ca="1">F8*(100%-'Données projet'!$C$24)*(100%-'Données projet'!$C$25)*(100%-'Données projet'!$C$26)*(100%-'Données projet'!$C$27)</f>
        <v>1722.340320610798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1722.340320610798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Cèdre de l'Atlas</v>
      </c>
      <c r="B9" s="154">
        <f>'Données projet'!D12</f>
        <v>1.0056</v>
      </c>
      <c r="C9" s="147">
        <f ca="1">IF(OR('Données projet'!B12="",'Données projet'!C12="",'Données projet'!C12=0%),0,Calculateur!CD3)</f>
        <v>123.2823358462245</v>
      </c>
      <c r="D9" s="147">
        <f>IF(OR('Données projet'!B12="",'Données projet'!C12="",'Données projet'!C12=0%),0,Calculateur!CE3)</f>
        <v>92.75115399786057</v>
      </c>
      <c r="E9" s="147">
        <f t="shared" ca="1" si="0"/>
        <v>92.75115399786057</v>
      </c>
      <c r="F9" s="147">
        <f t="shared" ca="1" si="1"/>
        <v>93.270560460248589</v>
      </c>
      <c r="G9" s="147">
        <f ca="1">F9*(100%-'Données projet'!$C$24)*(100%-'Données projet'!$C$25)*(100%-'Données projet'!$C$26)*(100%-'Données projet'!$C$27)</f>
        <v>83.943504414223739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83.943504414223739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Pin laricio</v>
      </c>
      <c r="B10" s="154">
        <f>'Données projet'!D13</f>
        <v>41.564799999999998</v>
      </c>
      <c r="C10" s="147">
        <f ca="1">IF(OR('Données projet'!B13="",'Données projet'!C13="",'Données projet'!C13=0%),0,Calculateur!CY3)</f>
        <v>179.32848817523677</v>
      </c>
      <c r="D10" s="147">
        <f>IF(OR('Données projet'!B13="",'Données projet'!C13="",'Données projet'!C13=0%),0,Calculateur!CZ3)</f>
        <v>131.3292389103035</v>
      </c>
      <c r="E10" s="147">
        <f t="shared" ca="1" si="0"/>
        <v>131.3292389103035</v>
      </c>
      <c r="F10" s="147">
        <f t="shared" ca="1" si="1"/>
        <v>5458.673549458983</v>
      </c>
      <c r="G10" s="147">
        <f ca="1">F10*(100%-'Données projet'!$C$24)*(100%-'Données projet'!$C$25)*(100%-'Données projet'!$C$26)*(100%-'Données projet'!$C$27)</f>
        <v>4912.8061945130848</v>
      </c>
      <c r="H10" s="155">
        <f>IF(OR('Données projet'!B13="",'Données projet'!C13="",'Données projet'!C13=0%),0,AVERAGE(Calculateur!$DI$3:$DI$33)*B10)</f>
        <v>251.64660771642579</v>
      </c>
      <c r="I10" s="149">
        <f>H10*(100%-'Données projet'!$C$24)*(100%-'Données projet'!$C$25)*(100%-'Données projet'!$C$26)*(100%-'Données projet'!$C$27)</f>
        <v>226.4819469447832</v>
      </c>
      <c r="J10" s="150">
        <f>IF(OR('Données projet'!B13="",'Données projet'!C13="",'Données projet'!C13=0%),0,SUM(Calculateur!$DB$3:$DB$33)*VLOOKUP('Données projet'!$B$13,Paramètres!$A$1:$I$89,9,0)*B10)</f>
        <v>1561.9508300307689</v>
      </c>
      <c r="K10" s="151">
        <f>J10*(100%-'Données projet'!$C$24)*(100%-'Données projet'!$C$25)*(100%-'Données projet'!$C$26)*(100%-'Données projet'!$C$27)</f>
        <v>1405.755747027692</v>
      </c>
      <c r="L10" s="152">
        <f t="shared" ca="1" si="2"/>
        <v>6545.0438884855594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Alisier torminal</v>
      </c>
      <c r="B11" s="154">
        <f>'Données projet'!D14</f>
        <v>7.7096</v>
      </c>
      <c r="C11" s="147">
        <f ca="1">IF(OR('Données projet'!B14="",'Données projet'!C14="",'Données projet'!C14=0%),0,Calculateur!DT3)</f>
        <v>340.4659523898373</v>
      </c>
      <c r="D11" s="147">
        <f>IF(OR('Données projet'!B14="",'Données projet'!C14="",'Données projet'!C14=0%),0,Calculateur!DU3)</f>
        <v>170.54530785680572</v>
      </c>
      <c r="E11" s="147">
        <f t="shared" ca="1" si="0"/>
        <v>170.54530785680572</v>
      </c>
      <c r="F11" s="147">
        <f t="shared" ca="1" si="1"/>
        <v>1314.8361054528293</v>
      </c>
      <c r="G11" s="147">
        <f ca="1">F11*(100%-'Données projet'!$C$24)*(100%-'Données projet'!$C$25)*(100%-'Données projet'!$C$26)*(100%-'Données projet'!$C$27)</f>
        <v>1183.3524949075463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1183.3524949075463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Alisier torminal</v>
      </c>
      <c r="B12" s="154">
        <f>'Données projet'!D15</f>
        <v>0.3352</v>
      </c>
      <c r="C12" s="147">
        <f ca="1">IF(OR('Données projet'!B15="",'Données projet'!C15="",'Données projet'!C15=0%),0,Calculateur!EO3)</f>
        <v>262.20955982183017</v>
      </c>
      <c r="D12" s="147">
        <f>IF(OR('Données projet'!B15="",'Données projet'!C15="",'Données projet'!C15=0%),0,Calculateur!EP3)</f>
        <v>101.35842063036193</v>
      </c>
      <c r="E12" s="147">
        <f t="shared" ca="1" si="0"/>
        <v>101.35842063036193</v>
      </c>
      <c r="F12" s="147">
        <f t="shared" ca="1" si="1"/>
        <v>33.97534259529732</v>
      </c>
      <c r="G12" s="147">
        <f ca="1">F12*(100%-'Données projet'!$C$24)*(100%-'Données projet'!$C$25)*(100%-'Données projet'!$C$26)*(100%-'Données projet'!$C$27)</f>
        <v>30.577808335767589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30.577808335767589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Erable sycomore</v>
      </c>
      <c r="B13" s="154">
        <f>'Données projet'!D16</f>
        <v>4.1900000000000004</v>
      </c>
      <c r="C13" s="147">
        <f ca="1">IF(OR('Données projet'!B16="",'Données projet'!C16="",'Données projet'!C16=0%),0,Calculateur!FJ3)</f>
        <v>199.58763537752952</v>
      </c>
      <c r="D13" s="147">
        <f>IF(OR('Données projet'!B16="",'Données projet'!C16="",'Données projet'!C16=0%),0,Calculateur!FK3)</f>
        <v>242.62852778451929</v>
      </c>
      <c r="E13" s="147">
        <f t="shared" ca="1" si="0"/>
        <v>199.58763537752952</v>
      </c>
      <c r="F13" s="147">
        <f t="shared" ca="1" si="1"/>
        <v>836.27219223184875</v>
      </c>
      <c r="G13" s="147">
        <f ca="1">F13*(100%-'Données projet'!$C$24)*(100%-'Données projet'!$C$25)*(100%-'Données projet'!$C$26)*(100%-'Données projet'!$C$27)</f>
        <v>752.6449730086639</v>
      </c>
      <c r="H13" s="155">
        <f>IF(OR('Données projet'!B16="",'Données projet'!C16="",'Données projet'!C16=0%),0,AVERAGE(Calculateur!$FT$3:$FT$33)*B13)</f>
        <v>12.425829463299113</v>
      </c>
      <c r="I13" s="149">
        <f>H13*(100%-'Données projet'!$C$24)*(100%-'Données projet'!$C$25)*(100%-'Données projet'!$C$26)*(100%-'Données projet'!$C$27)</f>
        <v>11.183246516969202</v>
      </c>
      <c r="J13" s="150">
        <f>IF(OR('Données projet'!C16="",'Données projet'!C16=0%),0,SUM(Calculateur!$FM$3:$FM$33)*VLOOKUP('Données projet'!$B$16,Paramètres!$A$1:$I$89,9,0)*B13)</f>
        <v>103.70250000000001</v>
      </c>
      <c r="K13" s="151">
        <f>J13*(100%-'Données projet'!$C$24)*(100%-'Données projet'!$C$25)*(100%-'Données projet'!$C$26)*(100%-'Données projet'!$C$27)</f>
        <v>93.332250000000016</v>
      </c>
      <c r="L13" s="152">
        <f t="shared" ca="1" si="2"/>
        <v>857.16046952563318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Châtaignier</v>
      </c>
      <c r="B14" s="154">
        <f>'Données projet'!D17</f>
        <v>0.3352</v>
      </c>
      <c r="C14" s="147">
        <f ca="1">IF(OR('Données projet'!B17="",'Données projet'!C17="",'Données projet'!C17=0%),0,Calculateur!GE3)</f>
        <v>178.12968684094687</v>
      </c>
      <c r="D14" s="147">
        <f>IF(OR('Données projet'!B17="",'Données projet'!C17="",'Données projet'!C17=0%),0,Calculateur!GF3)</f>
        <v>219.36004077210373</v>
      </c>
      <c r="E14" s="147">
        <f t="shared" ca="1" si="0"/>
        <v>178.12968684094687</v>
      </c>
      <c r="F14" s="147">
        <f t="shared" ca="1" si="1"/>
        <v>59.709071029085393</v>
      </c>
      <c r="G14" s="147">
        <f ca="1">F14*(100%-'Données projet'!$C$24)*(100%-'Données projet'!$C$25)*(100%-'Données projet'!$C$26)*(100%-'Données projet'!$C$27)</f>
        <v>53.738163926176853</v>
      </c>
      <c r="H14" s="155">
        <f>IF(OR('Données projet'!B17="",'Données projet'!C17="",'Données projet'!C17=0%),0,AVERAGE(Calculateur!$GO$3:$GO$33)*B14)</f>
        <v>0.81366736612551638</v>
      </c>
      <c r="I14" s="149">
        <f>H14*(100%-'Données projet'!$C$24)*(100%-'Données projet'!$C$25)*(100%-'Données projet'!$C$26)*(100%-'Données projet'!$C$27)</f>
        <v>0.73230062951296471</v>
      </c>
      <c r="J14" s="150">
        <f>IF(OR('Données projet'!B17="",'Données projet'!C17="",'Données projet'!C17=0%),0,SUM(Calculateur!$GH$3:$GH$33)*VLOOKUP('Données projet'!$B$17,Paramètres!$A$1:$I$89,9,0)*B14)</f>
        <v>8.2962000000000007</v>
      </c>
      <c r="K14" s="151">
        <f>J14*(100%-'Données projet'!$C$24)*(100%-'Données projet'!$C$25)*(100%-'Données projet'!$C$26)*(100%-'Données projet'!$C$27)</f>
        <v>7.4665800000000004</v>
      </c>
      <c r="L14" s="152">
        <f t="shared" ca="1" si="2"/>
        <v>61.937044555689816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>Erable plane</v>
      </c>
      <c r="B15" s="157">
        <f>'Données projet'!D18</f>
        <v>0.6704</v>
      </c>
      <c r="C15" s="158">
        <f ca="1">IF(OR('Données projet'!B18="",'Données projet'!C18="",'Données projet'!C18=0%),0,Calculateur!GZ3)</f>
        <v>199.58763537752952</v>
      </c>
      <c r="D15" s="158">
        <f>IF(OR('Données projet'!B18="",'Données projet'!C18="",'Données projet'!C18=0%),0,Calculateur!HA3)</f>
        <v>242.62852778451929</v>
      </c>
      <c r="E15" s="158">
        <f t="shared" ca="1" si="0"/>
        <v>199.58763537752952</v>
      </c>
      <c r="F15" s="159">
        <f t="shared" ca="1" si="1"/>
        <v>133.80355075709579</v>
      </c>
      <c r="G15" s="159">
        <f ca="1">F15*(100%-'Données projet'!$C$24)*(100%-'Données projet'!$C$25)*(100%-'Données projet'!$C$26)*(100%-'Données projet'!$C$27)</f>
        <v>120.42319568138622</v>
      </c>
      <c r="H15" s="160">
        <f>IF(OR('Données projet'!B18="",'Données projet'!C18="",'Données projet'!C18=0%),0,AVERAGE(Calculateur!$HJ$3:$HJ$33)*B15)</f>
        <v>1.988132714127858</v>
      </c>
      <c r="I15" s="161">
        <f>H15*(100%-'Données projet'!$C$24)*(100%-'Données projet'!$C$25)*(100%-'Données projet'!$C$26)*(100%-'Données projet'!$C$27)</f>
        <v>1.7893194427150723</v>
      </c>
      <c r="J15" s="162">
        <f>IF(OR('Données projet'!B18="",'Données projet'!C18="",'Données projet'!C18=0%),0,SUM(Calculateur!$HC$3:$HC$33)*VLOOKUP('Données projet'!$B$18,Paramètres!$A$1:$I$89,9,0)*B15)</f>
        <v>16.592400000000001</v>
      </c>
      <c r="K15" s="163">
        <f>J15*(100%-'Données projet'!$C$24)*(100%-'Données projet'!$C$25)*(100%-'Données projet'!$C$26)*(100%-'Données projet'!$C$27)</f>
        <v>14.933160000000001</v>
      </c>
      <c r="L15" s="164">
        <f t="shared" ca="1" si="2"/>
        <v>137.14567512410127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25331.649976042565</v>
      </c>
      <c r="G16" s="166">
        <f t="shared" ca="1" si="3"/>
        <v>22798.484978438304</v>
      </c>
      <c r="H16" s="167">
        <f t="shared" si="3"/>
        <v>266.87423725997826</v>
      </c>
      <c r="I16" s="167">
        <f t="shared" si="3"/>
        <v>240.18681353398046</v>
      </c>
      <c r="J16" s="168">
        <f t="shared" si="3"/>
        <v>1690.541930030769</v>
      </c>
      <c r="K16" s="168">
        <f t="shared" si="3"/>
        <v>1521.487737027692</v>
      </c>
      <c r="L16" s="169">
        <f t="shared" ca="1" si="3"/>
        <v>24560.159528999975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Pin laricio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Erable sycomore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Châtaignier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>Erable plane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-1472.3581426148635</v>
      </c>
      <c r="U10" s="178">
        <f>'Données projet'!D9</f>
        <v>98.716399999999993</v>
      </c>
      <c r="V10" s="177">
        <f>U10*T10</f>
        <v>-145345.89534962591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-2211.1080542462805</v>
      </c>
      <c r="U11" s="178">
        <f>'Données projet'!D10</f>
        <v>1.0056</v>
      </c>
      <c r="V11" s="177">
        <f t="shared" ref="V11" si="0">U11*T11</f>
        <v>-2223.4902593500597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-1048.5463099485582</v>
      </c>
      <c r="U12" s="178">
        <f>'Données projet'!D11</f>
        <v>12.067199999999998</v>
      </c>
      <c r="V12" s="177">
        <f t="shared" ref="V12:V19" si="1">U12*T12</f>
        <v>-12653.01803141124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-1925.1918138086407</v>
      </c>
      <c r="U13" s="178">
        <f>'Données projet'!D12</f>
        <v>1.0056</v>
      </c>
      <c r="V13" s="177">
        <f t="shared" si="1"/>
        <v>-1935.9728879659692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laricio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1075.4561161222412</v>
      </c>
      <c r="U14" s="178">
        <f>'Données projet'!D13</f>
        <v>41.564799999999998</v>
      </c>
      <c r="V14" s="177">
        <f t="shared" si="1"/>
        <v>44701.118375397724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-2535.3581426148626</v>
      </c>
      <c r="U15" s="178">
        <f>'Données projet'!D14</f>
        <v>7.7096</v>
      </c>
      <c r="V15" s="177">
        <f t="shared" si="1"/>
        <v>-19546.597136303546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>Alisier torminal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-3201.0194407450736</v>
      </c>
      <c r="U16" s="178">
        <f>'Données projet'!D15</f>
        <v>0.3352</v>
      </c>
      <c r="V16" s="177">
        <f t="shared" si="1"/>
        <v>-1072.9817165377488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2875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Erable sycomore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-1197.9326188908854</v>
      </c>
      <c r="U17" s="178">
        <f>'Données projet'!D16</f>
        <v>4.1900000000000004</v>
      </c>
      <c r="V17" s="177">
        <f t="shared" si="1"/>
        <v>-5019.3376731528097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>Châtaignier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-984.93261889088546</v>
      </c>
      <c r="U18" s="178">
        <f>'Données projet'!D17</f>
        <v>0.3352</v>
      </c>
      <c r="V18" s="177">
        <f t="shared" si="1"/>
        <v>-330.14941385222482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>Erable plane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-1093.2126319167678</v>
      </c>
      <c r="U19" s="178">
        <f>'Données projet'!D18</f>
        <v>0.6704</v>
      </c>
      <c r="V19" s="177">
        <f t="shared" si="1"/>
        <v>-732.88974843700112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2138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900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600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-827038.70184908691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34</v>
      </c>
      <c r="B24" s="181">
        <f>'Données projet'!D37</f>
        <v>31.615384615384613</v>
      </c>
      <c r="C24" s="193">
        <v>12</v>
      </c>
      <c r="D24" s="182">
        <f t="shared" ref="D24:D42" si="2">B24*C24</f>
        <v>379.38461538461536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11890.004534338652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42</v>
      </c>
      <c r="B25" s="181">
        <f>'Données projet'!D38</f>
        <v>45.198717948717949</v>
      </c>
      <c r="C25" s="193">
        <v>35</v>
      </c>
      <c r="D25" s="182">
        <f t="shared" si="2"/>
        <v>1581.9551282051282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-838928.70638342551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52.282051282051285</v>
      </c>
      <c r="C26" s="193">
        <v>45</v>
      </c>
      <c r="D26" s="182">
        <f t="shared" si="2"/>
        <v>2352.6923076923076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58</v>
      </c>
      <c r="B27" s="181">
        <f>'Données projet'!D40</f>
        <v>47.467948717948715</v>
      </c>
      <c r="C27" s="193">
        <v>50</v>
      </c>
      <c r="D27" s="182">
        <f t="shared" si="2"/>
        <v>2373.3974358974356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66</v>
      </c>
      <c r="B28" s="181">
        <f>'Données projet'!D41</f>
        <v>54.141025641025635</v>
      </c>
      <c r="C28" s="193">
        <v>55</v>
      </c>
      <c r="D28" s="182">
        <f t="shared" si="2"/>
        <v>2977.7564102564102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74</v>
      </c>
      <c r="B29" s="181">
        <f>'Données projet'!D42</f>
        <v>52.737179487179482</v>
      </c>
      <c r="C29" s="193">
        <v>60</v>
      </c>
      <c r="D29" s="182">
        <f t="shared" si="2"/>
        <v>3164.2307692307691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82</v>
      </c>
      <c r="B30" s="181">
        <f>'Données projet'!D43</f>
        <v>40.371794871794869</v>
      </c>
      <c r="C30" s="193">
        <v>80</v>
      </c>
      <c r="D30" s="182">
        <f t="shared" si="2"/>
        <v>3229.7435897435894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90</v>
      </c>
      <c r="B31" s="181">
        <f>'Données projet'!D44</f>
        <v>47.307692307692307</v>
      </c>
      <c r="C31" s="193">
        <v>80</v>
      </c>
      <c r="D31" s="182">
        <f t="shared" si="2"/>
        <v>3784.6153846153848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100</v>
      </c>
      <c r="B32" s="181">
        <f>'Données projet'!D45</f>
        <v>63.801282051282051</v>
      </c>
      <c r="C32" s="193">
        <v>80</v>
      </c>
      <c r="D32" s="182">
        <f t="shared" si="2"/>
        <v>5104.1025641025644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110</v>
      </c>
      <c r="B33" s="181">
        <f>'Données projet'!D46</f>
        <v>50.051282051282051</v>
      </c>
      <c r="C33" s="193">
        <v>80</v>
      </c>
      <c r="D33" s="182">
        <f t="shared" si="2"/>
        <v>4004.102564102564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120</v>
      </c>
      <c r="B34" s="181">
        <f>'Données projet'!D47</f>
        <v>44.929487179487182</v>
      </c>
      <c r="C34" s="193">
        <v>80</v>
      </c>
      <c r="D34" s="182">
        <f t="shared" si="2"/>
        <v>3594.3589743589746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130</v>
      </c>
      <c r="B35" s="181">
        <f>'Données projet'!D48</f>
        <v>51.378205128205131</v>
      </c>
      <c r="C35" s="193">
        <v>80</v>
      </c>
      <c r="D35" s="182">
        <f t="shared" si="2"/>
        <v>4110.2564102564102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140</v>
      </c>
      <c r="B36" s="181">
        <f>'Données projet'!D49</f>
        <v>50.467948717948715</v>
      </c>
      <c r="C36" s="193">
        <v>80</v>
      </c>
      <c r="D36" s="182">
        <f t="shared" si="2"/>
        <v>4037.4358974358975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150</v>
      </c>
      <c r="B37" s="181">
        <f>'Données projet'!D50</f>
        <v>178.72435897435898</v>
      </c>
      <c r="C37" s="193">
        <v>80</v>
      </c>
      <c r="D37" s="182">
        <f t="shared" si="2"/>
        <v>14297.948717948719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153</v>
      </c>
      <c r="B38" s="181">
        <f>'Données projet'!D51</f>
        <v>105.26282051282051</v>
      </c>
      <c r="C38" s="193">
        <v>80</v>
      </c>
      <c r="D38" s="182">
        <f t="shared" si="2"/>
        <v>8421.0256410256407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156</v>
      </c>
      <c r="B39" s="181">
        <f>'Données projet'!D52</f>
        <v>65.070512820512818</v>
      </c>
      <c r="C39" s="193">
        <v>80</v>
      </c>
      <c r="D39" s="182">
        <f t="shared" si="2"/>
        <v>5205.6410256410254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159</v>
      </c>
      <c r="B40" s="181">
        <f>'Données projet'!D53</f>
        <v>135.55128205128204</v>
      </c>
      <c r="C40" s="193">
        <v>80</v>
      </c>
      <c r="D40" s="182">
        <f t="shared" si="2"/>
        <v>10844.102564102563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2875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42</v>
      </c>
      <c r="B55" s="181">
        <f>'Données projet'!D63</f>
        <v>38.685897435897438</v>
      </c>
      <c r="C55" s="191">
        <v>12</v>
      </c>
      <c r="D55" s="179">
        <f t="shared" ref="D55:D73" si="4">B55*C55</f>
        <v>464.23076923076928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50</v>
      </c>
      <c r="B56" s="181">
        <f>'Données projet'!D64</f>
        <v>29.416666666666664</v>
      </c>
      <c r="C56" s="191">
        <v>35</v>
      </c>
      <c r="D56" s="179">
        <f t="shared" si="4"/>
        <v>1029.5833333333333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58</v>
      </c>
      <c r="B57" s="181">
        <f>'Données projet'!D65</f>
        <v>35.88461538461538</v>
      </c>
      <c r="C57" s="191">
        <v>45</v>
      </c>
      <c r="D57" s="179">
        <f t="shared" si="4"/>
        <v>1614.8076923076922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66</v>
      </c>
      <c r="B58" s="181">
        <f>'Données projet'!D66</f>
        <v>39.166666666666664</v>
      </c>
      <c r="C58" s="191">
        <v>50</v>
      </c>
      <c r="D58" s="179">
        <f t="shared" si="4"/>
        <v>1958.3333333333333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74</v>
      </c>
      <c r="B59" s="181">
        <f>'Données projet'!D67</f>
        <v>36.865384615384613</v>
      </c>
      <c r="C59" s="191">
        <v>55</v>
      </c>
      <c r="D59" s="179">
        <f t="shared" si="4"/>
        <v>2027.5961538461538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84</v>
      </c>
      <c r="B60" s="181">
        <f>'Données projet'!D68</f>
        <v>47.256410256410255</v>
      </c>
      <c r="C60" s="191">
        <v>60</v>
      </c>
      <c r="D60" s="179">
        <f t="shared" si="4"/>
        <v>2835.3846153846152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94</v>
      </c>
      <c r="B61" s="181">
        <f>'Données projet'!D69</f>
        <v>47.243589743589745</v>
      </c>
      <c r="C61" s="191">
        <v>80</v>
      </c>
      <c r="D61" s="179">
        <f t="shared" si="4"/>
        <v>3779.4871794871797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104</v>
      </c>
      <c r="B62" s="181">
        <f>'Données projet'!D70</f>
        <v>45.987179487179482</v>
      </c>
      <c r="C62" s="191">
        <v>80</v>
      </c>
      <c r="D62" s="179">
        <f t="shared" si="4"/>
        <v>3678.9743589743584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114</v>
      </c>
      <c r="B63" s="181">
        <f>'Données projet'!D71</f>
        <v>42.78846153846154</v>
      </c>
      <c r="C63" s="191">
        <v>80</v>
      </c>
      <c r="D63" s="179">
        <f t="shared" si="4"/>
        <v>3423.0769230769233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124</v>
      </c>
      <c r="B64" s="181">
        <f>'Données projet'!D72</f>
        <v>39.820512820512818</v>
      </c>
      <c r="C64" s="191">
        <v>80</v>
      </c>
      <c r="D64" s="179">
        <f t="shared" si="4"/>
        <v>3185.6410256410254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134</v>
      </c>
      <c r="B65" s="181">
        <f>'Données projet'!D73</f>
        <v>41.666666666666664</v>
      </c>
      <c r="C65" s="191">
        <v>80</v>
      </c>
      <c r="D65" s="179">
        <f t="shared" si="4"/>
        <v>3333.333333333333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144</v>
      </c>
      <c r="B66" s="181">
        <f>'Données projet'!D74</f>
        <v>42.224358974358978</v>
      </c>
      <c r="C66" s="191">
        <v>80</v>
      </c>
      <c r="D66" s="179">
        <f t="shared" si="4"/>
        <v>3377.9487179487182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154</v>
      </c>
      <c r="B67" s="181">
        <f>'Données projet'!D75</f>
        <v>41.557692307692307</v>
      </c>
      <c r="C67" s="191">
        <v>80</v>
      </c>
      <c r="D67" s="179">
        <f t="shared" si="4"/>
        <v>3324.6153846153848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164</v>
      </c>
      <c r="B68" s="181">
        <f>'Données projet'!D76</f>
        <v>44.814102564102562</v>
      </c>
      <c r="C68" s="191">
        <v>80</v>
      </c>
      <c r="D68" s="179">
        <f t="shared" si="4"/>
        <v>3585.1282051282051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174</v>
      </c>
      <c r="B69" s="181">
        <f>'Données projet'!D77</f>
        <v>162.38461538461539</v>
      </c>
      <c r="C69" s="191">
        <v>80</v>
      </c>
      <c r="D69" s="179">
        <f t="shared" si="4"/>
        <v>12990.76923076923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177</v>
      </c>
      <c r="B70" s="181">
        <f>'Données projet'!D78</f>
        <v>87</v>
      </c>
      <c r="C70" s="191">
        <v>80</v>
      </c>
      <c r="D70" s="179">
        <f t="shared" si="4"/>
        <v>6960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180</v>
      </c>
      <c r="B71" s="181">
        <f>'Données projet'!D79</f>
        <v>58.794871794871796</v>
      </c>
      <c r="C71" s="191">
        <v>80</v>
      </c>
      <c r="D71" s="179">
        <f t="shared" si="4"/>
        <v>4703.5897435897441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183</v>
      </c>
      <c r="B72" s="181">
        <f>'Données projet'!D80</f>
        <v>129.32692307692307</v>
      </c>
      <c r="C72" s="191">
        <v>50</v>
      </c>
      <c r="D72" s="179">
        <f t="shared" si="4"/>
        <v>6466.3461538461534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2494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30</v>
      </c>
      <c r="B85" s="181">
        <f>'Données projet'!D88</f>
        <v>0</v>
      </c>
      <c r="C85" s="191">
        <v>8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42</v>
      </c>
      <c r="B86" s="181">
        <f>'Données projet'!D89</f>
        <v>179.84615384615384</v>
      </c>
      <c r="C86" s="191">
        <v>8</v>
      </c>
      <c r="D86" s="179">
        <f t="shared" ref="D86:D104" si="6">B86*C86</f>
        <v>1438.7692307692307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49</v>
      </c>
      <c r="B87" s="181">
        <f>'Données projet'!D90</f>
        <v>94.476923076923072</v>
      </c>
      <c r="C87" s="191">
        <v>15</v>
      </c>
      <c r="D87" s="179">
        <f t="shared" si="6"/>
        <v>1417.1538461538462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56</v>
      </c>
      <c r="B88" s="181">
        <f>'Données projet'!D91</f>
        <v>72.769230769230759</v>
      </c>
      <c r="C88" s="191">
        <v>25</v>
      </c>
      <c r="D88" s="179">
        <f t="shared" si="6"/>
        <v>1819.2307692307691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63</v>
      </c>
      <c r="B89" s="181">
        <f>'Données projet'!D92</f>
        <v>71.123076923076923</v>
      </c>
      <c r="C89" s="191">
        <v>30</v>
      </c>
      <c r="D89" s="179">
        <f t="shared" si="6"/>
        <v>2133.6923076923076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71</v>
      </c>
      <c r="B90" s="181">
        <f>'Données projet'!D93</f>
        <v>80.399999999999991</v>
      </c>
      <c r="C90" s="191">
        <v>35</v>
      </c>
      <c r="D90" s="179">
        <f t="shared" si="6"/>
        <v>2813.9999999999995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79</v>
      </c>
      <c r="B91" s="181">
        <f>'Données projet'!D94</f>
        <v>77.338461538461544</v>
      </c>
      <c r="C91" s="191">
        <v>40</v>
      </c>
      <c r="D91" s="179">
        <f t="shared" si="6"/>
        <v>3093.5384615384619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87</v>
      </c>
      <c r="B92" s="181">
        <f>'Données projet'!D95</f>
        <v>77.330769230769235</v>
      </c>
      <c r="C92" s="191">
        <v>50</v>
      </c>
      <c r="D92" s="179">
        <f t="shared" si="6"/>
        <v>3866.5384615384619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95</v>
      </c>
      <c r="B93" s="181">
        <f>'Données projet'!D96</f>
        <v>234.42307692307691</v>
      </c>
      <c r="C93" s="191">
        <v>70</v>
      </c>
      <c r="D93" s="179">
        <f t="shared" si="6"/>
        <v>16409.615384615383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105</v>
      </c>
      <c r="B94" s="181">
        <f>'Données projet'!D97</f>
        <v>309.71538461538461</v>
      </c>
      <c r="C94" s="191">
        <v>70</v>
      </c>
      <c r="D94" s="179">
        <f t="shared" si="6"/>
        <v>21680.076923076922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2494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30</v>
      </c>
      <c r="B116" s="181">
        <f>'Données projet'!D114</f>
        <v>0</v>
      </c>
      <c r="C116" s="191">
        <v>8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51</v>
      </c>
      <c r="B117" s="181">
        <f>'Données projet'!D115</f>
        <v>170.16153846153847</v>
      </c>
      <c r="C117" s="191">
        <v>8</v>
      </c>
      <c r="D117" s="179">
        <f t="shared" ref="D117:D135" si="8">B117*C117</f>
        <v>1361.2923076923078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61</v>
      </c>
      <c r="B118" s="181">
        <f>'Données projet'!D116</f>
        <v>94.76153846153845</v>
      </c>
      <c r="C118" s="191">
        <v>15</v>
      </c>
      <c r="D118" s="179">
        <f t="shared" si="8"/>
        <v>1421.4230769230767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73</v>
      </c>
      <c r="B119" s="181">
        <f>'Données projet'!D117</f>
        <v>93.584615384615375</v>
      </c>
      <c r="C119" s="191">
        <v>25</v>
      </c>
      <c r="D119" s="179">
        <f t="shared" si="8"/>
        <v>2339.6153846153843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85</v>
      </c>
      <c r="B120" s="181">
        <f>'Données projet'!D118</f>
        <v>85.207692307692298</v>
      </c>
      <c r="C120" s="191">
        <v>30</v>
      </c>
      <c r="D120" s="179">
        <f t="shared" si="8"/>
        <v>2556.2307692307691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97</v>
      </c>
      <c r="B121" s="181">
        <f>'Données projet'!D119</f>
        <v>79.669230769230765</v>
      </c>
      <c r="C121" s="191">
        <v>35</v>
      </c>
      <c r="D121" s="179">
        <f t="shared" si="8"/>
        <v>2788.4230769230767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109</v>
      </c>
      <c r="B122" s="181">
        <f>'Données projet'!D120</f>
        <v>80.653846153846146</v>
      </c>
      <c r="C122" s="191">
        <v>40</v>
      </c>
      <c r="D122" s="179">
        <f t="shared" si="8"/>
        <v>3226.1538461538457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121</v>
      </c>
      <c r="B123" s="181">
        <f>'Données projet'!D121</f>
        <v>207.07692307692307</v>
      </c>
      <c r="C123" s="191">
        <v>50</v>
      </c>
      <c r="D123" s="179">
        <f t="shared" si="8"/>
        <v>10353.846153846152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131</v>
      </c>
      <c r="B124" s="181">
        <f>'Données projet'!D122</f>
        <v>259.61538461538458</v>
      </c>
      <c r="C124" s="191">
        <v>70</v>
      </c>
      <c r="D124" s="179">
        <f t="shared" si="8"/>
        <v>18173.076923076922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Pin laricio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1680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15</v>
      </c>
      <c r="B147" s="175">
        <f>'Données projet'!D140</f>
        <v>0</v>
      </c>
      <c r="C147" s="191">
        <v>10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22</v>
      </c>
      <c r="B148" s="175">
        <f>'Données projet'!D141</f>
        <v>52.746153846153838</v>
      </c>
      <c r="C148" s="191">
        <v>15</v>
      </c>
      <c r="D148" s="182">
        <f t="shared" ref="D148:D166" si="10">B148*C148</f>
        <v>791.19230769230762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27</v>
      </c>
      <c r="B149" s="175">
        <f>'Données projet'!D142</f>
        <v>34.646153846153844</v>
      </c>
      <c r="C149" s="191">
        <v>25</v>
      </c>
      <c r="D149" s="182">
        <f t="shared" si="10"/>
        <v>866.15384615384608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33</v>
      </c>
      <c r="B150" s="175">
        <f>'Données projet'!D143</f>
        <v>43.007692307692302</v>
      </c>
      <c r="C150" s="191">
        <v>35</v>
      </c>
      <c r="D150" s="182">
        <f t="shared" si="10"/>
        <v>1505.2692307692305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41</v>
      </c>
      <c r="B151" s="175">
        <f>'Données projet'!D144</f>
        <v>58.484615384615381</v>
      </c>
      <c r="C151" s="191">
        <v>40</v>
      </c>
      <c r="D151" s="182">
        <f t="shared" si="10"/>
        <v>2339.3846153846152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50</v>
      </c>
      <c r="B152" s="175">
        <f>'Données projet'!D145</f>
        <v>55.292307692307688</v>
      </c>
      <c r="C152" s="191">
        <v>50</v>
      </c>
      <c r="D152" s="182">
        <f t="shared" si="10"/>
        <v>2764.6153846153843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60</v>
      </c>
      <c r="B153" s="175">
        <f>'Données projet'!D146</f>
        <v>54.261538461538464</v>
      </c>
      <c r="C153" s="191">
        <v>50</v>
      </c>
      <c r="D153" s="182">
        <f t="shared" si="10"/>
        <v>2713.0769230769233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70</v>
      </c>
      <c r="B154" s="175">
        <f>'Données projet'!D147</f>
        <v>52.669230769230765</v>
      </c>
      <c r="C154" s="191">
        <v>50</v>
      </c>
      <c r="D154" s="182">
        <f t="shared" si="10"/>
        <v>2633.4615384615381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80</v>
      </c>
      <c r="B155" s="175">
        <f>'Données projet'!D148</f>
        <v>402.90769230769229</v>
      </c>
      <c r="C155" s="191">
        <v>70</v>
      </c>
      <c r="D155" s="182">
        <f t="shared" si="10"/>
        <v>28203.538461538461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3938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30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34</v>
      </c>
      <c r="B179" s="181">
        <f>'Données projet'!D167</f>
        <v>31.615384615384613</v>
      </c>
      <c r="C179" s="193">
        <v>12</v>
      </c>
      <c r="D179" s="179">
        <f t="shared" ref="D179:D197" si="11">B179*C179</f>
        <v>379.38461538461536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42</v>
      </c>
      <c r="B180" s="181">
        <f>'Données projet'!D168</f>
        <v>45.198717948717949</v>
      </c>
      <c r="C180" s="193">
        <v>35</v>
      </c>
      <c r="D180" s="179">
        <f t="shared" si="11"/>
        <v>1581.9551282051282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52.282051282051285</v>
      </c>
      <c r="C181" s="193">
        <v>45</v>
      </c>
      <c r="D181" s="179">
        <f t="shared" si="11"/>
        <v>2352.6923076923076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58</v>
      </c>
      <c r="B182" s="181">
        <f>'Données projet'!D170</f>
        <v>47.467948717948715</v>
      </c>
      <c r="C182" s="193">
        <v>50</v>
      </c>
      <c r="D182" s="179">
        <f t="shared" si="11"/>
        <v>2373.3974358974356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66</v>
      </c>
      <c r="B183" s="181">
        <f>'Données projet'!D171</f>
        <v>54.141025641025635</v>
      </c>
      <c r="C183" s="193">
        <v>55</v>
      </c>
      <c r="D183" s="179">
        <f t="shared" si="11"/>
        <v>2977.7564102564102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74</v>
      </c>
      <c r="B184" s="181">
        <f>'Données projet'!D172</f>
        <v>52.737179487179482</v>
      </c>
      <c r="C184" s="193">
        <v>60</v>
      </c>
      <c r="D184" s="179">
        <f t="shared" si="11"/>
        <v>3164.2307692307691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82</v>
      </c>
      <c r="B185" s="181">
        <f>'Données projet'!D173</f>
        <v>40.371794871794869</v>
      </c>
      <c r="C185" s="193">
        <v>80</v>
      </c>
      <c r="D185" s="179">
        <f t="shared" si="11"/>
        <v>3229.7435897435894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90</v>
      </c>
      <c r="B186" s="181">
        <f>'Données projet'!D174</f>
        <v>47.307692307692307</v>
      </c>
      <c r="C186" s="193">
        <v>80</v>
      </c>
      <c r="D186" s="179">
        <f t="shared" si="11"/>
        <v>3784.6153846153848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100</v>
      </c>
      <c r="B187" s="181">
        <f>'Données projet'!D175</f>
        <v>63.801282051282051</v>
      </c>
      <c r="C187" s="193">
        <v>80</v>
      </c>
      <c r="D187" s="179">
        <f t="shared" si="11"/>
        <v>5104.1025641025644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110</v>
      </c>
      <c r="B188" s="181">
        <f>'Données projet'!D176</f>
        <v>50.051282051282051</v>
      </c>
      <c r="C188" s="193">
        <v>80</v>
      </c>
      <c r="D188" s="179">
        <f t="shared" si="11"/>
        <v>4004.102564102564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120</v>
      </c>
      <c r="B189" s="181">
        <f>'Données projet'!D177</f>
        <v>44.929487179487182</v>
      </c>
      <c r="C189" s="193">
        <v>80</v>
      </c>
      <c r="D189" s="179">
        <f t="shared" si="11"/>
        <v>3594.3589743589746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130</v>
      </c>
      <c r="B190" s="181">
        <f>'Données projet'!D178</f>
        <v>51.378205128205131</v>
      </c>
      <c r="C190" s="193">
        <v>80</v>
      </c>
      <c r="D190" s="179">
        <f t="shared" si="11"/>
        <v>4110.2564102564102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140</v>
      </c>
      <c r="B191" s="181">
        <f>'Données projet'!D179</f>
        <v>50.467948717948715</v>
      </c>
      <c r="C191" s="193">
        <v>80</v>
      </c>
      <c r="D191" s="179">
        <f t="shared" si="11"/>
        <v>4037.4358974358975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150</v>
      </c>
      <c r="B192" s="181">
        <f>'Données projet'!D180</f>
        <v>178.72435897435898</v>
      </c>
      <c r="C192" s="193">
        <v>80</v>
      </c>
      <c r="D192" s="179">
        <f t="shared" si="11"/>
        <v>14297.948717948719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153</v>
      </c>
      <c r="B193" s="181">
        <f>'Données projet'!D181</f>
        <v>105.26282051282051</v>
      </c>
      <c r="C193" s="193">
        <v>80</v>
      </c>
      <c r="D193" s="179">
        <f t="shared" si="11"/>
        <v>8421.0256410256407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156</v>
      </c>
      <c r="B194" s="181">
        <f>'Données projet'!D182</f>
        <v>65.070512820512818</v>
      </c>
      <c r="C194" s="193">
        <v>80</v>
      </c>
      <c r="D194" s="179">
        <f t="shared" si="11"/>
        <v>5205.6410256410254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159</v>
      </c>
      <c r="B195" s="181">
        <f>'Données projet'!D183</f>
        <v>135.55128205128204</v>
      </c>
      <c r="C195" s="193">
        <v>80</v>
      </c>
      <c r="D195" s="179">
        <f t="shared" si="11"/>
        <v>10844.102564102563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3938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30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42</v>
      </c>
      <c r="B210" s="181">
        <f>'Données projet'!D193</f>
        <v>38.685897435897438</v>
      </c>
      <c r="C210" s="193">
        <v>12</v>
      </c>
      <c r="D210" s="179">
        <f t="shared" ref="D210:D228" si="12">B210*C210</f>
        <v>464.23076923076928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50</v>
      </c>
      <c r="B211" s="181">
        <f>'Données projet'!D194</f>
        <v>29.416666666666664</v>
      </c>
      <c r="C211" s="193">
        <v>35</v>
      </c>
      <c r="D211" s="179">
        <f t="shared" si="12"/>
        <v>1029.5833333333333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58</v>
      </c>
      <c r="B212" s="181">
        <f>'Données projet'!D195</f>
        <v>35.88461538461538</v>
      </c>
      <c r="C212" s="193">
        <v>45</v>
      </c>
      <c r="D212" s="179">
        <f t="shared" si="12"/>
        <v>1614.8076923076922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66</v>
      </c>
      <c r="B213" s="181">
        <f>'Données projet'!D196</f>
        <v>39.166666666666664</v>
      </c>
      <c r="C213" s="193">
        <v>50</v>
      </c>
      <c r="D213" s="179">
        <f t="shared" si="12"/>
        <v>1958.3333333333333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74</v>
      </c>
      <c r="B214" s="181">
        <f>'Données projet'!D197</f>
        <v>36.865384615384613</v>
      </c>
      <c r="C214" s="193">
        <v>55</v>
      </c>
      <c r="D214" s="179">
        <f t="shared" si="12"/>
        <v>2027.5961538461538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84</v>
      </c>
      <c r="B215" s="181">
        <f>'Données projet'!D198</f>
        <v>47.256410256410255</v>
      </c>
      <c r="C215" s="193">
        <v>60</v>
      </c>
      <c r="D215" s="179">
        <f t="shared" si="12"/>
        <v>2835.3846153846152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94</v>
      </c>
      <c r="B216" s="181">
        <f>'Données projet'!D199</f>
        <v>47.243589743589745</v>
      </c>
      <c r="C216" s="193">
        <v>80</v>
      </c>
      <c r="D216" s="179">
        <f t="shared" si="12"/>
        <v>3779.4871794871797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104</v>
      </c>
      <c r="B217" s="181">
        <f>'Données projet'!D200</f>
        <v>45.987179487179482</v>
      </c>
      <c r="C217" s="193">
        <v>80</v>
      </c>
      <c r="D217" s="179">
        <f t="shared" si="12"/>
        <v>3678.9743589743584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114</v>
      </c>
      <c r="B218" s="181">
        <f>'Données projet'!D201</f>
        <v>42.78846153846154</v>
      </c>
      <c r="C218" s="193">
        <v>80</v>
      </c>
      <c r="D218" s="179">
        <f t="shared" si="12"/>
        <v>3423.0769230769233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124</v>
      </c>
      <c r="B219" s="181">
        <f>'Données projet'!D202</f>
        <v>39.820512820512818</v>
      </c>
      <c r="C219" s="193">
        <v>80</v>
      </c>
      <c r="D219" s="179">
        <f t="shared" si="12"/>
        <v>3185.6410256410254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134</v>
      </c>
      <c r="B220" s="181">
        <f>'Données projet'!D203</f>
        <v>41.666666666666664</v>
      </c>
      <c r="C220" s="193">
        <v>80</v>
      </c>
      <c r="D220" s="179">
        <f t="shared" si="12"/>
        <v>3333.333333333333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144</v>
      </c>
      <c r="B221" s="181">
        <f>'Données projet'!D204</f>
        <v>42.224358974358978</v>
      </c>
      <c r="C221" s="193">
        <v>80</v>
      </c>
      <c r="D221" s="179">
        <f t="shared" si="12"/>
        <v>3377.9487179487182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154</v>
      </c>
      <c r="B222" s="181">
        <f>'Données projet'!D205</f>
        <v>41.557692307692307</v>
      </c>
      <c r="C222" s="193">
        <v>80</v>
      </c>
      <c r="D222" s="179">
        <f t="shared" si="12"/>
        <v>3324.6153846153848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164</v>
      </c>
      <c r="B223" s="181">
        <f>'Données projet'!D206</f>
        <v>44.814102564102562</v>
      </c>
      <c r="C223" s="193">
        <v>80</v>
      </c>
      <c r="D223" s="179">
        <f t="shared" si="12"/>
        <v>3585.1282051282051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174</v>
      </c>
      <c r="B224" s="181">
        <f>'Données projet'!D207</f>
        <v>162.38461538461539</v>
      </c>
      <c r="C224" s="193">
        <v>80</v>
      </c>
      <c r="D224" s="179">
        <f t="shared" si="12"/>
        <v>12990.76923076923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177</v>
      </c>
      <c r="B225" s="181">
        <f>'Données projet'!D208</f>
        <v>87</v>
      </c>
      <c r="C225" s="193">
        <v>80</v>
      </c>
      <c r="D225" s="179">
        <f t="shared" si="12"/>
        <v>6960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180</v>
      </c>
      <c r="B226" s="181">
        <f>'Données projet'!D209</f>
        <v>58.794871794871796</v>
      </c>
      <c r="C226" s="193">
        <v>80</v>
      </c>
      <c r="D226" s="179">
        <f t="shared" si="12"/>
        <v>4703.5897435897441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183</v>
      </c>
      <c r="B227" s="181">
        <f>'Données projet'!D210</f>
        <v>129.32692307692307</v>
      </c>
      <c r="C227" s="193">
        <v>50</v>
      </c>
      <c r="D227" s="179">
        <f t="shared" si="12"/>
        <v>6466.3461538461534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Erable sycomore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2616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20</v>
      </c>
      <c r="B240" s="181">
        <f>'Données projet'!D218</f>
        <v>43</v>
      </c>
      <c r="C240" s="193">
        <v>10</v>
      </c>
      <c r="D240" s="179">
        <f>B240*C240</f>
        <v>430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56</v>
      </c>
      <c r="C241" s="193">
        <v>15</v>
      </c>
      <c r="D241" s="179">
        <f t="shared" ref="D241:D259" si="13">B241*C241</f>
        <v>840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40</v>
      </c>
      <c r="B242" s="181">
        <f>'Données projet'!D220</f>
        <v>56</v>
      </c>
      <c r="C242" s="193">
        <v>20</v>
      </c>
      <c r="D242" s="179">
        <f t="shared" si="13"/>
        <v>1120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39</v>
      </c>
      <c r="C243" s="193">
        <v>30</v>
      </c>
      <c r="D243" s="179">
        <f t="shared" si="13"/>
        <v>1170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60</v>
      </c>
      <c r="B244" s="181">
        <f>'Données projet'!D222</f>
        <v>25</v>
      </c>
      <c r="C244" s="193">
        <v>35</v>
      </c>
      <c r="D244" s="179">
        <f t="shared" si="13"/>
        <v>875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70</v>
      </c>
      <c r="B245" s="181">
        <f>'Données projet'!D223</f>
        <v>21</v>
      </c>
      <c r="C245" s="193">
        <v>45</v>
      </c>
      <c r="D245" s="179">
        <f t="shared" si="13"/>
        <v>945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80</v>
      </c>
      <c r="B246" s="181">
        <f>'Données projet'!D224</f>
        <v>284</v>
      </c>
      <c r="C246" s="193">
        <v>70</v>
      </c>
      <c r="D246" s="179">
        <f t="shared" si="13"/>
        <v>19880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Châtaignier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2403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20</v>
      </c>
      <c r="B271" s="181">
        <f>'Données projet'!D244</f>
        <v>43</v>
      </c>
      <c r="C271" s="193">
        <v>10</v>
      </c>
      <c r="D271" s="179">
        <f>B271*C271</f>
        <v>430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30</v>
      </c>
      <c r="B272" s="181">
        <f>'Données projet'!D245</f>
        <v>56</v>
      </c>
      <c r="C272" s="193">
        <v>15</v>
      </c>
      <c r="D272" s="179">
        <f t="shared" ref="D272:D290" si="14">B272*C272</f>
        <v>840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40</v>
      </c>
      <c r="B273" s="181">
        <f>'Données projet'!D246</f>
        <v>56</v>
      </c>
      <c r="C273" s="193">
        <v>20</v>
      </c>
      <c r="D273" s="179">
        <f t="shared" si="14"/>
        <v>1120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50</v>
      </c>
      <c r="B274" s="181">
        <f>'Données projet'!D247</f>
        <v>39</v>
      </c>
      <c r="C274" s="193">
        <v>30</v>
      </c>
      <c r="D274" s="179">
        <f t="shared" si="14"/>
        <v>1170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60</v>
      </c>
      <c r="B275" s="181">
        <f>'Données projet'!D248</f>
        <v>25</v>
      </c>
      <c r="C275" s="193">
        <v>35</v>
      </c>
      <c r="D275" s="179">
        <f t="shared" si="14"/>
        <v>875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70</v>
      </c>
      <c r="B276" s="181">
        <f>'Données projet'!D249</f>
        <v>21</v>
      </c>
      <c r="C276" s="193">
        <v>45</v>
      </c>
      <c r="D276" s="179">
        <f t="shared" si="14"/>
        <v>945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80</v>
      </c>
      <c r="B277" s="181">
        <f>'Données projet'!D250</f>
        <v>284</v>
      </c>
      <c r="C277" s="193">
        <v>70</v>
      </c>
      <c r="D277" s="179">
        <f t="shared" si="14"/>
        <v>19880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>Erable plane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2287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20</v>
      </c>
      <c r="B302" s="181">
        <f>'Données projet'!D270</f>
        <v>43</v>
      </c>
      <c r="C302" s="191">
        <v>10</v>
      </c>
      <c r="D302" s="182">
        <f>B302*C302</f>
        <v>430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30</v>
      </c>
      <c r="B303" s="181">
        <f>'Données projet'!D271</f>
        <v>56</v>
      </c>
      <c r="C303" s="191">
        <v>15</v>
      </c>
      <c r="D303" s="182">
        <f t="shared" ref="D303:D321" si="15">B303*C303</f>
        <v>840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40</v>
      </c>
      <c r="B304" s="181">
        <f>'Données projet'!D272</f>
        <v>56</v>
      </c>
      <c r="C304" s="191">
        <v>20</v>
      </c>
      <c r="D304" s="182">
        <f t="shared" si="15"/>
        <v>1120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50</v>
      </c>
      <c r="B305" s="181">
        <f>'Données projet'!D273</f>
        <v>39</v>
      </c>
      <c r="C305" s="191">
        <v>30</v>
      </c>
      <c r="D305" s="182">
        <f t="shared" si="15"/>
        <v>1170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60</v>
      </c>
      <c r="B306" s="181">
        <f>'Données projet'!D274</f>
        <v>25</v>
      </c>
      <c r="C306" s="191">
        <v>35</v>
      </c>
      <c r="D306" s="182">
        <f t="shared" si="15"/>
        <v>875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70</v>
      </c>
      <c r="B307" s="181">
        <f>'Données projet'!D275</f>
        <v>21</v>
      </c>
      <c r="C307" s="191">
        <v>45</v>
      </c>
      <c r="D307" s="182">
        <f t="shared" si="15"/>
        <v>945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80</v>
      </c>
      <c r="B308" s="181">
        <f>'Données projet'!D276</f>
        <v>284</v>
      </c>
      <c r="C308" s="191">
        <v>70</v>
      </c>
      <c r="D308" s="182">
        <f t="shared" si="15"/>
        <v>19880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2025-12-03T16:10:40Z</dcterms:modified>
</cp:coreProperties>
</file>