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ac26e45e5db01fe0/Documents/Néosylva - Aurélien/3. Projets/2KERO/Kerougas 1/Màj Fev. 2022/"/>
    </mc:Choice>
  </mc:AlternateContent>
  <xr:revisionPtr revIDLastSave="72" documentId="11_5BD02CC90464FA37D99DA7CF6191D2FA9DCE0C8B" xr6:coauthVersionLast="47" xr6:coauthVersionMax="47" xr10:uidLastSave="{F6D376F8-C686-48B8-A0B6-F65C723A6D26}"/>
  <bookViews>
    <workbookView xWindow="-120" yWindow="-15870" windowWidth="25440" windowHeight="15390" tabRatio="86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Paramètres!$A$2:$A$88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A4" i="2"/>
  <c r="EX4" i="2"/>
  <c r="HI4" i="2"/>
  <c r="FQ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HI5" i="2"/>
  <c r="EA5" i="2"/>
  <c r="FR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EC6" i="2" s="1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HI6" i="2"/>
  <c r="EV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FS7" i="2" l="1"/>
  <c r="EW7" i="2"/>
  <c r="EV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I8" i="2"/>
  <c r="FS8" i="2"/>
  <c r="EC8" i="2"/>
  <c r="HG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HI9" i="2" s="1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I10" i="2" s="1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EB10" i="2"/>
  <c r="HG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EW11" i="2" s="1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EX11" i="2" s="1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FS12" i="2" l="1"/>
  <c r="EV12" i="2"/>
  <c r="HI12" i="2"/>
  <c r="EW12" i="2"/>
  <c r="HH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HI13" i="2" s="1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I14" i="2" s="1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B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FS16" i="2" s="1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X16" i="2" l="1"/>
  <c r="HI16" i="2"/>
  <c r="EC16" i="2"/>
  <c r="EA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HI17" i="2" s="1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EC17" i="2" s="1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EX17" i="2" l="1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I18" i="2" s="1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EC18" i="2"/>
  <c r="EA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EC19" i="2" s="1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I20" i="2" l="1"/>
  <c r="EW20" i="2"/>
  <c r="EV20" i="2"/>
  <c r="HG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X21" i="2" l="1"/>
  <c r="EV21" i="2"/>
  <c r="HH21" i="2"/>
  <c r="EW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HI22" i="2"/>
  <c r="EW22" i="2"/>
  <c r="HG22" i="2"/>
  <c r="EB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I24" i="2" s="1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EC24" i="2" s="1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FS25" i="2" l="1"/>
  <c r="EC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EC27" i="2" s="1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X28" i="2" l="1"/>
  <c r="EV28" i="2"/>
  <c r="EC28" i="2"/>
  <c r="EB28" i="2"/>
  <c r="HG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C29" i="2" l="1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EX30" i="2"/>
  <c r="HI30" i="2"/>
  <c r="EV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HG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HI32" i="2" s="1"/>
  <c r="GR32" i="2"/>
  <c r="GK32" i="2"/>
  <c r="HF32" i="2"/>
  <c r="GS32" i="2"/>
  <c r="FP32" i="2"/>
  <c r="GG32" i="2"/>
  <c r="FX32" i="2"/>
  <c r="GH32" i="2"/>
  <c r="FL32" i="2"/>
  <c r="FC32" i="2"/>
  <c r="FB32" i="2"/>
  <c r="ER32" i="2"/>
  <c r="EX32" i="2" s="1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C32" i="2" l="1"/>
  <c r="FS32" i="2"/>
  <c r="HH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FO33" i="2"/>
  <c r="FN33" i="2"/>
  <c r="GI33" i="2"/>
  <c r="DY33" i="2"/>
  <c r="DD33" i="2"/>
  <c r="ET33" i="2"/>
  <c r="EW33" i="2" s="1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B33" i="2"/>
  <c r="HG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GN34" i="2" l="1"/>
  <c r="EW34" i="2"/>
  <c r="CM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S35" i="2" l="1"/>
  <c r="EB35" i="2"/>
  <c r="EA35" i="2"/>
  <c r="HI35" i="2"/>
  <c r="FQ35" i="2"/>
  <c r="HH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Q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I37" i="2" l="1"/>
  <c r="EB37" i="2"/>
  <c r="HG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W38" i="2" l="1"/>
  <c r="EA38" i="2"/>
  <c r="HG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I39" i="2" s="1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EX39" i="2" s="1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FS39" i="2" l="1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I40" i="2" s="1"/>
  <c r="HF40" i="2"/>
  <c r="GR40" i="2"/>
  <c r="GK40" i="2"/>
  <c r="GS40" i="2"/>
  <c r="FP40" i="2"/>
  <c r="GG40" i="2"/>
  <c r="FX40" i="2"/>
  <c r="GH40" i="2"/>
  <c r="FL40" i="2"/>
  <c r="FC40" i="2"/>
  <c r="FB40" i="2"/>
  <c r="ER40" i="2"/>
  <c r="EX40" i="2" s="1"/>
  <c r="DV40" i="2"/>
  <c r="DM40" i="2"/>
  <c r="DA40" i="2"/>
  <c r="FM40" i="2"/>
  <c r="FS40" i="2" s="1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HI41" i="2" s="1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EV42" i="2" s="1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C42" i="2"/>
  <c r="EA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FS43" i="2" l="1"/>
  <c r="HI43" i="2"/>
  <c r="HG43" i="2"/>
  <c r="DG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HI44" i="2" s="1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G44" i="2"/>
  <c r="HH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EC45" i="2" s="1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EB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FS46" i="2" l="1"/>
  <c r="EW46" i="2"/>
  <c r="HG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EC47" i="2"/>
  <c r="FS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EX48" i="2" s="1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FS48" i="2" l="1"/>
  <c r="HI48" i="2"/>
  <c r="HG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EC49" i="2" s="1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X49" i="2" l="1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EW50" i="2"/>
  <c r="HG50" i="2"/>
  <c r="EC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FS51" i="2"/>
  <c r="HI51" i="2"/>
  <c r="EA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C52" i="2"/>
  <c r="HI52" i="2"/>
  <c r="EB52" i="2"/>
  <c r="EX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EC53" i="2" s="1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X55" i="2"/>
  <c r="HI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I56" i="2" s="1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G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EC57" i="2" s="1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HI57" i="2"/>
  <c r="EB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I58" i="2" s="1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EC58" i="2"/>
  <c r="EA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FS59" i="2" s="1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EX59" i="2" s="1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I59" i="2" l="1"/>
  <c r="EC59" i="2"/>
  <c r="EB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EC60" i="2" s="1"/>
  <c r="DB60" i="2"/>
  <c r="CR60" i="2"/>
  <c r="FM60" i="2"/>
  <c r="FS60" i="2" s="1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G60" i="2" l="1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S61" i="2" s="1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A61" i="2"/>
  <c r="HI61" i="2"/>
  <c r="EV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B62" i="2" s="1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I63" i="2" l="1"/>
  <c r="HG63" i="2"/>
  <c r="EC63" i="2"/>
  <c r="EB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FS65" i="2" s="1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EV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S68" i="2" s="1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HI68" i="2" l="1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HI69" i="2" s="1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EX69" i="2" s="1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S70" i="2" s="1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EC70" i="2" s="1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G70" i="2"/>
  <c r="EB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I71" i="2" s="1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EX71" i="2" s="1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B72" i="2"/>
  <c r="HH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HI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C74" i="2" s="1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HG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I75" i="2"/>
  <c r="HG75" i="2"/>
  <c r="EB75" i="2"/>
  <c r="EX75" i="2"/>
  <c r="EA75" i="2"/>
  <c r="HH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HI76" i="2" s="1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EW76" i="2" l="1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A77" i="2"/>
  <c r="EW77" i="2"/>
  <c r="HI77" i="2"/>
  <c r="EB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EV78" i="2" s="1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EX79" i="2" s="1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H79" i="2"/>
  <c r="HI79" i="2"/>
  <c r="HG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EC80" i="2" s="1"/>
  <c r="DB80" i="2"/>
  <c r="DZ80" i="2"/>
  <c r="DL80" i="2"/>
  <c r="DE80" i="2"/>
  <c r="FM80" i="2"/>
  <c r="FS80" i="2" s="1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X81" i="2" l="1"/>
  <c r="HI81" i="2"/>
  <c r="EC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C82" i="2" s="1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HH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I83" i="2" s="1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EX83" i="2" s="1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C83" i="2" l="1"/>
  <c r="EV83" i="2"/>
  <c r="EW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FS84" i="2"/>
  <c r="HI84" i="2"/>
  <c r="HG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S85" i="2" s="1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HI85" i="2"/>
  <c r="EW85" i="2"/>
  <c r="HG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S86" i="2" s="1"/>
  <c r="FP86" i="2"/>
  <c r="DZ86" i="2"/>
  <c r="DL86" i="2"/>
  <c r="DE86" i="2"/>
  <c r="FX86" i="2"/>
  <c r="EQ86" i="2"/>
  <c r="EH86" i="2"/>
  <c r="CJ86" i="2"/>
  <c r="CR86" i="2"/>
  <c r="GG86" i="2"/>
  <c r="FB86" i="2"/>
  <c r="ER86" i="2"/>
  <c r="EX86" i="2" s="1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FS87" i="2"/>
  <c r="HI87" i="2"/>
  <c r="EA87" i="2"/>
  <c r="EB87" i="2"/>
  <c r="HG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FS88" i="2" s="1"/>
  <c r="EU88" i="2"/>
  <c r="EG88" i="2"/>
  <c r="DW88" i="2"/>
  <c r="EC88" i="2" s="1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EX89" i="2" s="1"/>
  <c r="DV89" i="2"/>
  <c r="DM89" i="2"/>
  <c r="DA89" i="2"/>
  <c r="HB89" i="2"/>
  <c r="GS89" i="2"/>
  <c r="EU89" i="2"/>
  <c r="EG89" i="2"/>
  <c r="DW89" i="2"/>
  <c r="EC89" i="2" s="1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I91" i="2" s="1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EX91" i="2" s="1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HI92" i="2" s="1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FS92" i="2" s="1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S93" i="2" s="1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FS94" i="2" s="1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C94" i="2" s="1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HG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I95" i="2" s="1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FS95" i="2"/>
  <c r="EB95" i="2"/>
  <c r="EX95" i="2"/>
  <c r="FQ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EC97" i="2" s="1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C98" i="2" s="1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I99" i="2" s="1"/>
  <c r="HF99" i="2"/>
  <c r="GK99" i="2"/>
  <c r="HB99" i="2"/>
  <c r="GS99" i="2"/>
  <c r="GR99" i="2"/>
  <c r="GG99" i="2"/>
  <c r="FX99" i="2"/>
  <c r="GH99" i="2"/>
  <c r="FL99" i="2"/>
  <c r="FC99" i="2"/>
  <c r="FW99" i="2"/>
  <c r="FM99" i="2"/>
  <c r="FS99" i="2" s="1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EX99" i="2" s="1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S102" i="2" s="1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EX102" i="2" s="1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EX103" i="2" s="1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FS103" i="2" l="1"/>
  <c r="HI103" i="2"/>
  <c r="EA103" i="2"/>
  <c r="EC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C104" i="2"/>
  <c r="HI104" i="2"/>
  <c r="EW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V105" i="2"/>
  <c r="EA105" i="2"/>
  <c r="EX105" i="2"/>
  <c r="HH105" i="2"/>
  <c r="EB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I106" i="2" s="1"/>
  <c r="HF106" i="2"/>
  <c r="HB106" i="2"/>
  <c r="GS106" i="2"/>
  <c r="GR106" i="2"/>
  <c r="GH106" i="2"/>
  <c r="FL106" i="2"/>
  <c r="FC106" i="2"/>
  <c r="GK106" i="2"/>
  <c r="FW106" i="2"/>
  <c r="FM106" i="2"/>
  <c r="FS106" i="2" s="1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I107" i="2" l="1"/>
  <c r="HG107" i="2"/>
  <c r="EC107" i="2"/>
  <c r="EB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X108" i="2"/>
  <c r="EB108" i="2"/>
  <c r="EA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EC109" i="2" s="1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HI109" i="2" l="1"/>
  <c r="EB109" i="2"/>
  <c r="EX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I110" i="2"/>
  <c r="HG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S111" i="2" s="1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EX111" i="2" s="1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AW111" i="2" l="1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S112" i="2" l="1"/>
  <c r="EX112" i="2"/>
  <c r="EB112" i="2"/>
  <c r="EC112" i="2"/>
  <c r="HI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W113" i="2"/>
  <c r="EB113" i="2"/>
  <c r="HG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C114" i="2" s="1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I115" i="2" s="1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C115" i="2" l="1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X116" i="2"/>
  <c r="HI116" i="2"/>
  <c r="EV116" i="2"/>
  <c r="HG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EC117" i="2" s="1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X117" i="2" l="1"/>
  <c r="EA117" i="2"/>
  <c r="HI117" i="2"/>
  <c r="HG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HI118" i="2"/>
  <c r="FQ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I119" i="2" s="1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FR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EC120" i="2" s="1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FR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EC123" i="2" s="1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EC124" i="2" s="1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HI124" i="2"/>
  <c r="HG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HI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I126" i="2" s="1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V127" i="2" s="1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EC127" i="2" s="1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HI128" i="2" s="1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X128" i="2"/>
  <c r="EB128" i="2"/>
  <c r="EV128" i="2"/>
  <c r="HG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EX129" i="2" s="1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B130" i="2"/>
  <c r="FS130" i="2"/>
  <c r="HH130" i="2"/>
  <c r="EW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EC131" i="2" s="1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EX131" i="2" s="1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FS131" i="2" l="1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I132" i="2"/>
  <c r="HG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I133" i="2" l="1"/>
  <c r="EW133" i="2"/>
  <c r="HH133" i="2"/>
  <c r="EV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EC134" i="2" s="1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FS135" i="2" l="1"/>
  <c r="HI135" i="2"/>
  <c r="EA135" i="2"/>
  <c r="EW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EX136" i="2"/>
  <c r="EC136" i="2"/>
  <c r="HI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HI138" i="2" l="1"/>
  <c r="EB138" i="2"/>
  <c r="EC138" i="2"/>
  <c r="EV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I139" i="2" s="1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EX139" i="2" s="1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A139" i="2"/>
  <c r="EB139" i="2"/>
  <c r="EW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H140" i="2" l="1"/>
  <c r="HI140" i="2"/>
  <c r="HG140" i="2"/>
  <c r="EX140" i="2"/>
  <c r="EB140" i="2"/>
  <c r="FR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AS141" i="2"/>
  <c r="W141" i="2"/>
  <c r="HF141" i="2"/>
  <c r="HC141" i="2"/>
  <c r="HI141" i="2" s="1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EX141" i="2" s="1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H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FS142" i="2" s="1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I142" i="2" l="1"/>
  <c r="HG142" i="2"/>
  <c r="EW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HH144" i="2"/>
  <c r="HI144" i="2"/>
  <c r="HG144" i="2"/>
  <c r="EA144" i="2"/>
  <c r="FR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HI145" i="2" s="1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HH145" i="2"/>
  <c r="EX145" i="2"/>
  <c r="FR145" i="2"/>
  <c r="EA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EX146" i="2"/>
  <c r="HI146" i="2"/>
  <c r="FR146" i="2"/>
  <c r="HG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EC147" i="2" s="1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HI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HI148" i="2" s="1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EX148" i="2" l="1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S149" i="2" s="1"/>
  <c r="FP149" i="2"/>
  <c r="HB149" i="2"/>
  <c r="GS149" i="2"/>
  <c r="GG149" i="2"/>
  <c r="FX149" i="2"/>
  <c r="EQ149" i="2"/>
  <c r="EH149" i="2"/>
  <c r="CJ149" i="2"/>
  <c r="FB149" i="2"/>
  <c r="ER149" i="2"/>
  <c r="EX149" i="2" s="1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H150" i="2"/>
  <c r="HG150" i="2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HI151" i="2" l="1"/>
  <c r="EC151" i="2"/>
  <c r="EV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FS152" i="2" s="1"/>
  <c r="EU152" i="2"/>
  <c r="EG152" i="2"/>
  <c r="DW152" i="2"/>
  <c r="EC152" i="2" s="1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HI152" i="2"/>
  <c r="EV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S153" i="2" s="1"/>
  <c r="FP153" i="2"/>
  <c r="GG153" i="2"/>
  <c r="FX153" i="2"/>
  <c r="GH153" i="2"/>
  <c r="FL153" i="2"/>
  <c r="FC153" i="2"/>
  <c r="EQ153" i="2"/>
  <c r="EH153" i="2"/>
  <c r="CJ153" i="2"/>
  <c r="HC153" i="2"/>
  <c r="HI153" i="2" s="1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Y154" i="2" s="1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HG155" i="2"/>
  <c r="EC155" i="2"/>
  <c r="HI155" i="2"/>
  <c r="EX155" i="2"/>
  <c r="HH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FS157" i="2" s="1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W158" i="2" l="1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FS159" i="2" l="1"/>
  <c r="EX159" i="2"/>
  <c r="HI159" i="2"/>
  <c r="EA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D159" i="2"/>
  <c r="HG160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FS162" i="2" s="1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A163" i="2"/>
  <c r="EV163" i="2"/>
  <c r="EC163" i="2"/>
  <c r="EB163" i="2"/>
  <c r="HG163" i="2"/>
  <c r="FS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FS164" i="2" l="1"/>
  <c r="EC164" i="2"/>
  <c r="EA164" i="2"/>
  <c r="HI164" i="2"/>
  <c r="EV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EX166" i="2" s="1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I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HH167" i="2"/>
  <c r="EA167" i="2"/>
  <c r="EB167" i="2"/>
  <c r="EX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EW168" i="2"/>
  <c r="FS168" i="2"/>
  <c r="HI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HI169" i="2" s="1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HH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EX170" i="2" l="1"/>
  <c r="HI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I171" i="2" s="1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C171" i="2" l="1"/>
  <c r="FS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HI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EW175" i="2" s="1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X175" i="2"/>
  <c r="EB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FS176" i="2" s="1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C177" i="2"/>
  <c r="EX177" i="2"/>
  <c r="FS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EX178" i="2" s="1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EW178" i="2"/>
  <c r="HI178" i="2"/>
  <c r="EB178" i="2"/>
  <c r="FS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G179" i="2"/>
  <c r="FS179" i="2"/>
  <c r="EX179" i="2"/>
  <c r="HI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HI181" i="2" s="1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EC181" i="2" s="1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EC182" i="2"/>
  <c r="EA182" i="2"/>
  <c r="ED182" i="2" s="1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B183" i="2" l="1"/>
  <c r="HI183" i="2"/>
  <c r="EX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FS184" i="2" s="1"/>
  <c r="EG184" i="2"/>
  <c r="DC184" i="2"/>
  <c r="DW184" i="2"/>
  <c r="EC184" i="2" s="1"/>
  <c r="CQ184" i="2"/>
  <c r="FX184" i="2"/>
  <c r="DX184" i="2"/>
  <c r="DY184" i="2"/>
  <c r="DA184" i="2"/>
  <c r="CI184" i="2"/>
  <c r="BN184" i="2"/>
  <c r="ER184" i="2"/>
  <c r="EX184" i="2" s="1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/>
  <c r="HG185" i="2" l="1"/>
  <c r="EA185" i="2"/>
  <c r="EV185" i="2"/>
  <c r="HH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EX187" i="2" s="1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I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FS188" i="2" s="1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FS189" i="2" s="1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EC189" i="2" l="1"/>
  <c r="HI189" i="2"/>
  <c r="AA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EC191" i="2" s="1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X191" i="2" l="1"/>
  <c r="HG191" i="2"/>
  <c r="HH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EV192" i="2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A193" i="2" l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EB194" i="2" l="1"/>
  <c r="EA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HI195" i="2" l="1"/>
  <c r="AA195" i="2"/>
  <c r="EA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FS196" i="2" s="1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I196" i="2" l="1"/>
  <c r="HH196" i="2"/>
  <c r="EW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C197" i="2" l="1"/>
  <c r="A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W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I199" i="2" l="1"/>
  <c r="HH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HI200" i="2" s="1"/>
  <c r="GI200" i="2"/>
  <c r="HD200" i="2"/>
  <c r="GJ200" i="2"/>
  <c r="FL200" i="2"/>
  <c r="EU200" i="2"/>
  <c r="FX200" i="2"/>
  <c r="FM200" i="2"/>
  <c r="FS200" i="2" s="1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C200" i="2" l="1"/>
  <c r="EW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HI201" i="2"/>
  <c r="EA201" i="2"/>
  <c r="EB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EX203" i="2" l="1"/>
  <c r="BP203" i="2"/>
  <c r="HI203" i="2"/>
  <c r="EC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<sst xmlns="http://schemas.openxmlformats.org/spreadsheetml/2006/main" count="1165" uniqueCount="321">
  <si>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</si>
  <si>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</si>
  <si>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</si>
  <si>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</si>
  <si>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</si>
  <si>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</si>
  <si>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</si>
  <si>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</si>
  <si>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</si>
  <si>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</si>
  <si>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</si>
  <si>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</si>
  <si>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</si>
  <si>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</si>
  <si>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</si>
  <si>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</si>
  <si>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</si>
  <si>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</si>
  <si>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</si>
  <si>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</si>
  <si>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</si>
  <si>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</si>
  <si>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</si>
  <si>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</si>
  <si>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</si>
  <si>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</si>
  <si>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</si>
  <si>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</si>
  <si>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</si>
  <si>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</si>
  <si>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</si>
  <si>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</si>
  <si>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</si>
  <si>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</si>
  <si>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</si>
  <si>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</si>
  <si>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</si>
  <si>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</si>
  <si>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</si>
  <si>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</si>
  <si>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</si>
  <si>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</si>
  <si>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</si>
  <si>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</si>
  <si>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</si>
  <si>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</si>
  <si>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</si>
  <si>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</si>
  <si>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</si>
  <si>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</si>
  <si>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</si>
  <si>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</si>
  <si>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</si>
  <si>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</si>
  <si>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</si>
  <si>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</si>
  <si>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</si>
  <si>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</si>
  <si>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</si>
  <si>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</si>
  <si>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</si>
  <si>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</si>
  <si>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</si>
  <si>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</si>
  <si>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</si>
  <si>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</si>
  <si>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</si>
  <si>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</si>
  <si>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</si>
  <si>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</si>
  <si>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</si>
  <si>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</si>
  <si>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</si>
  <si>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</si>
  <si>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</si>
  <si>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</si>
  <si>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</si>
  <si>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</si>
  <si>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</si>
  <si>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</si>
  <si>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</si>
  <si>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</si>
  <si>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</si>
  <si>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</si>
  <si>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</si>
  <si>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</si>
  <si>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</si>
  <si>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</si>
  <si>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</si>
  <si>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</si>
  <si>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</si>
  <si>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</si>
  <si>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</si>
  <si>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</si>
  <si>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</si>
  <si>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</si>
  <si>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</si>
  <si>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</si>
  <si>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</si>
  <si>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</si>
  <si>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</si>
  <si>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</si>
  <si>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</si>
  <si>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</si>
  <si>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</si>
  <si>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</si>
  <si>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</si>
  <si>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</si>
  <si>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</si>
  <si>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</si>
  <si>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</si>
  <si>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</si>
  <si>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</si>
  <si>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</si>
  <si>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</si>
  <si>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</si>
  <si>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</si>
  <si>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</si>
  <si>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</si>
  <si>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</si>
  <si>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</si>
  <si>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</si>
  <si>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</si>
  <si>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</si>
  <si>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</si>
  <si>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</si>
  <si>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</si>
  <si>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</si>
  <si>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</si>
  <si>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</si>
  <si>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</si>
  <si>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</si>
  <si>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</si>
  <si>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</si>
  <si>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</si>
  <si>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</si>
  <si>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</si>
  <si>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</si>
  <si>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</si>
  <si>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</si>
  <si>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</si>
  <si>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</si>
  <si>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</si>
  <si>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</si>
  <si>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</si>
  <si>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</si>
  <si>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</si>
  <si>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</si>
  <si>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</si>
  <si>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</si>
  <si>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</si>
  <si>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</si>
  <si>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</si>
  <si>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</si>
  <si>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</si>
  <si>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</si>
  <si>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</si>
  <si>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</si>
  <si>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</si>
  <si>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</si>
  <si>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</si>
  <si>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</si>
  <si>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</si>
  <si>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</si>
  <si>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</si>
  <si>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</si>
  <si>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</si>
  <si>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</si>
  <si>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</si>
  <si>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</si>
  <si>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</si>
  <si>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</si>
  <si>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</si>
  <si>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</si>
  <si>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</si>
  <si>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</si>
  <si>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</si>
  <si>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</si>
  <si>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</si>
  <si>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</si>
  <si>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</si>
  <si>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</si>
  <si>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</si>
  <si>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</si>
  <si>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</si>
  <si>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</si>
  <si>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</si>
  <si>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</si>
  <si>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</si>
  <si>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</si>
  <si>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</si>
  <si>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</si>
  <si>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</si>
  <si>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</si>
  <si>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</si>
  <si>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</si>
  <si>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</si>
  <si>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</si>
  <si>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</si>
  <si>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</si>
  <si>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</si>
  <si>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</si>
  <si>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</si>
  <si>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</si>
  <si>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</si>
  <si>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</si>
  <si>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</si>
  <si>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</si>
  <si>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</si>
  <si>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</si>
  <si>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</si>
  <si>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</si>
  <si>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</si>
  <si>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</si>
  <si>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</si>
  <si>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</si>
  <si>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</si>
  <si>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</si>
  <si>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</si>
  <si>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</si>
  <si>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</si>
  <si>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</si>
  <si>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</si>
  <si>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</si>
  <si>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</si>
  <si>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</si>
  <si>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</si>
  <si>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</si>
  <si>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</si>
  <si>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</si>
  <si>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</si>
  <si>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</si>
  <si>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</si>
  <si>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</si>
  <si>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</si>
  <si>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</si>
  <si>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</si>
  <si>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</si>
  <si>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</si>
  <si>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</si>
  <si>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</si>
  <si>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</si>
  <si>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</si>
  <si>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</si>
  <si>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</si>
  <si>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</si>
  <si>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</si>
  <si>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</si>
  <si>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</si>
  <si>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</si>
  <si>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</si>
  <si>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</si>
  <si>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</si>
  <si>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</si>
  <si>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</si>
  <si>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</si>
  <si>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</si>
  <si>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</si>
  <si>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</si>
  <si>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</si>
  <si>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</si>
  <si>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</si>
  <si>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</si>
  <si>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</si>
  <si>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</si>
  <si>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</si>
  <si>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</si>
  <si>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</si>
  <si>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</si>
  <si>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</si>
  <si>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</si>
  <si>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</si>
  <si>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</si>
  <si>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</si>
  <si>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</si>
  <si>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</si>
  <si>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</si>
  <si>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</si>
  <si>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</si>
  <si>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</si>
  <si>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</si>
  <si>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</si>
  <si>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</si>
  <si>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</si>
  <si>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</si>
  <si>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</si>
  <si>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</si>
  <si>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Coûts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</si>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</sst>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37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1.798593949207703</c:v>
                </c:pt>
                <c:pt idx="2">
                  <c:v>2.2256540279235608</c:v>
                </c:pt>
                <c:pt idx="3">
                  <c:v>2.7545128358231423</c:v>
                </c:pt>
                <c:pt idx="4">
                  <c:v>3.4095257388585782</c:v>
                </c:pt>
                <c:pt idx="5">
                  <c:v>4.2208952223887648</c:v>
                </c:pt>
                <c:pt idx="6">
                  <c:v>5.2260791338936876</c:v>
                </c:pt>
                <c:pt idx="7">
                  <c:v>6.4715390940870243</c:v>
                </c:pt>
                <c:pt idx="8">
                  <c:v>8.0149114684794363</c:v>
                </c:pt>
                <c:pt idx="9">
                  <c:v>9.927703296904788</c:v>
                </c:pt>
                <c:pt idx="10">
                  <c:v>12.298640452364912</c:v>
                </c:pt>
                <c:pt idx="11">
                  <c:v>15.237826229911176</c:v>
                </c:pt>
                <c:pt idx="12">
                  <c:v>18.88190702830537</c:v>
                </c:pt>
                <c:pt idx="13">
                  <c:v>23.400489619998314</c:v>
                </c:pt>
                <c:pt idx="14">
                  <c:v>29.004113995961465</c:v>
                </c:pt>
                <c:pt idx="15">
                  <c:v>35.954159767859231</c:v>
                </c:pt>
                <c:pt idx="16">
                  <c:v>44.575156154015268</c:v>
                </c:pt>
                <c:pt idx="17">
                  <c:v>55.270080077532498</c:v>
                </c:pt>
                <c:pt idx="18">
                  <c:v>68.539369353982067</c:v>
                </c:pt>
                <c:pt idx="19">
                  <c:v>85.004555175285915</c:v>
                </c:pt>
                <c:pt idx="20">
                  <c:v>105.43763861202622</c:v>
                </c:pt>
                <c:pt idx="21">
                  <c:v>130.79761024819999</c:v>
                </c:pt>
                <c:pt idx="22">
                  <c:v>162.27585351475153</c:v>
                </c:pt>
                <c:pt idx="23">
                  <c:v>201.35259721650723</c:v>
                </c:pt>
                <c:pt idx="24">
                  <c:v>249.86711159083032</c:v>
                </c:pt>
                <c:pt idx="25">
                  <c:v>310.10500044645312</c:v>
                </c:pt>
                <c:pt idx="26">
                  <c:v>263.02087901561271</c:v>
                </c:pt>
                <c:pt idx="27">
                  <c:v>286.67021485790582</c:v>
                </c:pt>
                <c:pt idx="28">
                  <c:v>310.27590864650665</c:v>
                </c:pt>
                <c:pt idx="29">
                  <c:v>333.84174556627698</c:v>
                </c:pt>
                <c:pt idx="30">
                  <c:v>357.37093282892039</c:v>
                </c:pt>
                <c:pt idx="31">
                  <c:v>380.86622096643327</c:v>
                </c:pt>
                <c:pt idx="32">
                  <c:v>404.32999360363414</c:v>
                </c:pt>
                <c:pt idx="33">
                  <c:v>333.67111403204058</c:v>
                </c:pt>
                <c:pt idx="34">
                  <c:v>357.20055648716988</c:v>
                </c:pt>
                <c:pt idx="35">
                  <c:v>380.69608129889815</c:v>
                </c:pt>
                <c:pt idx="36">
                  <c:v>404.16007448469958</c:v>
                </c:pt>
                <c:pt idx="37">
                  <c:v>427.59462255942753</c:v>
                </c:pt>
                <c:pt idx="38">
                  <c:v>451.00156481987352</c:v>
                </c:pt>
                <c:pt idx="39">
                  <c:v>474.38253420761703</c:v>
                </c:pt>
                <c:pt idx="40">
                  <c:v>405.71760866879958</c:v>
                </c:pt>
                <c:pt idx="41">
                  <c:v>432.06324328296341</c:v>
                </c:pt>
                <c:pt idx="42">
                  <c:v>458.37438395155618</c:v>
                </c:pt>
                <c:pt idx="43">
                  <c:v>484.65328686938165</c:v>
                </c:pt>
                <c:pt idx="44">
                  <c:v>510.90194382613504</c:v>
                </c:pt>
                <c:pt idx="45">
                  <c:v>537.12212545780721</c:v>
                </c:pt>
                <c:pt idx="46">
                  <c:v>453.62895460505388</c:v>
                </c:pt>
                <c:pt idx="47">
                  <c:v>472.01169227809402</c:v>
                </c:pt>
                <c:pt idx="48">
                  <c:v>490.3791922882038</c:v>
                </c:pt>
                <c:pt idx="49">
                  <c:v>508.73210536359505</c:v>
                </c:pt>
                <c:pt idx="50">
                  <c:v>527.07103148104329</c:v>
                </c:pt>
                <c:pt idx="51">
                  <c:v>545.39652548829429</c:v>
                </c:pt>
                <c:pt idx="52">
                  <c:v>563.70910193182874</c:v>
                </c:pt>
                <c:pt idx="53">
                  <c:v>582.00923922497191</c:v>
                </c:pt>
                <c:pt idx="54">
                  <c:v>506.87208815769242</c:v>
                </c:pt>
                <c:pt idx="55">
                  <c:v>526.31070153853614</c:v>
                </c:pt>
                <c:pt idx="56">
                  <c:v>545.73419984050929</c:v>
                </c:pt>
                <c:pt idx="57">
                  <c:v>565.14319633657283</c:v>
                </c:pt>
                <c:pt idx="58">
                  <c:v>584.53825877411919</c:v>
                </c:pt>
                <c:pt idx="59">
                  <c:v>603.91991418357395</c:v>
                </c:pt>
                <c:pt idx="60">
                  <c:v>623.28865303799398</c:v>
                </c:pt>
                <c:pt idx="61">
                  <c:v>525.80380205834797</c:v>
                </c:pt>
                <c:pt idx="62">
                  <c:v>542.86382775995662</c:v>
                </c:pt>
                <c:pt idx="63">
                  <c:v>559.91260066689733</c:v>
                </c:pt>
                <c:pt idx="64">
                  <c:v>576.95051144926219</c:v>
                </c:pt>
                <c:pt idx="65">
                  <c:v>593.97792583693843</c:v>
                </c:pt>
                <c:pt idx="66">
                  <c:v>610.9951868957412</c:v>
                </c:pt>
                <c:pt idx="67">
                  <c:v>628.00261703693161</c:v>
                </c:pt>
                <c:pt idx="68">
                  <c:v>6.4094616558195571E-12</c:v>
                </c:pt>
                <c:pt idx="69">
                  <c:v>6.4094616558195571E-12</c:v>
                </c:pt>
                <c:pt idx="70">
                  <c:v>6.4094616558195571E-12</c:v>
                </c:pt>
                <c:pt idx="71">
                  <c:v>6.4094616558195571E-12</c:v>
                </c:pt>
                <c:pt idx="72">
                  <c:v>6.4094616558195571E-12</c:v>
                </c:pt>
                <c:pt idx="73">
                  <c:v>6.4094616558195571E-12</c:v>
                </c:pt>
                <c:pt idx="74">
                  <c:v>6.4094616558195571E-12</c:v>
                </c:pt>
                <c:pt idx="75">
                  <c:v>6.4094616558195571E-12</c:v>
                </c:pt>
                <c:pt idx="76">
                  <c:v>6.4094616558195571E-12</c:v>
                </c:pt>
                <c:pt idx="77">
                  <c:v>6.4094616558195571E-12</c:v>
                </c:pt>
                <c:pt idx="78">
                  <c:v>6.4094616558195571E-12</c:v>
                </c:pt>
                <c:pt idx="79">
                  <c:v>6.4094616558195571E-12</c:v>
                </c:pt>
                <c:pt idx="80">
                  <c:v>6.4094616558195571E-12</c:v>
                </c:pt>
                <c:pt idx="81">
                  <c:v>6.4094616558195571E-12</c:v>
                </c:pt>
                <c:pt idx="82">
                  <c:v>6.4094616558195571E-12</c:v>
                </c:pt>
                <c:pt idx="83">
                  <c:v>6.4094616558195571E-12</c:v>
                </c:pt>
                <c:pt idx="84">
                  <c:v>6.4094616558195571E-12</c:v>
                </c:pt>
                <c:pt idx="85">
                  <c:v>6.4094616558195571E-12</c:v>
                </c:pt>
                <c:pt idx="86">
                  <c:v>6.4094616558195571E-12</c:v>
                </c:pt>
                <c:pt idx="87">
                  <c:v>6.4094616558195571E-12</c:v>
                </c:pt>
                <c:pt idx="88">
                  <c:v>6.4094616558195571E-12</c:v>
                </c:pt>
                <c:pt idx="89">
                  <c:v>6.4094616558195571E-12</c:v>
                </c:pt>
                <c:pt idx="90">
                  <c:v>6.4094616558195571E-12</c:v>
                </c:pt>
                <c:pt idx="91">
                  <c:v>6.4094616558195571E-12</c:v>
                </c:pt>
                <c:pt idx="92">
                  <c:v>6.4094616558195571E-12</c:v>
                </c:pt>
                <c:pt idx="93">
                  <c:v>6.4094616558195571E-12</c:v>
                </c:pt>
                <c:pt idx="94">
                  <c:v>6.4094616558195571E-12</c:v>
                </c:pt>
                <c:pt idx="95">
                  <c:v>6.4094616558195571E-12</c:v>
                </c:pt>
                <c:pt idx="96">
                  <c:v>6.4094616558195571E-12</c:v>
                </c:pt>
                <c:pt idx="97">
                  <c:v>6.4094616558195571E-12</c:v>
                </c:pt>
                <c:pt idx="98">
                  <c:v>6.4094616558195571E-12</c:v>
                </c:pt>
                <c:pt idx="99">
                  <c:v>6.4094616558195571E-12</c:v>
                </c:pt>
                <c:pt idx="100">
                  <c:v>6.4094616558195571E-12</c:v>
                </c:pt>
                <c:pt idx="101">
                  <c:v>6.4094616558195571E-12</c:v>
                </c:pt>
                <c:pt idx="102">
                  <c:v>6.4094616558195571E-12</c:v>
                </c:pt>
                <c:pt idx="103">
                  <c:v>6.4094616558195571E-12</c:v>
                </c:pt>
                <c:pt idx="104">
                  <c:v>6.4094616558195571E-12</c:v>
                </c:pt>
                <c:pt idx="105">
                  <c:v>6.4094616558195571E-12</c:v>
                </c:pt>
                <c:pt idx="106">
                  <c:v>6.4094616558195571E-12</c:v>
                </c:pt>
                <c:pt idx="107">
                  <c:v>6.4094616558195571E-12</c:v>
                </c:pt>
                <c:pt idx="108">
                  <c:v>6.4094616558195571E-12</c:v>
                </c:pt>
                <c:pt idx="109">
                  <c:v>6.4094616558195571E-12</c:v>
                </c:pt>
                <c:pt idx="110">
                  <c:v>6.4094616558195571E-12</c:v>
                </c:pt>
                <c:pt idx="111">
                  <c:v>6.4094616558195571E-12</c:v>
                </c:pt>
                <c:pt idx="112">
                  <c:v>6.4094616558195571E-12</c:v>
                </c:pt>
                <c:pt idx="113">
                  <c:v>6.4094616558195571E-12</c:v>
                </c:pt>
                <c:pt idx="114">
                  <c:v>6.4094616558195571E-12</c:v>
                </c:pt>
                <c:pt idx="115">
                  <c:v>6.4094616558195571E-12</c:v>
                </c:pt>
                <c:pt idx="116">
                  <c:v>6.4094616558195571E-12</c:v>
                </c:pt>
                <c:pt idx="117">
                  <c:v>6.4094616558195571E-12</c:v>
                </c:pt>
                <c:pt idx="118">
                  <c:v>6.4094616558195571E-12</c:v>
                </c:pt>
                <c:pt idx="119">
                  <c:v>6.4094616558195571E-12</c:v>
                </c:pt>
                <c:pt idx="120">
                  <c:v>6.4094616558195571E-12</c:v>
                </c:pt>
                <c:pt idx="121">
                  <c:v>6.4094616558195571E-12</c:v>
                </c:pt>
                <c:pt idx="122">
                  <c:v>6.4094616558195571E-12</c:v>
                </c:pt>
                <c:pt idx="123">
                  <c:v>6.4094616558195571E-12</c:v>
                </c:pt>
                <c:pt idx="124">
                  <c:v>6.4094616558195571E-12</c:v>
                </c:pt>
                <c:pt idx="125">
                  <c:v>6.4094616558195571E-12</c:v>
                </c:pt>
                <c:pt idx="126">
                  <c:v>6.4094616558195571E-12</c:v>
                </c:pt>
                <c:pt idx="127">
                  <c:v>6.4094616558195571E-12</c:v>
                </c:pt>
                <c:pt idx="128">
                  <c:v>6.4094616558195571E-12</c:v>
                </c:pt>
                <c:pt idx="129">
                  <c:v>6.4094616558195571E-12</c:v>
                </c:pt>
                <c:pt idx="130">
                  <c:v>6.4094616558195571E-12</c:v>
                </c:pt>
                <c:pt idx="131">
                  <c:v>6.4094616558195571E-12</c:v>
                </c:pt>
                <c:pt idx="132">
                  <c:v>6.4094616558195571E-12</c:v>
                </c:pt>
                <c:pt idx="133">
                  <c:v>6.4094616558195571E-12</c:v>
                </c:pt>
                <c:pt idx="134">
                  <c:v>6.4094616558195571E-12</c:v>
                </c:pt>
                <c:pt idx="135">
                  <c:v>6.4094616558195571E-12</c:v>
                </c:pt>
                <c:pt idx="136">
                  <c:v>6.4094616558195571E-12</c:v>
                </c:pt>
                <c:pt idx="137">
                  <c:v>6.4094616558195571E-12</c:v>
                </c:pt>
                <c:pt idx="138">
                  <c:v>6.4094616558195571E-12</c:v>
                </c:pt>
                <c:pt idx="139">
                  <c:v>6.4094616558195571E-12</c:v>
                </c:pt>
                <c:pt idx="140">
                  <c:v>6.4094616558195571E-12</c:v>
                </c:pt>
                <c:pt idx="141">
                  <c:v>6.4094616558195571E-12</c:v>
                </c:pt>
                <c:pt idx="142">
                  <c:v>6.4094616558195571E-12</c:v>
                </c:pt>
                <c:pt idx="143">
                  <c:v>6.4094616558195571E-12</c:v>
                </c:pt>
                <c:pt idx="144">
                  <c:v>6.4094616558195571E-12</c:v>
                </c:pt>
                <c:pt idx="145">
                  <c:v>6.4094616558195571E-12</c:v>
                </c:pt>
                <c:pt idx="146">
                  <c:v>6.4094616558195571E-12</c:v>
                </c:pt>
                <c:pt idx="147">
                  <c:v>6.4094616558195571E-12</c:v>
                </c:pt>
                <c:pt idx="148">
                  <c:v>6.4094616558195571E-12</c:v>
                </c:pt>
                <c:pt idx="149">
                  <c:v>6.4094616558195571E-12</c:v>
                </c:pt>
                <c:pt idx="150">
                  <c:v>6.4094616558195571E-12</c:v>
                </c:pt>
                <c:pt idx="151">
                  <c:v>6.4094616558195571E-12</c:v>
                </c:pt>
                <c:pt idx="152">
                  <c:v>6.4094616558195571E-12</c:v>
                </c:pt>
                <c:pt idx="153">
                  <c:v>6.4094616558195571E-12</c:v>
                </c:pt>
                <c:pt idx="154">
                  <c:v>6.4094616558195571E-12</c:v>
                </c:pt>
                <c:pt idx="155">
                  <c:v>6.4094616558195571E-12</c:v>
                </c:pt>
                <c:pt idx="156">
                  <c:v>6.4094616558195571E-12</c:v>
                </c:pt>
                <c:pt idx="157">
                  <c:v>6.4094616558195571E-12</c:v>
                </c:pt>
                <c:pt idx="158">
                  <c:v>6.4094616558195571E-12</c:v>
                </c:pt>
                <c:pt idx="159">
                  <c:v>6.4094616558195571E-12</c:v>
                </c:pt>
                <c:pt idx="160">
                  <c:v>6.4094616558195571E-12</c:v>
                </c:pt>
                <c:pt idx="161">
                  <c:v>6.4094616558195571E-12</c:v>
                </c:pt>
                <c:pt idx="162">
                  <c:v>6.4094616558195571E-12</c:v>
                </c:pt>
                <c:pt idx="163">
                  <c:v>6.4094616558195571E-12</c:v>
                </c:pt>
                <c:pt idx="164">
                  <c:v>6.4094616558195571E-12</c:v>
                </c:pt>
                <c:pt idx="165">
                  <c:v>6.4094616558195571E-12</c:v>
                </c:pt>
                <c:pt idx="166">
                  <c:v>6.4094616558195571E-12</c:v>
                </c:pt>
                <c:pt idx="167">
                  <c:v>6.4094616558195571E-12</c:v>
                </c:pt>
                <c:pt idx="168">
                  <c:v>6.4094616558195571E-12</c:v>
                </c:pt>
                <c:pt idx="169">
                  <c:v>6.4094616558195571E-12</c:v>
                </c:pt>
                <c:pt idx="170">
                  <c:v>6.4094616558195571E-12</c:v>
                </c:pt>
                <c:pt idx="171">
                  <c:v>6.4094616558195571E-12</c:v>
                </c:pt>
                <c:pt idx="172">
                  <c:v>6.4094616558195571E-12</c:v>
                </c:pt>
                <c:pt idx="173">
                  <c:v>6.4094616558195571E-12</c:v>
                </c:pt>
                <c:pt idx="174">
                  <c:v>6.4094616558195571E-12</c:v>
                </c:pt>
                <c:pt idx="175">
                  <c:v>6.4094616558195571E-12</c:v>
                </c:pt>
                <c:pt idx="176">
                  <c:v>6.4094616558195571E-12</c:v>
                </c:pt>
                <c:pt idx="177">
                  <c:v>6.4094616558195571E-12</c:v>
                </c:pt>
                <c:pt idx="178">
                  <c:v>6.4094616558195571E-12</c:v>
                </c:pt>
                <c:pt idx="179">
                  <c:v>6.4094616558195571E-12</c:v>
                </c:pt>
                <c:pt idx="180">
                  <c:v>6.4094616558195571E-12</c:v>
                </c:pt>
                <c:pt idx="181">
                  <c:v>6.4094616558195571E-12</c:v>
                </c:pt>
                <c:pt idx="182">
                  <c:v>6.4094616558195571E-12</c:v>
                </c:pt>
                <c:pt idx="183">
                  <c:v>6.4094616558195571E-12</c:v>
                </c:pt>
                <c:pt idx="184">
                  <c:v>6.4094616558195571E-12</c:v>
                </c:pt>
                <c:pt idx="185">
                  <c:v>6.4094616558195571E-12</c:v>
                </c:pt>
                <c:pt idx="186">
                  <c:v>6.4094616558195571E-12</c:v>
                </c:pt>
                <c:pt idx="187">
                  <c:v>6.4094616558195571E-12</c:v>
                </c:pt>
                <c:pt idx="188">
                  <c:v>6.4094616558195571E-12</c:v>
                </c:pt>
                <c:pt idx="189">
                  <c:v>6.4094616558195571E-12</c:v>
                </c:pt>
                <c:pt idx="190">
                  <c:v>6.4094616558195571E-12</c:v>
                </c:pt>
                <c:pt idx="191">
                  <c:v>6.4094616558195571E-12</c:v>
                </c:pt>
                <c:pt idx="192">
                  <c:v>6.4094616558195571E-12</c:v>
                </c:pt>
                <c:pt idx="193">
                  <c:v>6.4094616558195571E-12</c:v>
                </c:pt>
                <c:pt idx="194">
                  <c:v>6.4094616558195571E-12</c:v>
                </c:pt>
                <c:pt idx="195">
                  <c:v>6.4094616558195571E-12</c:v>
                </c:pt>
                <c:pt idx="196">
                  <c:v>6.4094616558195571E-12</c:v>
                </c:pt>
                <c:pt idx="197">
                  <c:v>6.4094616558195571E-12</c:v>
                </c:pt>
                <c:pt idx="198">
                  <c:v>6.4094616558195571E-12</c:v>
                </c:pt>
                <c:pt idx="199">
                  <c:v>6.4094616558195571E-12</c:v>
                </c:pt>
                <c:pt idx="200">
                  <c:v>6.4094616558195571E-12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abSelected="1" zoomScale="115" zoomScaleNormal="115" workbookViewId="0">
      <selection activeCell="C35" sqref="C35"/>
    </sheetView>
  </sheetViews>
  <sheetFormatPr baseColWidth="10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87" t="s">
        <v>292</v>
      </c>
      <c r="C12" s="287"/>
      <c r="D12" s="287"/>
      <c r="E12" s="287"/>
      <c r="F12" s="287"/>
      <c r="G12" s="287"/>
      <c r="H12" s="287"/>
      <c r="I12" s="287"/>
      <c r="J12" s="287"/>
      <c r="K12" s="287"/>
      <c r="L12" s="287"/>
      <c r="M12" s="287"/>
    </row>
    <row r="13" spans="2:13" ht="15" customHeight="1" x14ac:dyDescent="0.35">
      <c r="B13" s="287"/>
      <c r="C13" s="287"/>
      <c r="D13" s="287"/>
      <c r="E13" s="287"/>
      <c r="F13" s="287"/>
      <c r="G13" s="287"/>
      <c r="H13" s="287"/>
      <c r="I13" s="287"/>
      <c r="J13" s="287"/>
      <c r="K13" s="287"/>
      <c r="L13" s="287"/>
      <c r="M13" s="287"/>
    </row>
    <row r="14" spans="2:13" ht="15" customHeight="1" x14ac:dyDescent="0.35">
      <c r="B14" s="287"/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7"/>
    </row>
    <row r="15" spans="2:13" ht="18.75" customHeight="1" x14ac:dyDescent="0.35">
      <c r="B15" s="287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</row>
    <row r="16" spans="2:13" ht="18.75" customHeight="1" x14ac:dyDescent="0.35">
      <c r="B16" s="287"/>
      <c r="C16" s="287"/>
      <c r="D16" s="287"/>
      <c r="E16" s="287"/>
      <c r="F16" s="287"/>
      <c r="G16" s="287"/>
      <c r="H16" s="287"/>
      <c r="I16" s="287"/>
      <c r="J16" s="287"/>
      <c r="K16" s="287"/>
      <c r="L16" s="287"/>
      <c r="M16" s="287"/>
    </row>
    <row r="18" spans="2:13" ht="12" customHeight="1" x14ac:dyDescent="0.35">
      <c r="B18" s="287" t="s">
        <v>293</v>
      </c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</row>
    <row r="19" spans="2:13" ht="12" customHeight="1" x14ac:dyDescent="0.35">
      <c r="B19" s="287"/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</row>
    <row r="20" spans="2:13" ht="12" customHeight="1" x14ac:dyDescent="0.35">
      <c r="B20" s="287"/>
      <c r="C20" s="287"/>
      <c r="D20" s="287"/>
      <c r="E20" s="287"/>
      <c r="F20" s="287"/>
      <c r="G20" s="287"/>
      <c r="H20" s="287"/>
      <c r="I20" s="287"/>
      <c r="J20" s="287"/>
      <c r="K20" s="287"/>
      <c r="L20" s="287"/>
      <c r="M20" s="287"/>
    </row>
    <row r="21" spans="2:13" ht="12" customHeight="1" x14ac:dyDescent="0.35">
      <c r="B21" s="287"/>
      <c r="C21" s="287"/>
      <c r="D21" s="287"/>
      <c r="E21" s="287"/>
      <c r="F21" s="287"/>
      <c r="G21" s="287"/>
      <c r="H21" s="287"/>
      <c r="I21" s="287"/>
      <c r="J21" s="287"/>
      <c r="K21" s="287"/>
      <c r="L21" s="287"/>
      <c r="M21" s="287"/>
    </row>
    <row r="22" spans="2:13" ht="12" customHeight="1" x14ac:dyDescent="0.35">
      <c r="B22" s="287"/>
      <c r="C22" s="287"/>
      <c r="D22" s="287"/>
      <c r="E22" s="287"/>
      <c r="F22" s="287"/>
      <c r="G22" s="287"/>
      <c r="H22" s="287"/>
      <c r="I22" s="287"/>
      <c r="J22" s="287"/>
      <c r="K22" s="287"/>
      <c r="L22" s="287"/>
      <c r="M22" s="287"/>
    </row>
    <row r="23" spans="2:13" ht="12" customHeight="1" x14ac:dyDescent="0.35">
      <c r="B23" s="287"/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</row>
    <row r="24" spans="2:13" ht="12" customHeight="1" x14ac:dyDescent="0.35">
      <c r="B24" s="287"/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</row>
    <row r="25" spans="2:13" ht="12" customHeight="1" x14ac:dyDescent="0.35">
      <c r="B25" s="287"/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</row>
    <row r="26" spans="2:13" ht="12" customHeight="1" x14ac:dyDescent="0.35">
      <c r="B26" s="287"/>
      <c r="C26" s="287"/>
      <c r="D26" s="287"/>
      <c r="E26" s="287"/>
      <c r="F26" s="287"/>
      <c r="G26" s="287"/>
      <c r="H26" s="287"/>
      <c r="I26" s="287"/>
      <c r="J26" s="287"/>
      <c r="K26" s="287"/>
      <c r="L26" s="287"/>
      <c r="M26" s="287"/>
    </row>
    <row r="27" spans="2:13" ht="12" customHeight="1" x14ac:dyDescent="0.35"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</row>
    <row r="28" spans="2:13" ht="12" customHeight="1" x14ac:dyDescent="0.35">
      <c r="B28" s="287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</row>
    <row r="29" spans="2:13" ht="12" customHeight="1" x14ac:dyDescent="0.35">
      <c r="B29" s="287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</row>
    <row r="30" spans="2:13" ht="12" customHeight="1" x14ac:dyDescent="0.35">
      <c r="B30" s="287"/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</row>
    <row r="31" spans="2:13" ht="12" customHeight="1" x14ac:dyDescent="0.35"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" zoomScale="90" zoomScaleNormal="90" workbookViewId="0">
      <selection activeCell="C36" sqref="C36"/>
    </sheetView>
  </sheetViews>
  <sheetFormatPr baseColWidth="10" defaultColWidth="11.453125" defaultRowHeight="14.5" x14ac:dyDescent="0.35"/>
  <cols>
    <col min="1" max="1" width="13.7265625" style="25" customWidth="1"/>
    <col min="2" max="2" width="36.1796875" style="25" customWidth="1"/>
    <col min="3" max="3" width="14.81640625" style="25" bestFit="1" customWidth="1"/>
    <col min="4" max="4" width="16.453125" style="25" customWidth="1"/>
    <col min="5" max="5" width="23.26953125" style="25" customWidth="1"/>
    <col min="6" max="6" width="28.81640625" style="25" bestFit="1" customWidth="1"/>
    <col min="7" max="8" width="14.7265625" style="25" customWidth="1"/>
    <col min="9" max="9" width="17" style="25" customWidth="1"/>
    <col min="10" max="10" width="13.81640625" style="25" customWidth="1"/>
    <col min="11" max="16384" width="11.453125" style="25"/>
  </cols>
  <sheetData>
    <row r="1" spans="1:38" x14ac:dyDescent="0.35">
      <c r="A1" s="5"/>
      <c r="B1" s="5"/>
      <c r="C1" s="288" t="s">
        <v>190</v>
      </c>
      <c r="D1" s="288"/>
      <c r="E1" s="28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4">
      <c r="A2" s="5"/>
      <c r="B2" s="5"/>
      <c r="C2" s="5"/>
      <c r="D2" s="5"/>
      <c r="E2" s="5"/>
      <c r="F2" s="5"/>
      <c r="G2" s="5"/>
      <c r="H2" s="5"/>
      <c r="I2" s="228" t="s">
        <v>320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5" thickBot="1" x14ac:dyDescent="0.4">
      <c r="A3" s="5"/>
      <c r="B3" s="293" t="s">
        <v>192</v>
      </c>
      <c r="C3" s="294"/>
      <c r="D3" s="294"/>
      <c r="E3" s="294"/>
      <c r="F3" s="295"/>
      <c r="G3" s="95"/>
      <c r="I3" s="228" t="s">
        <v>305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" x14ac:dyDescent="0.35">
      <c r="A4" s="97"/>
      <c r="B4" s="97"/>
      <c r="C4" s="97"/>
      <c r="D4" s="97"/>
      <c r="E4" s="97"/>
      <c r="F4" s="97"/>
      <c r="G4" s="238"/>
      <c r="I4" s="228" t="s">
        <v>306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" x14ac:dyDescent="0.35">
      <c r="A5" s="299" t="s">
        <v>231</v>
      </c>
      <c r="B5" s="299"/>
      <c r="C5" s="26">
        <v>0.7127</v>
      </c>
      <c r="D5" s="300" t="s">
        <v>229</v>
      </c>
      <c r="E5" s="301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" x14ac:dyDescent="0.35">
      <c r="A7" s="297" t="s">
        <v>226</v>
      </c>
      <c r="B7" s="297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5">
      <c r="A9" s="33" t="s">
        <v>165</v>
      </c>
      <c r="B9" s="34" t="s">
        <v>18</v>
      </c>
      <c r="C9" s="35">
        <v>1</v>
      </c>
      <c r="D9" s="36">
        <f t="shared" ref="D9:D18" si="0">C9*$C$5</f>
        <v>0.7127</v>
      </c>
      <c r="E9" s="37">
        <v>67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307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5">
      <c r="A19" s="100"/>
      <c r="B19" s="39" t="s">
        <v>175</v>
      </c>
      <c r="C19" s="40">
        <f>SUM(C9:C18)</f>
        <v>1</v>
      </c>
      <c r="D19" s="41">
        <f>SUM(D9:D18)</f>
        <v>0.7127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5">
      <c r="A22" s="296" t="s">
        <v>232</v>
      </c>
      <c r="B22" s="296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5">
      <c r="A27" s="44" t="s">
        <v>223</v>
      </c>
      <c r="B27" s="45" t="s">
        <v>225</v>
      </c>
      <c r="C27" s="46">
        <v>0.1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5">
      <c r="A30" s="298" t="s">
        <v>227</v>
      </c>
      <c r="B30" s="298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5">
      <c r="A32" s="49" t="s">
        <v>165</v>
      </c>
      <c r="B32" s="50" t="str">
        <f>IF(B9="","",B9)</f>
        <v>Douglas</v>
      </c>
      <c r="D32" s="259" t="s">
        <v>308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5">
      <c r="A34" s="5"/>
      <c r="B34" s="91" t="s">
        <v>185</v>
      </c>
      <c r="C34" s="289" t="s">
        <v>186</v>
      </c>
      <c r="D34" s="289"/>
      <c r="E34" s="290" t="s">
        <v>187</v>
      </c>
      <c r="F34" s="291"/>
      <c r="G34" s="291"/>
      <c r="H34" s="292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5" x14ac:dyDescent="0.3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5">
      <c r="A36" s="53">
        <v>25</v>
      </c>
      <c r="B36" s="63">
        <v>253</v>
      </c>
      <c r="C36" s="63">
        <v>1</v>
      </c>
      <c r="D36" s="63">
        <v>59</v>
      </c>
      <c r="E36" s="286">
        <v>0.1</v>
      </c>
      <c r="F36" s="286">
        <v>0.8</v>
      </c>
      <c r="G36" s="286">
        <v>0</v>
      </c>
      <c r="H36" s="286">
        <v>0.1</v>
      </c>
      <c r="I36" s="52">
        <f>IFERROR(B36/A36,"")</f>
        <v>10.119999999999999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5">
      <c r="A37" s="53">
        <v>32</v>
      </c>
      <c r="B37" s="63">
        <v>332</v>
      </c>
      <c r="C37" s="63">
        <v>2</v>
      </c>
      <c r="D37" s="63">
        <v>79</v>
      </c>
      <c r="E37" s="286">
        <v>0.3</v>
      </c>
      <c r="F37" s="286">
        <v>0.5</v>
      </c>
      <c r="G37" s="286">
        <v>0</v>
      </c>
      <c r="H37" s="286">
        <v>0.2</v>
      </c>
      <c r="I37" s="56">
        <f t="shared" ref="I37:I55" si="1">IF(A37&lt;&gt;0,(B37-(B36-D36))/(A37-A36),"")</f>
        <v>19.714285714285715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5">
      <c r="A38" s="53">
        <v>39</v>
      </c>
      <c r="B38" s="63">
        <v>391</v>
      </c>
      <c r="C38" s="63">
        <v>3</v>
      </c>
      <c r="D38" s="63">
        <v>80</v>
      </c>
      <c r="E38" s="286">
        <v>0.3</v>
      </c>
      <c r="F38" s="286">
        <v>0.5</v>
      </c>
      <c r="G38" s="286">
        <v>0</v>
      </c>
      <c r="H38" s="286">
        <v>0.2</v>
      </c>
      <c r="I38" s="56">
        <f t="shared" si="1"/>
        <v>19.714285714285715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5">
      <c r="A39" s="53">
        <v>45</v>
      </c>
      <c r="B39" s="63">
        <v>444</v>
      </c>
      <c r="C39" s="63">
        <v>4</v>
      </c>
      <c r="D39" s="63">
        <v>86</v>
      </c>
      <c r="E39" s="286">
        <v>0.3</v>
      </c>
      <c r="F39" s="286">
        <v>0.5</v>
      </c>
      <c r="G39" s="286">
        <v>0</v>
      </c>
      <c r="H39" s="286">
        <v>0.19999999999999998</v>
      </c>
      <c r="I39" s="52">
        <f t="shared" si="1"/>
        <v>22.166666666666668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5">
      <c r="A40" s="53">
        <v>53</v>
      </c>
      <c r="B40" s="63">
        <v>482</v>
      </c>
      <c r="C40" s="63">
        <v>5</v>
      </c>
      <c r="D40" s="63">
        <v>80</v>
      </c>
      <c r="E40" s="286">
        <v>0.7</v>
      </c>
      <c r="F40" s="286">
        <v>0.3</v>
      </c>
      <c r="G40" s="286">
        <v>0</v>
      </c>
      <c r="H40" s="286">
        <v>0</v>
      </c>
      <c r="I40" s="52">
        <f t="shared" si="1"/>
        <v>15.5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5">
      <c r="A41" s="53">
        <v>60</v>
      </c>
      <c r="B41" s="63">
        <v>517</v>
      </c>
      <c r="C41" s="63">
        <v>6</v>
      </c>
      <c r="D41" s="63">
        <v>97</v>
      </c>
      <c r="E41" s="286">
        <v>0.7</v>
      </c>
      <c r="F41" s="286">
        <v>0.3</v>
      </c>
      <c r="G41" s="286">
        <v>0</v>
      </c>
      <c r="H41" s="286">
        <v>0</v>
      </c>
      <c r="I41" s="56">
        <f t="shared" si="1"/>
        <v>16.428571428571427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5">
      <c r="A42" s="53">
        <v>67</v>
      </c>
      <c r="B42" s="63">
        <v>521</v>
      </c>
      <c r="C42" s="63">
        <v>7</v>
      </c>
      <c r="D42" s="63">
        <v>521</v>
      </c>
      <c r="E42" s="286">
        <v>0.7</v>
      </c>
      <c r="F42" s="286">
        <v>0.3</v>
      </c>
      <c r="G42" s="286">
        <v>0</v>
      </c>
      <c r="H42" s="286">
        <v>0</v>
      </c>
      <c r="I42" s="56">
        <f t="shared" si="1"/>
        <v>14.428571428571429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5">
      <c r="A58" s="49" t="s">
        <v>166</v>
      </c>
      <c r="B58" s="55" t="str">
        <f>IF(B10="","",B10)</f>
        <v/>
      </c>
      <c r="D58" s="259" t="s">
        <v>308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5">
      <c r="A60" s="5"/>
      <c r="B60" s="91" t="s">
        <v>185</v>
      </c>
      <c r="C60" s="289" t="s">
        <v>186</v>
      </c>
      <c r="D60" s="289"/>
      <c r="E60" s="290" t="s">
        <v>187</v>
      </c>
      <c r="F60" s="291"/>
      <c r="G60" s="291"/>
      <c r="H60" s="292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5" x14ac:dyDescent="0.3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5">
      <c r="A62" s="53"/>
      <c r="B62" s="63"/>
      <c r="C62" s="63"/>
      <c r="D62" s="63"/>
      <c r="E62" s="286"/>
      <c r="F62" s="286"/>
      <c r="G62" s="286"/>
      <c r="H62" s="286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5">
      <c r="A63" s="53"/>
      <c r="B63" s="63"/>
      <c r="C63" s="63"/>
      <c r="D63" s="63"/>
      <c r="E63" s="286"/>
      <c r="F63" s="286"/>
      <c r="G63" s="286"/>
      <c r="H63" s="286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5">
      <c r="A64" s="53"/>
      <c r="B64" s="63"/>
      <c r="C64" s="63"/>
      <c r="D64" s="63"/>
      <c r="E64" s="286"/>
      <c r="F64" s="286"/>
      <c r="G64" s="286"/>
      <c r="H64" s="286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5">
      <c r="A65" s="53"/>
      <c r="B65" s="63"/>
      <c r="C65" s="63"/>
      <c r="D65" s="63"/>
      <c r="E65" s="286"/>
      <c r="F65" s="286"/>
      <c r="G65" s="286"/>
      <c r="H65" s="286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5">
      <c r="A84" s="49" t="s">
        <v>167</v>
      </c>
      <c r="B84" s="55" t="str">
        <f>IF(B11="","",B11)</f>
        <v/>
      </c>
      <c r="D84" s="259" t="s">
        <v>308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5">
      <c r="A86" s="5"/>
      <c r="B86" s="91" t="s">
        <v>185</v>
      </c>
      <c r="C86" s="289" t="s">
        <v>186</v>
      </c>
      <c r="D86" s="289"/>
      <c r="E86" s="290" t="s">
        <v>187</v>
      </c>
      <c r="F86" s="291"/>
      <c r="G86" s="291"/>
      <c r="H86" s="292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5" x14ac:dyDescent="0.3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5">
      <c r="A110" s="49" t="s">
        <v>168</v>
      </c>
      <c r="B110" s="55" t="str">
        <f>IF(B12="","",B12)</f>
        <v/>
      </c>
      <c r="D110" s="259" t="s">
        <v>308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5">
      <c r="A112" s="5"/>
      <c r="B112" s="91" t="s">
        <v>185</v>
      </c>
      <c r="C112" s="289" t="s">
        <v>186</v>
      </c>
      <c r="D112" s="289"/>
      <c r="E112" s="290" t="s">
        <v>187</v>
      </c>
      <c r="F112" s="291"/>
      <c r="G112" s="291"/>
      <c r="H112" s="292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5" x14ac:dyDescent="0.3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5">
      <c r="A136" s="49" t="s">
        <v>169</v>
      </c>
      <c r="B136" s="55" t="str">
        <f>IF(B13="","",B13)</f>
        <v/>
      </c>
      <c r="D136" s="259" t="s">
        <v>308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5">
      <c r="A138" s="5"/>
      <c r="B138" s="91" t="s">
        <v>185</v>
      </c>
      <c r="C138" s="289" t="s">
        <v>186</v>
      </c>
      <c r="D138" s="289"/>
      <c r="E138" s="290" t="s">
        <v>187</v>
      </c>
      <c r="F138" s="291"/>
      <c r="G138" s="291"/>
      <c r="H138" s="292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5" x14ac:dyDescent="0.3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5">
      <c r="A162" s="49" t="s">
        <v>170</v>
      </c>
      <c r="B162" s="55" t="str">
        <f>IF(B14="","",B14)</f>
        <v/>
      </c>
      <c r="D162" s="259" t="s">
        <v>308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5">
      <c r="A164" s="5"/>
      <c r="B164" s="91" t="s">
        <v>185</v>
      </c>
      <c r="C164" s="289" t="s">
        <v>186</v>
      </c>
      <c r="D164" s="289"/>
      <c r="E164" s="290" t="s">
        <v>187</v>
      </c>
      <c r="F164" s="291"/>
      <c r="G164" s="291"/>
      <c r="H164" s="292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5" x14ac:dyDescent="0.3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5">
      <c r="A188" s="49" t="s">
        <v>171</v>
      </c>
      <c r="B188" s="55" t="str">
        <f>IF(B15="","",B15)</f>
        <v/>
      </c>
      <c r="D188" s="259" t="s">
        <v>308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5">
      <c r="A190" s="5"/>
      <c r="B190" s="91" t="s">
        <v>185</v>
      </c>
      <c r="C190" s="289" t="s">
        <v>186</v>
      </c>
      <c r="D190" s="289"/>
      <c r="E190" s="290" t="s">
        <v>187</v>
      </c>
      <c r="F190" s="291"/>
      <c r="G190" s="291"/>
      <c r="H190" s="292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5" x14ac:dyDescent="0.3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5">
      <c r="A214" s="49" t="s">
        <v>172</v>
      </c>
      <c r="B214" s="55" t="str">
        <f>IF(B16="","",B16)</f>
        <v/>
      </c>
      <c r="D214" s="259" t="s">
        <v>308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5">
      <c r="A216" s="5"/>
      <c r="B216" s="91" t="s">
        <v>185</v>
      </c>
      <c r="C216" s="289" t="s">
        <v>186</v>
      </c>
      <c r="D216" s="289"/>
      <c r="E216" s="290" t="s">
        <v>187</v>
      </c>
      <c r="F216" s="291"/>
      <c r="G216" s="291"/>
      <c r="H216" s="292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5" x14ac:dyDescent="0.3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5">
      <c r="A240" s="49" t="s">
        <v>173</v>
      </c>
      <c r="B240" s="55" t="str">
        <f>IF(B17="","",B17)</f>
        <v/>
      </c>
      <c r="D240" s="259" t="s">
        <v>308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5">
      <c r="A242" s="5"/>
      <c r="B242" s="91" t="s">
        <v>185</v>
      </c>
      <c r="C242" s="289" t="s">
        <v>186</v>
      </c>
      <c r="D242" s="289"/>
      <c r="E242" s="290" t="s">
        <v>187</v>
      </c>
      <c r="F242" s="291"/>
      <c r="G242" s="291"/>
      <c r="H242" s="292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5" x14ac:dyDescent="0.3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5">
      <c r="A266" s="49" t="s">
        <v>174</v>
      </c>
      <c r="B266" s="55" t="str">
        <f>IF(B18="","",B18)</f>
        <v/>
      </c>
      <c r="D266" s="259" t="s">
        <v>308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5">
      <c r="A268" s="5"/>
      <c r="B268" s="91" t="s">
        <v>185</v>
      </c>
      <c r="C268" s="289" t="s">
        <v>186</v>
      </c>
      <c r="D268" s="289"/>
      <c r="E268" s="290" t="s">
        <v>187</v>
      </c>
      <c r="F268" s="291"/>
      <c r="G268" s="291"/>
      <c r="H268" s="292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5" x14ac:dyDescent="0.3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WNNfjMejANGVl6TwNyOWjr6uE9FSKeYKc8G1xSRzhSSEEHHoiD4MGdHL+75tgTa2hkuargjtI146ITZNl/t3TQ==" saltValue="Rm8CBJr+fsZI1hzxuzToYA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4">
    <dataValidation type="list" allowBlank="1" showInputMessage="1" showErrorMessage="1" sqref="B9:B18" xr:uid="{00000000-0002-0000-0100-000000000000}">
      <formula1>Essence</formula1>
    </dataValidation>
    <dataValidation type="list" allowBlank="1" showInputMessage="1" showErrorMessage="1" sqref="C24" xr:uid="{00000000-0002-0000-0100-000001000000}">
      <formula1>VAN</formula1>
    </dataValidation>
    <dataValidation type="list" allowBlank="1" showInputMessage="1" showErrorMessage="1" sqref="C26" xr:uid="{00000000-0002-0000-0100-000002000000}">
      <formula1>Incendie</formula1>
    </dataValidation>
    <dataValidation type="list" allowBlank="1" showInputMessage="1" showErrorMessage="1" sqref="C27" xr:uid="{00000000-0002-0000-0100-000003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D16" sqref="D16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5" thickBot="1" x14ac:dyDescent="0.65">
      <c r="A2" s="5"/>
      <c r="B2" s="303" t="s">
        <v>191</v>
      </c>
      <c r="C2" s="304"/>
      <c r="D2" s="304"/>
      <c r="E2" s="304"/>
      <c r="F2" s="304"/>
      <c r="G2" s="305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5">
      <c r="A4" s="5"/>
      <c r="B4" s="302"/>
      <c r="C4" s="302"/>
      <c r="D4" s="302"/>
      <c r="E4" s="302"/>
      <c r="F4" s="302"/>
      <c r="G4" s="302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5">
      <c r="A5" s="5"/>
      <c r="B5" s="107" t="s">
        <v>297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5">
      <c r="A7" s="108"/>
      <c r="B7" s="29" t="s">
        <v>296</v>
      </c>
      <c r="C7" s="109" t="s">
        <v>214</v>
      </c>
      <c r="D7" s="235"/>
      <c r="E7" s="110"/>
      <c r="F7" s="29" t="s">
        <v>296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5">
      <c r="A13" s="236"/>
      <c r="B13" s="116"/>
      <c r="C13" s="107" t="s">
        <v>273</v>
      </c>
      <c r="D13" s="236"/>
      <c r="E13" s="108"/>
      <c r="F13" s="116"/>
      <c r="G13" s="107" t="s">
        <v>302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5">
      <c r="A14" s="236"/>
      <c r="B14" s="116"/>
      <c r="C14" s="107" t="s">
        <v>310</v>
      </c>
      <c r="D14" s="236"/>
      <c r="E14" s="108"/>
      <c r="F14" s="116"/>
      <c r="G14" s="107" t="s">
        <v>295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5">
      <c r="A15" s="25"/>
      <c r="B15" s="29" t="s">
        <v>296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5">
      <c r="C104" s="5"/>
      <c r="F104" s="5"/>
    </row>
    <row r="105" spans="3:35" x14ac:dyDescent="0.35">
      <c r="C105" s="5"/>
      <c r="F105" s="5"/>
    </row>
    <row r="106" spans="3:35" x14ac:dyDescent="0.35">
      <c r="C106" s="5"/>
      <c r="F106" s="5"/>
    </row>
    <row r="107" spans="3:35" x14ac:dyDescent="0.35">
      <c r="C107" s="5"/>
      <c r="F107" s="5"/>
    </row>
    <row r="108" spans="3:35" x14ac:dyDescent="0.35">
      <c r="C108" s="5"/>
      <c r="F108" s="5"/>
    </row>
    <row r="109" spans="3:35" x14ac:dyDescent="0.35">
      <c r="C109" s="5"/>
      <c r="F109" s="5"/>
    </row>
    <row r="110" spans="3:35" x14ac:dyDescent="0.35">
      <c r="C110" s="5"/>
      <c r="F110" s="5"/>
    </row>
    <row r="111" spans="3:35" x14ac:dyDescent="0.35">
      <c r="C111" s="5"/>
      <c r="F111" s="5"/>
    </row>
    <row r="112" spans="3:35" x14ac:dyDescent="0.35">
      <c r="C112" s="5"/>
      <c r="F112" s="5"/>
    </row>
    <row r="113" spans="3:6" x14ac:dyDescent="0.35">
      <c r="C113" s="5"/>
      <c r="F113" s="5"/>
    </row>
    <row r="114" spans="3:6" x14ac:dyDescent="0.35">
      <c r="C114" s="5"/>
      <c r="F114" s="5"/>
    </row>
    <row r="115" spans="3:6" x14ac:dyDescent="0.35">
      <c r="C115" s="5"/>
      <c r="F115" s="5"/>
    </row>
    <row r="116" spans="3:6" x14ac:dyDescent="0.35">
      <c r="C116" s="5"/>
      <c r="F116" s="5"/>
    </row>
    <row r="117" spans="3:6" x14ac:dyDescent="0.35">
      <c r="C117" s="5"/>
      <c r="F117" s="5"/>
    </row>
    <row r="118" spans="3:6" x14ac:dyDescent="0.35">
      <c r="C118" s="5"/>
      <c r="F118" s="5"/>
    </row>
    <row r="119" spans="3:6" x14ac:dyDescent="0.35">
      <c r="C119" s="5"/>
      <c r="F119" s="5"/>
    </row>
    <row r="120" spans="3:6" x14ac:dyDescent="0.35">
      <c r="C120" s="5"/>
      <c r="F120" s="5"/>
    </row>
    <row r="121" spans="3:6" x14ac:dyDescent="0.35">
      <c r="C121" s="5"/>
      <c r="F121" s="5"/>
    </row>
    <row r="122" spans="3:6" x14ac:dyDescent="0.35">
      <c r="C122" s="5"/>
      <c r="F122" s="5"/>
    </row>
    <row r="123" spans="3:6" x14ac:dyDescent="0.35">
      <c r="C123" s="5"/>
      <c r="F123" s="5"/>
    </row>
    <row r="124" spans="3:6" x14ac:dyDescent="0.35">
      <c r="C124" s="5"/>
      <c r="F124" s="5"/>
    </row>
    <row r="125" spans="3:6" x14ac:dyDescent="0.35">
      <c r="C125" s="5"/>
      <c r="F125" s="5"/>
    </row>
    <row r="126" spans="3:6" x14ac:dyDescent="0.35">
      <c r="C126" s="5"/>
      <c r="F126" s="5"/>
    </row>
    <row r="127" spans="3:6" x14ac:dyDescent="0.35">
      <c r="C127" s="5"/>
      <c r="F127" s="5"/>
    </row>
    <row r="128" spans="3:6" x14ac:dyDescent="0.35">
      <c r="C128" s="5"/>
      <c r="F128" s="5"/>
    </row>
    <row r="129" spans="3:6" x14ac:dyDescent="0.35">
      <c r="C129" s="5"/>
      <c r="F129" s="5"/>
    </row>
    <row r="130" spans="3:6" x14ac:dyDescent="0.35">
      <c r="C130" s="5"/>
      <c r="F130" s="5"/>
    </row>
    <row r="131" spans="3:6" x14ac:dyDescent="0.35">
      <c r="C131" s="5"/>
      <c r="F131" s="5"/>
    </row>
    <row r="132" spans="3:6" x14ac:dyDescent="0.35">
      <c r="F132" s="5"/>
    </row>
    <row r="133" spans="3:6" x14ac:dyDescent="0.35">
      <c r="F133" s="5"/>
    </row>
    <row r="134" spans="3:6" x14ac:dyDescent="0.35">
      <c r="F134" s="5"/>
    </row>
    <row r="135" spans="3:6" x14ac:dyDescent="0.35">
      <c r="F135" s="5"/>
    </row>
    <row r="136" spans="3:6" x14ac:dyDescent="0.35">
      <c r="F136" s="5"/>
    </row>
    <row r="137" spans="3:6" x14ac:dyDescent="0.35">
      <c r="F137" s="5"/>
    </row>
    <row r="138" spans="3:6" x14ac:dyDescent="0.35">
      <c r="F138" s="5"/>
    </row>
    <row r="139" spans="3:6" x14ac:dyDescent="0.35">
      <c r="F139" s="5"/>
    </row>
    <row r="140" spans="3:6" x14ac:dyDescent="0.35">
      <c r="F140" s="5"/>
    </row>
    <row r="141" spans="3:6" x14ac:dyDescent="0.35">
      <c r="F141" s="5"/>
    </row>
    <row r="142" spans="3:6" x14ac:dyDescent="0.35">
      <c r="F142" s="5"/>
    </row>
    <row r="143" spans="3:6" x14ac:dyDescent="0.35">
      <c r="F143" s="5"/>
    </row>
    <row r="144" spans="3:6" x14ac:dyDescent="0.35">
      <c r="F144" s="5"/>
    </row>
    <row r="145" spans="6:6" x14ac:dyDescent="0.35">
      <c r="F145" s="5"/>
    </row>
    <row r="146" spans="6:6" x14ac:dyDescent="0.35">
      <c r="F146" s="5"/>
    </row>
    <row r="147" spans="6:6" x14ac:dyDescent="0.35">
      <c r="F147" s="5"/>
    </row>
    <row r="148" spans="6:6" x14ac:dyDescent="0.35">
      <c r="F148" s="5"/>
    </row>
    <row r="149" spans="6:6" x14ac:dyDescent="0.35">
      <c r="F149" s="5"/>
    </row>
    <row r="150" spans="6:6" x14ac:dyDescent="0.35">
      <c r="F150" s="5"/>
    </row>
    <row r="151" spans="6:6" x14ac:dyDescent="0.35">
      <c r="F151" s="5"/>
    </row>
    <row r="152" spans="6:6" x14ac:dyDescent="0.35">
      <c r="F152" s="5"/>
    </row>
    <row r="153" spans="6:6" x14ac:dyDescent="0.35">
      <c r="F153" s="5"/>
    </row>
    <row r="154" spans="6:6" x14ac:dyDescent="0.35">
      <c r="F154" s="5"/>
    </row>
    <row r="155" spans="6:6" x14ac:dyDescent="0.35">
      <c r="F155" s="5"/>
    </row>
    <row r="156" spans="6:6" x14ac:dyDescent="0.35">
      <c r="F156" s="5"/>
    </row>
    <row r="157" spans="6:6" x14ac:dyDescent="0.35">
      <c r="F157" s="5"/>
    </row>
    <row r="158" spans="6:6" x14ac:dyDescent="0.35">
      <c r="F158" s="5"/>
    </row>
    <row r="159" spans="6:6" x14ac:dyDescent="0.35">
      <c r="F159" s="5"/>
    </row>
    <row r="160" spans="6:6" x14ac:dyDescent="0.35">
      <c r="F160" s="5"/>
    </row>
    <row r="161" spans="6:6" x14ac:dyDescent="0.35">
      <c r="F161" s="5"/>
    </row>
    <row r="162" spans="6:6" x14ac:dyDescent="0.35">
      <c r="F162" s="5"/>
    </row>
    <row r="163" spans="6:6" x14ac:dyDescent="0.35">
      <c r="F163" s="5"/>
    </row>
  </sheetData>
  <sheetProtection algorithmName="SHA-512" hashValue="bYYTRLA362MILumSLNbeoQ2hy+GJikiAN9JWuBENQVQ+g49rNjpbVQfv4HKmwJd5sECAbS9qnJ5D7VbOYAr62A==" saltValue="mhj60ytZCew56tNQmRqpzw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102" zoomScale="85" zoomScaleNormal="85" workbookViewId="0">
      <selection activeCell="R3" sqref="R3:R203"/>
    </sheetView>
  </sheetViews>
  <sheetFormatPr baseColWidth="10" defaultColWidth="11.453125" defaultRowHeight="14.5" x14ac:dyDescent="0.35"/>
  <cols>
    <col min="1" max="1" width="6.81640625" style="71" bestFit="1" customWidth="1"/>
    <col min="2" max="4" width="11.453125" style="71"/>
    <col min="5" max="5" width="9.54296875" style="71" customWidth="1"/>
    <col min="6" max="7" width="11.453125" style="71"/>
    <col min="8" max="8" width="10.7265625" style="71" customWidth="1"/>
    <col min="9" max="9" width="9.453125" style="71" customWidth="1"/>
    <col min="10" max="11" width="10.54296875" style="71" bestFit="1" customWidth="1"/>
    <col min="12" max="12" width="14" style="71" bestFit="1" customWidth="1"/>
    <col min="13" max="13" width="14" style="71" customWidth="1"/>
    <col min="14" max="23" width="11.453125" style="71"/>
    <col min="24" max="24" width="11.7265625" style="71" bestFit="1" customWidth="1"/>
    <col min="25" max="25" width="14.54296875" style="71" bestFit="1" customWidth="1"/>
    <col min="26" max="26" width="12.453125" style="71" bestFit="1" customWidth="1"/>
    <col min="27" max="27" width="9.7265625" style="71" bestFit="1" customWidth="1"/>
    <col min="28" max="28" width="11" style="71" bestFit="1" customWidth="1"/>
    <col min="29" max="29" width="9.453125" style="71" bestFit="1" customWidth="1"/>
    <col min="30" max="31" width="9.453125" style="71" customWidth="1"/>
    <col min="32" max="32" width="11.453125" style="71"/>
    <col min="33" max="34" width="14" style="71" bestFit="1" customWidth="1"/>
    <col min="35" max="35" width="10.54296875" style="71" bestFit="1" customWidth="1"/>
    <col min="36" max="36" width="9.453125" style="71" bestFit="1" customWidth="1"/>
    <col min="37" max="38" width="10.54296875" style="71" bestFit="1" customWidth="1"/>
    <col min="39" max="41" width="10.54296875" style="71" customWidth="1"/>
    <col min="42" max="42" width="9" style="71" bestFit="1" customWidth="1"/>
    <col min="43" max="43" width="10.54296875" style="71" bestFit="1" customWidth="1"/>
    <col min="44" max="44" width="9.26953125" style="71" bestFit="1" customWidth="1"/>
    <col min="45" max="45" width="11.7265625" style="71" bestFit="1" customWidth="1"/>
    <col min="46" max="46" width="8.453125" style="71" bestFit="1" customWidth="1"/>
    <col min="47" max="47" width="9.453125" style="71" bestFit="1" customWidth="1"/>
    <col min="48" max="48" width="9.7265625" style="71" bestFit="1" customWidth="1"/>
    <col min="49" max="49" width="11" style="71" bestFit="1" customWidth="1"/>
    <col min="50" max="50" width="9.453125" style="71" bestFit="1" customWidth="1"/>
    <col min="51" max="52" width="9.453125" style="71" customWidth="1"/>
    <col min="53" max="53" width="10.54296875" style="71" bestFit="1" customWidth="1"/>
    <col min="54" max="54" width="14.26953125" style="71" customWidth="1"/>
    <col min="55" max="55" width="14" style="71" customWidth="1"/>
    <col min="56" max="56" width="10.54296875" style="71" bestFit="1" customWidth="1"/>
    <col min="57" max="57" width="9.453125" style="71" bestFit="1" customWidth="1"/>
    <col min="58" max="59" width="10.54296875" style="71" bestFit="1" customWidth="1"/>
    <col min="60" max="62" width="10.54296875" style="71" customWidth="1"/>
    <col min="63" max="63" width="9" style="71" bestFit="1" customWidth="1"/>
    <col min="64" max="64" width="10.54296875" style="71" bestFit="1" customWidth="1"/>
    <col min="65" max="65" width="9.26953125" style="71" bestFit="1" customWidth="1"/>
    <col min="66" max="66" width="11.7265625" style="71" bestFit="1" customWidth="1"/>
    <col min="67" max="67" width="8.453125" style="71" bestFit="1" customWidth="1"/>
    <col min="68" max="68" width="9.453125" style="71" bestFit="1" customWidth="1"/>
    <col min="69" max="69" width="9.7265625" style="71" bestFit="1" customWidth="1"/>
    <col min="70" max="70" width="11" style="71" bestFit="1" customWidth="1"/>
    <col min="71" max="71" width="9.453125" style="71" bestFit="1" customWidth="1"/>
    <col min="72" max="73" width="9.453125" style="71" customWidth="1"/>
    <col min="74" max="74" width="10.54296875" style="71" bestFit="1" customWidth="1"/>
    <col min="75" max="75" width="14" style="71" bestFit="1" customWidth="1"/>
    <col min="76" max="76" width="13.81640625" style="71" customWidth="1"/>
    <col min="77" max="77" width="10.54296875" style="71" bestFit="1" customWidth="1"/>
    <col min="78" max="78" width="9.453125" style="71" bestFit="1" customWidth="1"/>
    <col min="79" max="80" width="10.54296875" style="71" bestFit="1" customWidth="1"/>
    <col min="81" max="83" width="10.54296875" style="71" customWidth="1"/>
    <col min="84" max="84" width="11.453125" style="71"/>
    <col min="85" max="85" width="10.54296875" style="71" bestFit="1" customWidth="1"/>
    <col min="86" max="86" width="9.26953125" style="71" bestFit="1" customWidth="1"/>
    <col min="87" max="87" width="11.7265625" style="71" bestFit="1" customWidth="1"/>
    <col min="88" max="88" width="8.453125" style="71" bestFit="1" customWidth="1"/>
    <col min="89" max="89" width="9.453125" style="71" bestFit="1" customWidth="1"/>
    <col min="90" max="90" width="9.7265625" style="71" bestFit="1" customWidth="1"/>
    <col min="91" max="91" width="11" style="71" bestFit="1" customWidth="1"/>
    <col min="92" max="92" width="9.453125" style="71" bestFit="1" customWidth="1"/>
    <col min="93" max="94" width="9.453125" style="71" customWidth="1"/>
    <col min="95" max="95" width="11.453125" style="71"/>
    <col min="96" max="97" width="14" style="71" customWidth="1"/>
    <col min="98" max="98" width="10.54296875" style="71" bestFit="1" customWidth="1"/>
    <col min="99" max="99" width="9.453125" style="71" bestFit="1" customWidth="1"/>
    <col min="100" max="101" width="10.54296875" style="71" bestFit="1" customWidth="1"/>
    <col min="102" max="104" width="10.54296875" style="71" customWidth="1"/>
    <col min="105" max="105" width="9" style="71" bestFit="1" customWidth="1"/>
    <col min="106" max="106" width="10.54296875" style="71" bestFit="1" customWidth="1"/>
    <col min="107" max="107" width="9.26953125" style="71" bestFit="1" customWidth="1"/>
    <col min="108" max="108" width="11.7265625" style="71" bestFit="1" customWidth="1"/>
    <col min="109" max="109" width="8.453125" style="71" bestFit="1" customWidth="1"/>
    <col min="110" max="110" width="9.453125" style="71" bestFit="1" customWidth="1"/>
    <col min="111" max="111" width="9.7265625" style="71" bestFit="1" customWidth="1"/>
    <col min="112" max="112" width="11" style="71" bestFit="1" customWidth="1"/>
    <col min="113" max="113" width="9.453125" style="71" bestFit="1" customWidth="1"/>
    <col min="114" max="115" width="9.453125" style="71" customWidth="1"/>
    <col min="116" max="116" width="10.54296875" style="71" bestFit="1" customWidth="1"/>
    <col min="117" max="117" width="14.26953125" style="71" customWidth="1"/>
    <col min="118" max="118" width="14" style="71" bestFit="1" customWidth="1"/>
    <col min="119" max="119" width="10.54296875" style="71" bestFit="1" customWidth="1"/>
    <col min="120" max="120" width="9.453125" style="71" bestFit="1" customWidth="1"/>
    <col min="121" max="122" width="10.54296875" style="71" bestFit="1" customWidth="1"/>
    <col min="123" max="125" width="10.54296875" style="71" customWidth="1"/>
    <col min="126" max="126" width="9" style="71" bestFit="1" customWidth="1"/>
    <col min="127" max="127" width="10.54296875" style="71" bestFit="1" customWidth="1"/>
    <col min="128" max="128" width="9.26953125" style="71" bestFit="1" customWidth="1"/>
    <col min="129" max="129" width="11.7265625" style="71" bestFit="1" customWidth="1"/>
    <col min="130" max="130" width="8.453125" style="71" bestFit="1" customWidth="1"/>
    <col min="131" max="131" width="9.453125" style="71" bestFit="1" customWidth="1"/>
    <col min="132" max="132" width="9.7265625" style="71" bestFit="1" customWidth="1"/>
    <col min="133" max="133" width="11" style="71" bestFit="1" customWidth="1"/>
    <col min="134" max="134" width="9.453125" style="71" bestFit="1" customWidth="1"/>
    <col min="135" max="136" width="9.453125" style="71" customWidth="1"/>
    <col min="137" max="137" width="10.54296875" style="71" bestFit="1" customWidth="1"/>
    <col min="138" max="139" width="14" style="71" customWidth="1"/>
    <col min="140" max="140" width="10.54296875" style="71" bestFit="1" customWidth="1"/>
    <col min="141" max="141" width="9.453125" style="71" bestFit="1" customWidth="1"/>
    <col min="142" max="143" width="10.54296875" style="71" bestFit="1" customWidth="1"/>
    <col min="144" max="146" width="10.54296875" style="71" customWidth="1"/>
    <col min="147" max="147" width="9" style="71" bestFit="1" customWidth="1"/>
    <col min="148" max="148" width="10.54296875" style="71" bestFit="1" customWidth="1"/>
    <col min="149" max="149" width="9.26953125" style="71" bestFit="1" customWidth="1"/>
    <col min="150" max="150" width="11.7265625" style="71" bestFit="1" customWidth="1"/>
    <col min="151" max="151" width="8.453125" style="71" bestFit="1" customWidth="1"/>
    <col min="152" max="152" width="9.453125" style="71" bestFit="1" customWidth="1"/>
    <col min="153" max="153" width="9.7265625" style="71" bestFit="1" customWidth="1"/>
    <col min="154" max="154" width="11" style="71" bestFit="1" customWidth="1"/>
    <col min="155" max="155" width="9.453125" style="71" bestFit="1" customWidth="1"/>
    <col min="156" max="157" width="9.453125" style="71" customWidth="1"/>
    <col min="158" max="158" width="11.453125" style="71"/>
    <col min="159" max="160" width="14" style="71" bestFit="1" customWidth="1"/>
    <col min="161" max="161" width="10.54296875" style="71" bestFit="1" customWidth="1"/>
    <col min="162" max="162" width="9.453125" style="71" bestFit="1" customWidth="1"/>
    <col min="163" max="164" width="10.54296875" style="71" bestFit="1" customWidth="1"/>
    <col min="165" max="167" width="10.54296875" style="71" customWidth="1"/>
    <col min="168" max="168" width="9" style="71" bestFit="1" customWidth="1"/>
    <col min="169" max="169" width="10.54296875" style="71" bestFit="1" customWidth="1"/>
    <col min="170" max="170" width="9.26953125" style="71" bestFit="1" customWidth="1"/>
    <col min="171" max="171" width="11.7265625" style="71" bestFit="1" customWidth="1"/>
    <col min="172" max="172" width="8.1796875" style="71" bestFit="1" customWidth="1"/>
    <col min="173" max="173" width="9.453125" style="71" bestFit="1" customWidth="1"/>
    <col min="174" max="174" width="9.7265625" style="71" bestFit="1" customWidth="1"/>
    <col min="175" max="175" width="11" style="71" bestFit="1" customWidth="1"/>
    <col min="176" max="176" width="9.453125" style="71" bestFit="1" customWidth="1"/>
    <col min="177" max="178" width="9.453125" style="71" customWidth="1"/>
    <col min="179" max="179" width="10.54296875" style="71" bestFit="1" customWidth="1"/>
    <col min="180" max="181" width="14" style="71" bestFit="1" customWidth="1"/>
    <col min="182" max="182" width="10.54296875" style="71" bestFit="1" customWidth="1"/>
    <col min="183" max="183" width="9.453125" style="71" bestFit="1" customWidth="1"/>
    <col min="184" max="185" width="10.54296875" style="71" bestFit="1" customWidth="1"/>
    <col min="186" max="188" width="10.54296875" style="71" customWidth="1"/>
    <col min="189" max="189" width="9" style="71" bestFit="1" customWidth="1"/>
    <col min="190" max="190" width="10.54296875" style="71" bestFit="1" customWidth="1"/>
    <col min="191" max="191" width="9.26953125" style="71" bestFit="1" customWidth="1"/>
    <col min="192" max="192" width="11.453125" style="71"/>
    <col min="193" max="193" width="8.453125" style="71" bestFit="1" customWidth="1"/>
    <col min="194" max="194" width="9.453125" style="71" bestFit="1" customWidth="1"/>
    <col min="195" max="195" width="9.7265625" style="71" bestFit="1" customWidth="1"/>
    <col min="196" max="196" width="11" style="71" bestFit="1" customWidth="1"/>
    <col min="197" max="197" width="9.453125" style="71" bestFit="1" customWidth="1"/>
    <col min="198" max="199" width="9.453125" style="71" customWidth="1"/>
    <col min="200" max="200" width="10.54296875" style="71" bestFit="1" customWidth="1"/>
    <col min="201" max="201" width="14" style="71" customWidth="1"/>
    <col min="202" max="202" width="14.26953125" style="71" customWidth="1"/>
    <col min="203" max="203" width="10.54296875" style="71" bestFit="1" customWidth="1"/>
    <col min="204" max="204" width="9.453125" style="71" bestFit="1" customWidth="1"/>
    <col min="205" max="206" width="10.54296875" style="71" bestFit="1" customWidth="1"/>
    <col min="207" max="209" width="10.54296875" style="71" customWidth="1"/>
    <col min="210" max="210" width="9" style="71" bestFit="1" customWidth="1"/>
    <col min="211" max="211" width="10.54296875" style="71" bestFit="1" customWidth="1"/>
    <col min="212" max="212" width="9.26953125" style="71" bestFit="1" customWidth="1"/>
    <col min="213" max="213" width="11.7265625" style="71" bestFit="1" customWidth="1"/>
    <col min="214" max="214" width="8.453125" style="71" bestFit="1" customWidth="1"/>
    <col min="215" max="215" width="9.453125" style="71" bestFit="1" customWidth="1"/>
    <col min="216" max="216" width="9.7265625" style="71" bestFit="1" customWidth="1"/>
    <col min="217" max="217" width="11" style="71" bestFit="1" customWidth="1"/>
    <col min="218" max="218" width="9.453125" style="71" bestFit="1" customWidth="1"/>
    <col min="219" max="16384" width="11.453125" style="71"/>
  </cols>
  <sheetData>
    <row r="1" spans="1:218" s="5" customFormat="1" ht="26.5" thickBot="1" x14ac:dyDescent="0.65">
      <c r="B1" s="309" t="s">
        <v>176</v>
      </c>
      <c r="C1" s="310"/>
      <c r="D1" s="310"/>
      <c r="E1" s="310"/>
      <c r="F1" s="310"/>
      <c r="G1" s="310"/>
      <c r="H1" s="311"/>
      <c r="I1" s="306" t="str">
        <f>IF('Données projet'!$B$9="","",'Données projet'!$B$9)</f>
        <v>Douglas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8"/>
      <c r="AD1" s="307" t="str">
        <f>IF('Données projet'!$B$10="","",'Données projet'!$B$10)</f>
        <v/>
      </c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8"/>
      <c r="AY1" s="306" t="str">
        <f>IF('Données projet'!$B$11="","",'Données projet'!$B$11)</f>
        <v/>
      </c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8"/>
      <c r="BT1" s="306" t="str">
        <f>IF('Données projet'!$B$12="","",'Données projet'!$B$12)</f>
        <v/>
      </c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8"/>
      <c r="CO1" s="306" t="str">
        <f>IF('Données projet'!$B$13="","",'Données projet'!$B$13)</f>
        <v/>
      </c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8"/>
      <c r="DJ1" s="306" t="str">
        <f>IF('Données projet'!$B$14="","",'Données projet'!$B$14)</f>
        <v/>
      </c>
      <c r="DK1" s="307"/>
      <c r="DL1" s="307"/>
      <c r="DM1" s="307"/>
      <c r="DN1" s="307"/>
      <c r="DO1" s="307"/>
      <c r="DP1" s="307"/>
      <c r="DQ1" s="307"/>
      <c r="DR1" s="307"/>
      <c r="DS1" s="307"/>
      <c r="DT1" s="307"/>
      <c r="DU1" s="307"/>
      <c r="DV1" s="307"/>
      <c r="DW1" s="307"/>
      <c r="DX1" s="307"/>
      <c r="DY1" s="307"/>
      <c r="DZ1" s="307"/>
      <c r="EA1" s="307"/>
      <c r="EB1" s="307"/>
      <c r="EC1" s="307"/>
      <c r="ED1" s="308"/>
      <c r="EE1" s="306" t="str">
        <f>IF('Données projet'!$B$15="","",'Données projet'!$B$15)</f>
        <v/>
      </c>
      <c r="EF1" s="307"/>
      <c r="EG1" s="307"/>
      <c r="EH1" s="307"/>
      <c r="EI1" s="307"/>
      <c r="EJ1" s="307"/>
      <c r="EK1" s="307"/>
      <c r="EL1" s="307"/>
      <c r="EM1" s="307"/>
      <c r="EN1" s="307"/>
      <c r="EO1" s="307"/>
      <c r="EP1" s="307"/>
      <c r="EQ1" s="307"/>
      <c r="ER1" s="307"/>
      <c r="ES1" s="307"/>
      <c r="ET1" s="307"/>
      <c r="EU1" s="307"/>
      <c r="EV1" s="307"/>
      <c r="EW1" s="307"/>
      <c r="EX1" s="307"/>
      <c r="EY1" s="308"/>
      <c r="EZ1" s="306" t="str">
        <f>IF('Données projet'!$B$16="","",'Données projet'!$B$16)</f>
        <v/>
      </c>
      <c r="FA1" s="307"/>
      <c r="FB1" s="307"/>
      <c r="FC1" s="307"/>
      <c r="FD1" s="307"/>
      <c r="FE1" s="307"/>
      <c r="FF1" s="307"/>
      <c r="FG1" s="307"/>
      <c r="FH1" s="307"/>
      <c r="FI1" s="307"/>
      <c r="FJ1" s="307"/>
      <c r="FK1" s="307"/>
      <c r="FL1" s="307"/>
      <c r="FM1" s="307"/>
      <c r="FN1" s="307"/>
      <c r="FO1" s="307"/>
      <c r="FP1" s="307"/>
      <c r="FQ1" s="307"/>
      <c r="FR1" s="307"/>
      <c r="FS1" s="307"/>
      <c r="FT1" s="308"/>
      <c r="FU1" s="306" t="str">
        <f>IF('Données projet'!$B$17="","",'Données projet'!$B$17)</f>
        <v/>
      </c>
      <c r="FV1" s="307"/>
      <c r="FW1" s="307"/>
      <c r="FX1" s="307"/>
      <c r="FY1" s="307"/>
      <c r="FZ1" s="307"/>
      <c r="GA1" s="307"/>
      <c r="GB1" s="307"/>
      <c r="GC1" s="307"/>
      <c r="GD1" s="307"/>
      <c r="GE1" s="307"/>
      <c r="GF1" s="307"/>
      <c r="GG1" s="307"/>
      <c r="GH1" s="307"/>
      <c r="GI1" s="307"/>
      <c r="GJ1" s="307"/>
      <c r="GK1" s="307"/>
      <c r="GL1" s="307"/>
      <c r="GM1" s="307"/>
      <c r="GN1" s="307"/>
      <c r="GO1" s="308"/>
      <c r="GP1" s="306" t="str">
        <f>IF('Données projet'!$B$18="","",'Données projet'!$B$18)</f>
        <v/>
      </c>
      <c r="GQ1" s="307"/>
      <c r="GR1" s="307"/>
      <c r="GS1" s="307"/>
      <c r="GT1" s="307"/>
      <c r="GU1" s="307"/>
      <c r="GV1" s="307"/>
      <c r="GW1" s="307"/>
      <c r="GX1" s="307"/>
      <c r="GY1" s="307"/>
      <c r="GZ1" s="307"/>
      <c r="HA1" s="307"/>
      <c r="HB1" s="307"/>
      <c r="HC1" s="307"/>
      <c r="HD1" s="307"/>
      <c r="HE1" s="307"/>
      <c r="HF1" s="307"/>
      <c r="HG1" s="307"/>
      <c r="HH1" s="307"/>
      <c r="HI1" s="307"/>
      <c r="HJ1" s="308"/>
    </row>
    <row r="2" spans="1:218" s="5" customFormat="1" ht="58.5" thickBot="1" x14ac:dyDescent="0.4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299</v>
      </c>
      <c r="F2" s="6" t="s">
        <v>298</v>
      </c>
      <c r="G2" s="6" t="s">
        <v>303</v>
      </c>
      <c r="H2" s="69" t="s">
        <v>300</v>
      </c>
      <c r="I2" s="72" t="s">
        <v>299</v>
      </c>
      <c r="J2" s="73" t="s">
        <v>298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303</v>
      </c>
      <c r="R2" s="7" t="s">
        <v>301</v>
      </c>
      <c r="S2" s="7" t="s">
        <v>309</v>
      </c>
      <c r="T2" s="7" t="s">
        <v>304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299</v>
      </c>
      <c r="AE2" s="73" t="s">
        <v>298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303</v>
      </c>
      <c r="AM2" s="7" t="s">
        <v>301</v>
      </c>
      <c r="AN2" s="7" t="s">
        <v>309</v>
      </c>
      <c r="AO2" s="7" t="s">
        <v>304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299</v>
      </c>
      <c r="AZ2" s="73" t="s">
        <v>298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303</v>
      </c>
      <c r="BH2" s="7" t="s">
        <v>301</v>
      </c>
      <c r="BI2" s="7" t="s">
        <v>309</v>
      </c>
      <c r="BJ2" s="7" t="s">
        <v>304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299</v>
      </c>
      <c r="BU2" s="73" t="s">
        <v>298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303</v>
      </c>
      <c r="CC2" s="7" t="s">
        <v>301</v>
      </c>
      <c r="CD2" s="7" t="s">
        <v>309</v>
      </c>
      <c r="CE2" s="7" t="s">
        <v>304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299</v>
      </c>
      <c r="CP2" s="73" t="s">
        <v>298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303</v>
      </c>
      <c r="CX2" s="7" t="s">
        <v>301</v>
      </c>
      <c r="CY2" s="7" t="s">
        <v>309</v>
      </c>
      <c r="CZ2" s="7" t="s">
        <v>304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299</v>
      </c>
      <c r="DK2" s="73" t="s">
        <v>298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303</v>
      </c>
      <c r="DS2" s="7" t="s">
        <v>301</v>
      </c>
      <c r="DT2" s="7" t="s">
        <v>309</v>
      </c>
      <c r="DU2" s="7" t="s">
        <v>304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299</v>
      </c>
      <c r="EF2" s="73" t="s">
        <v>298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303</v>
      </c>
      <c r="EN2" s="7" t="s">
        <v>301</v>
      </c>
      <c r="EO2" s="7" t="s">
        <v>309</v>
      </c>
      <c r="EP2" s="7" t="s">
        <v>304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299</v>
      </c>
      <c r="FA2" s="73" t="s">
        <v>298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303</v>
      </c>
      <c r="FI2" s="7" t="s">
        <v>301</v>
      </c>
      <c r="FJ2" s="7" t="s">
        <v>309</v>
      </c>
      <c r="FK2" s="7" t="s">
        <v>304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299</v>
      </c>
      <c r="FV2" s="73" t="s">
        <v>298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303</v>
      </c>
      <c r="GD2" s="7" t="s">
        <v>301</v>
      </c>
      <c r="GE2" s="7" t="s">
        <v>309</v>
      </c>
      <c r="GF2" s="7" t="s">
        <v>304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299</v>
      </c>
      <c r="GQ2" s="73" t="s">
        <v>298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303</v>
      </c>
      <c r="GY2" s="7" t="s">
        <v>301</v>
      </c>
      <c r="GZ2" s="7" t="s">
        <v>309</v>
      </c>
      <c r="HA2" s="7" t="s">
        <v>304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projet'!$B$9,Paramètres!$A$1:$I$88,3,0)*VLOOKUP('Données projet'!$B$9,Paramètres!$A$1:$I$88,5,0)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367.03450586441784</v>
      </c>
      <c r="T3" s="62">
        <f>IF('Données projet'!E9&gt;30,$R$33-$H$33,LOOKUP('Données projet'!$E$9,$A$3:$A$203,R3:R203)-LOOKUP('Données projet'!$E$9,$A$3:$A$203,$H$3:$H$203))</f>
        <v>413.14502442862897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projet'!$B$9,Paramètres!$A$1:$I$88,7,0))</f>
        <v>0</v>
      </c>
      <c r="X3" s="17">
        <f>IF(ISNA(VLOOKUP(A3,'Données projet'!$A$35:$I$55,6,0)),0%,VLOOKUP(A3,'Données projet'!$A$35:$I$55,6,0)*VLOOKUP('Données projet'!$B$9,Paramètres!$A$1:$I$88,7,0))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projet'!$B$10,Paramètres!$A$1:$I$88,3,0)*VLOOKUP('Données projet'!$B$10,Paramètres!$A$1:$I$88,5,0)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projet'!$B$10,Paramètres!$A$1:$I$88,7,0))</f>
        <v>0</v>
      </c>
      <c r="AS3" s="17">
        <f>IF(ISNA(VLOOKUP(A3,'Données projet'!$A$61:$I$81,6,0)),0%,VLOOKUP(A3,'Données projet'!$A$61:$I$81,6,0)*VLOOKUP('Données projet'!$B$10,Paramètres!$A$1:$I$88,7,0))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projet'!$B$11,Paramètres!$A$1:$I$88,3,0)*VLOOKUP('Données projet'!$B$11,Paramètres!$A$1:$I$88,5,0)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projet'!$B$11,Paramètres!$A$1:$I$88,7,0))</f>
        <v>0</v>
      </c>
      <c r="BN3" s="17">
        <f>IF(ISNA(VLOOKUP(A3,'Données projet'!$A$87:$I$107,6,0)),0%,VLOOKUP(A3,'Données projet'!$A$87:$I$107,6,0)*VLOOKUP('Données projet'!$B$11,Paramètres!$A$1:$I$88,7,0))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projet'!$B$12,Paramètres!$A$1:$I$88,3,0)*VLOOKUP('Données projet'!$B$12,Paramètres!$A$1:$I$88,5,0)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projet'!$B$12,Paramètres!$A$1:$I$88,7,0))</f>
        <v>0</v>
      </c>
      <c r="CI3" s="17">
        <f>IF(ISNA(VLOOKUP(A3,'Données projet'!$A$113:$I$133,6,0)),0%,VLOOKUP(A3,'Données projet'!$A$113:$I$133,6,0)*VLOOKUP('Données projet'!$B$12,Paramètres!$A$1:$I$88,7,0))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projet'!$B$13,Paramètres!$A$1:$I$88,3,0)*VLOOKUP('Données projet'!$B$13,Paramètres!$A$1:$I$88,5,0)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projet'!$B$13,Paramètres!$A$1:$I$88,7,0))</f>
        <v>0</v>
      </c>
      <c r="DD3" s="17">
        <f>IF(ISNA(VLOOKUP(A3,'Données projet'!$A$139:$I$159,6,0)),0%,VLOOKUP(A3,'Données projet'!$A$139:$I$159,6,0)*VLOOKUP('Données projet'!$B$13,Paramètres!$A$1:$I$88,7,0))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projet'!$B$14,Paramètres!$A$1:$I$88,3,0)*VLOOKUP('Données projet'!$B$14,Paramètres!$A$1:$I$88,5,0)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projet'!$B$14,Paramètres!$A$1:$I$88,7,0))</f>
        <v>0</v>
      </c>
      <c r="DY3" s="17">
        <f>IF(ISNA(VLOOKUP(A3,'Données projet'!$A$165:$I$185,6,0)),0%,VLOOKUP(A3,'Données projet'!$A$165:$I$185,6,0)*VLOOKUP('Données projet'!$B$14,Paramètres!$A$1:$I$88,7,0))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projet'!$B$15,Paramètres!$A$1:$I$88,3,0)*VLOOKUP('Données projet'!$B$15,Paramètres!$A$1:$I$88,5,0)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projet'!$B$15,Paramètres!$A$1:$I$88,7,0))</f>
        <v>0</v>
      </c>
      <c r="ET3" s="17">
        <f>IF(ISNA(VLOOKUP(A3,'Données projet'!$A$191:$I$211,6,0)),0%,VLOOKUP(A3,'Données projet'!$A$191:$I$211,6,0)*VLOOKUP('Données projet'!$B$15,Paramètres!$A$1:$I$88,7,0))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projet'!$B$16,Paramètres!$A$1:$I$88,3,0)*VLOOKUP('Données projet'!$B$16,Paramètres!$A$1:$I$88,5,0)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projet'!$B$16,Paramètres!$A$1:$I$88,7,0))</f>
        <v>0</v>
      </c>
      <c r="FO3" s="17">
        <f>IF(ISNA(VLOOKUP(A3,'Données projet'!$A$217:$I$237,6,0)),0%,VLOOKUP(A3,'Données projet'!$A$217:$I$237,6,0)*VLOOKUP('Données projet'!$B$16,Paramètres!$A$1:$I$88,7,0))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projet'!$B$17,Paramètres!$A$1:$I$88,3,0)*VLOOKUP('Données projet'!$B$17,Paramètres!$A$1:$I$88,5,0)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projet'!$B$17,Paramètres!$A$1:$I$88,7,0))</f>
        <v>0</v>
      </c>
      <c r="GJ3" s="17">
        <f>IF(ISNA(VLOOKUP(A3,'Données projet'!$A$243:$I$263,6,0)),0%,VLOOKUP(A3,'Données projet'!$A$243:$I$263,6,0)*VLOOKUP('Données projet'!$B$17,Paramètres!$A$1:$I$88,7,0))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projet'!$B$18,Paramètres!$A$1:$I$88,3,0)*VLOOKUP('Données projet'!$B$18,Paramètres!$A$1:$I$88,5,0)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projet'!$B$18,Paramètres!$A$1:$I$88,7,0))</f>
        <v>0</v>
      </c>
      <c r="HE3" s="17">
        <f>IF(ISNA(VLOOKUP(A3,'Données projet'!$A$269:$I$289,6,0)),0%,VLOOKUP(A3,'Données projet'!$A$269:$I$289,6,0)*VLOOKUP('Données projet'!$B$18,Paramètres!$A$1:$I$88,7,0))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10.119999999999999</v>
      </c>
      <c r="N4" s="14">
        <f>IF('Données projet'!$A$36&gt;35,N3+M4-V3,IF(A4&lt;'Données projet'!$A$36,$K$205^A4,IF(A4='Données projet'!$A$36,'Données projet'!$B$36,N3+M4-V3)))</f>
        <v>1.2477420770391454</v>
      </c>
      <c r="O4" s="14">
        <f>N4*VLOOKUP('Données projet'!$B$9,Paramètres!$A$1:$I$88,3,0)*VLOOKUP('Données projet'!$B$9,Paramètres!$A$1:$I$88,5,0)</f>
        <v>0.69748782106488227</v>
      </c>
      <c r="P4" s="14">
        <f>EXP(-1.0587+0.8836*LN(O4)+0.284)</f>
        <v>0.33519770001131083</v>
      </c>
      <c r="Q4" s="22">
        <f t="shared" ref="Q4:Q34" si="2">(O4+P4)*0.475*44/12</f>
        <v>1.798593949207703</v>
      </c>
      <c r="R4" s="62">
        <f t="shared" si="0"/>
        <v>169.61102790213155</v>
      </c>
      <c r="S4" s="62">
        <f ca="1">AVERAGE(OFFSET($R$3,0,0,'Données projet'!$E$9+1,1))-AVERAGE(OFFSET($H$3,0,0,'Données projet'!$E$9+1,1))</f>
        <v>367.03450586441784</v>
      </c>
      <c r="T4" s="62">
        <f>$T$3</f>
        <v>413.14502442862897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projet'!$B$9,Paramètres!$A$1:$I$88,7,0))</f>
        <v>0</v>
      </c>
      <c r="X4" s="17">
        <f>IF(ISNA(VLOOKUP(A4,'Données projet'!$A$35:$I$55,6,0)),0%,VLOOKUP(A4,'Données projet'!$A$35:$I$55,6,0)*VLOOKUP('Données projet'!$B$9,Paramètres!$A$1:$I$88,7,0))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projet'!$B$9,Paramètres!$A$1:$I$88,3,0)*0.475*44/12</f>
        <v>0</v>
      </c>
      <c r="AA4" s="23">
        <f>EXP(-LN(2)/25)*AA3+(1-EXP(-LN(2)/25))/(LN(2)/25)*Calculateur!V4*Calculateur!X4*VLOOKUP('Données projet'!$B$9,Paramètres!$A$1:$I$88,3,0)*0.475*44/12</f>
        <v>0</v>
      </c>
      <c r="AB4" s="23">
        <f>EXP(-LN(2)/2)*AB3+(1-EXP(-LN(2)/2))/(LN(2)/2)*V4*Y4*VLOOKUP('Données projet'!$B$9,Paramètres!$A$1:$I$88,3,0)*0.475*44/12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projet'!$B$10,Paramètres!$A$1:$I$88,3,0)*VLOOKUP('Données projet'!$B$10,Paramètres!$A$1:$I$88,5,0)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projet'!$B$10,Paramètres!$A$1:$I$88,7,0))</f>
        <v>0</v>
      </c>
      <c r="AS4" s="17">
        <f>IF(ISNA(VLOOKUP(A4,'Données projet'!$A$61:$I$81,6,0)),0%,VLOOKUP(A4,'Données projet'!$A$61:$I$81,6,0)*VLOOKUP('Données projet'!$B$10,Paramètres!$A$1:$I$88,7,0))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projet'!$B$10,Paramètres!$A$1:$I$88,3,0)*0.475*44/12</f>
        <v>#N/A</v>
      </c>
      <c r="AV4" s="23" t="e">
        <f>EXP(-LN(2)/25)*AV3+(1-EXP(-LN(2)/25))/(LN(2)/25)*Calculateur!AQ4*Calculateur!AS4*VLOOKUP('Données projet'!$B$10,Paramètres!$A$1:$I$88,3,0)*0.475*44/12</f>
        <v>#N/A</v>
      </c>
      <c r="AW4" s="23" t="e">
        <f>EXP(-LN(2)/2)*AW3+(1-EXP(-LN(2)/2))/(LN(2)/2)*AQ4*AT4*VLOOKUP('Données projet'!$B$10,Paramètres!$A$1:$I$88,3,0)*0.475*44/12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projet'!$B$11,Paramètres!$A$1:$I$88,3,0)*VLOOKUP('Données projet'!$B$11,Paramètres!$A$1:$I$88,5,0)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projet'!$B$11,Paramètres!$A$1:$I$88,7,0))</f>
        <v>0</v>
      </c>
      <c r="BN4" s="17">
        <f>IF(ISNA(VLOOKUP(A4,'Données projet'!$A$87:$I$107,6,0)),0%,VLOOKUP(A4,'Données projet'!$A$87:$I$107,6,0)*VLOOKUP('Données projet'!$B$11,Paramètres!$A$1:$I$88,7,0))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projet'!$B$11,Paramètres!$A$1:$I$88,3,0)*0.475*44/12</f>
        <v>#N/A</v>
      </c>
      <c r="BQ4" s="23" t="e">
        <f>EXP(-LN(2)/25)*BQ3+(1-EXP(-LN(2)/25))/(LN(2)/25)*Calculateur!BL4*Calculateur!BN4*VLOOKUP('Données projet'!$B$11,Paramètres!$A$1:$I$88,3,0)*0.475*44/12</f>
        <v>#N/A</v>
      </c>
      <c r="BR4" s="23" t="e">
        <f>EXP(-LN(2)/2)*BR3+(1-EXP(-LN(2)/2))/(LN(2)/2)*BL4*BO4*VLOOKUP('Données projet'!$B$11,Paramètres!$A$1:$I$88,3,0)*0.475*44/12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projet'!$B$12,Paramètres!$A$1:$I$88,3,0)*VLOOKUP('Données projet'!$B$12,Paramètres!$A$1:$I$88,5,0)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projet'!$B$12,Paramètres!$A$1:$I$88,7,0))</f>
        <v>0</v>
      </c>
      <c r="CI4" s="17">
        <f>IF(ISNA(VLOOKUP(A4,'Données projet'!$A$113:$I$133,6,0)),0%,VLOOKUP(A4,'Données projet'!$A$113:$I$133,6,0)*VLOOKUP('Données projet'!$B$12,Paramètres!$A$1:$I$88,7,0))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projet'!$B$12,Paramètres!$A$1:$I$88,3,0)*0.475*44/12</f>
        <v>#N/A</v>
      </c>
      <c r="CL4" s="23" t="e">
        <f>EXP(-LN(2)/25)*CL3+(1-EXP(-LN(2)/25))/(LN(2)/25)*Calculateur!CG4*Calculateur!CI4*VLOOKUP('Données projet'!$B$12,Paramètres!$A$1:$I$88,3,0)*0.475*44/12</f>
        <v>#N/A</v>
      </c>
      <c r="CM4" s="23" t="e">
        <f>EXP(-LN(2)/2)*CM3+(1-EXP(-LN(2)/2))/(LN(2)/2)*CG4*CJ4*VLOOKUP('Données projet'!$B$12,Paramètres!$A$1:$I$88,3,0)*0.475*44/12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projet'!$B$13,Paramètres!$A$1:$I$88,3,0)*VLOOKUP('Données projet'!$B$13,Paramètres!$A$1:$I$88,5,0)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projet'!$B$13,Paramètres!$A$1:$I$88,7,0))</f>
        <v>0</v>
      </c>
      <c r="DD4" s="17">
        <f>IF(ISNA(VLOOKUP(A4,'Données projet'!$A$139:$I$159,6,0)),0%,VLOOKUP(A4,'Données projet'!$A$139:$I$159,6,0)*VLOOKUP('Données projet'!$B$13,Paramètres!$A$1:$I$88,7,0))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projet'!$B$13,Paramètres!$A$1:$I$88,3,0)*0.475*44/12</f>
        <v>#N/A</v>
      </c>
      <c r="DG4" s="23" t="e">
        <f>EXP(-LN(2)/25)*DG3+(1-EXP(-LN(2)/25))/(LN(2)/25)*Calculateur!DB4*Calculateur!DD4*VLOOKUP('Données projet'!$B$13,Paramètres!$A$1:$I$88,3,0)*0.475*44/12</f>
        <v>#N/A</v>
      </c>
      <c r="DH4" s="23" t="e">
        <f>EXP(-LN(2)/2)*DH3+(1-EXP(-LN(2)/2))/(LN(2)/2)*DB4*DE4*VLOOKUP('Données projet'!$B$13,Paramètres!$A$1:$I$88,3,0)*0.475*44/12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projet'!$B$14,Paramètres!$A$1:$I$88,3,0)*VLOOKUP('Données projet'!$B$14,Paramètres!$A$1:$I$88,5,0)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projet'!$B$14,Paramètres!$A$1:$I$88,7,0))</f>
        <v>0</v>
      </c>
      <c r="DY4" s="17">
        <f>IF(ISNA(VLOOKUP(A4,'Données projet'!$A$165:$I$185,6,0)),0%,VLOOKUP(A4,'Données projet'!$A$165:$I$185,6,0)*VLOOKUP('Données projet'!$B$14,Paramètres!$A$1:$I$88,7,0))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projet'!$B$14,Paramètres!$A$1:$I$88,3,0)*0.475*44/12</f>
        <v>#N/A</v>
      </c>
      <c r="EB4" s="23" t="e">
        <f>EXP(-LN(2)/25)*EB3+(1-EXP(-LN(2)/25))/(LN(2)/25)*Calculateur!DW4*Calculateur!DY4*VLOOKUP('Données projet'!$B$14,Paramètres!$A$1:$I$88,3,0)*0.475*44/12</f>
        <v>#N/A</v>
      </c>
      <c r="EC4" s="23" t="e">
        <f>EXP(-LN(2)/2)*EC3+(1-EXP(-LN(2)/2))/(LN(2)/2)*DW4*DZ4*VLOOKUP('Données projet'!$B$14,Paramètres!$A$1:$I$88,3,0)*0.475*44/12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projet'!$B$15,Paramètres!$A$1:$I$88,3,0)*VLOOKUP('Données projet'!$B$15,Paramètres!$A$1:$I$88,5,0)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projet'!$B$15,Paramètres!$A$1:$I$88,7,0))</f>
        <v>0</v>
      </c>
      <c r="ET4" s="17">
        <f>IF(ISNA(VLOOKUP(A4,'Données projet'!$A$191:$I$211,6,0)),0%,VLOOKUP(A4,'Données projet'!$A$191:$I$211,6,0)*VLOOKUP('Données projet'!$B$15,Paramètres!$A$1:$I$88,7,0))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projet'!$B$15,Paramètres!$A$1:$I$88,3,0)*0.475*44/12</f>
        <v>#N/A</v>
      </c>
      <c r="EW4" s="23" t="e">
        <f>EXP(-LN(2)/25)*EW3+(1-EXP(-LN(2)/25))/(LN(2)/25)*Calculateur!ER4*Calculateur!ET4*VLOOKUP('Données projet'!$B$15,Paramètres!$A$1:$I$88,3,0)*0.475*44/12</f>
        <v>#N/A</v>
      </c>
      <c r="EX4" s="23" t="e">
        <f>EXP(-LN(2)/2)*EX3+(1-EXP(-LN(2)/2))/(LN(2)/2)*ER4*EU4*VLOOKUP('Données projet'!$B$15,Paramètres!$A$1:$I$88,3,0)*0.475*44/12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projet'!$B$16,Paramètres!$A$1:$I$88,3,0)*VLOOKUP('Données projet'!$B$16,Paramètres!$A$1:$I$88,5,0)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projet'!$B$16,Paramètres!$A$1:$I$88,7,0))</f>
        <v>0</v>
      </c>
      <c r="FO4" s="17">
        <f>IF(ISNA(VLOOKUP(A4,'Données projet'!$A$217:$I$237,6,0)),0%,VLOOKUP(A4,'Données projet'!$A$217:$I$237,6,0)*VLOOKUP('Données projet'!$B$16,Paramètres!$A$1:$I$88,7,0))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projet'!$B$16,Paramètres!$A$1:$I$88,3,0)*0.475*44/12</f>
        <v>#N/A</v>
      </c>
      <c r="FR4" s="23" t="e">
        <f>EXP(-LN(2)/25)*FR3+(1-EXP(-LN(2)/25))/(LN(2)/25)*Calculateur!FM4*Calculateur!FO4*VLOOKUP('Données projet'!$B$16,Paramètres!$A$1:$I$88,3,0)*0.475*44/12</f>
        <v>#N/A</v>
      </c>
      <c r="FS4" s="23" t="e">
        <f>EXP(-LN(2)/2)*FS3+(1-EXP(-LN(2)/2))/(LN(2)/2)*FM4*FP4*VLOOKUP('Données projet'!$B$16,Paramètres!$A$1:$I$88,3,0)*0.475*44/12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projet'!$B$17,Paramètres!$A$1:$I$88,3,0)*VLOOKUP('Données projet'!$B$17,Paramètres!$A$1:$I$88,5,0)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projet'!$B$17,Paramètres!$A$1:$I$88,7,0))</f>
        <v>0</v>
      </c>
      <c r="GJ4" s="17">
        <f>IF(ISNA(VLOOKUP(A4,'Données projet'!$A$243:$I$263,6,0)),0%,VLOOKUP(A4,'Données projet'!$A$243:$I$263,6,0)*VLOOKUP('Données projet'!$B$17,Paramètres!$A$1:$I$88,7,0))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projet'!$B$17,Paramètres!$A$1:$I$88,3,0)*0.475*44/12</f>
        <v>#N/A</v>
      </c>
      <c r="GM4" s="23" t="e">
        <f>EXP(-LN(2)/25)*GM3+(1-EXP(-LN(2)/25))/(LN(2)/25)*Calculateur!GH4*Calculateur!GJ4*VLOOKUP('Données projet'!$B$17,Paramètres!$A$1:$I$88,3,0)*0.475*44/12</f>
        <v>#N/A</v>
      </c>
      <c r="GN4" s="23" t="e">
        <f>EXP(-LN(2)/2)*GN3+(1-EXP(-LN(2)/2))/(LN(2)/2)*GH4*GK4*VLOOKUP('Données projet'!$B$17,Paramètres!$A$1:$I$88,3,0)*0.475*44/12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projet'!$B$18,Paramètres!$A$1:$I$88,3,0)*VLOOKUP('Données projet'!$B$18,Paramètres!$A$1:$I$88,5,0)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projet'!$B$18,Paramètres!$A$1:$I$88,7,0))</f>
        <v>0</v>
      </c>
      <c r="HE4" s="17">
        <f>IF(ISNA(VLOOKUP(A4,'Données projet'!$A$269:$I$289,6,0)),0%,VLOOKUP(A4,'Données projet'!$A$269:$I$289,6,0)*VLOOKUP('Données projet'!$B$18,Paramètres!$A$1:$I$88,7,0))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projet'!$B$18,Paramètres!$A$1:$I$88,3,0)*0.475*44/12</f>
        <v>#N/A</v>
      </c>
      <c r="HH4" s="23" t="e">
        <f>EXP(-LN(2)/25)*HH3+(1-EXP(-LN(2)/25))/(LN(2)/25)*Calculateur!HC4*Calculateur!HE4*VLOOKUP('Données projet'!$B$18,Paramètres!$A$1:$I$88,3,0)*0.475*44/12</f>
        <v>#N/A</v>
      </c>
      <c r="HI4" s="23" t="e">
        <f>EXP(-LN(2)/2)*HI3+(1-EXP(-LN(2)/2))/(LN(2)/2)*HC4*HF4*VLOOKUP('Données projet'!$B$18,Paramètres!$A$1:$I$88,3,0)*0.475*44/12</f>
        <v>#N/A</v>
      </c>
      <c r="HJ4" s="24" t="e">
        <f t="shared" ref="HJ4:HJ67" si="30">SUM(HG4:HI4)</f>
        <v>#N/A</v>
      </c>
    </row>
    <row r="5" spans="1:218" s="5" customFormat="1" x14ac:dyDescent="0.3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10.119999999999999</v>
      </c>
      <c r="N5" s="14">
        <f>IF('Données projet'!$A$36&gt;35,N4+M5-V4,IF(A5&lt;'Données projet'!$A$36,$K$205^A5,IF(A5='Données projet'!$A$36,'Données projet'!$B$36,N4+M5-V4)))</f>
        <v>1.5568602908139606</v>
      </c>
      <c r="O5" s="14">
        <f>N5*VLOOKUP('Données projet'!$B$9,Paramètres!$A$1:$I$88,3,0)*VLOOKUP('Données projet'!$B$9,Paramètres!$A$1:$I$88,5,0)</f>
        <v>0.8702849025650039</v>
      </c>
      <c r="P5" s="14">
        <f t="shared" ref="P5:P68" si="33">EXP(-1.0587+0.8836*LN(O5)+0.284)</f>
        <v>0.40760257758249518</v>
      </c>
      <c r="Q5" s="22">
        <f t="shared" si="2"/>
        <v>2.2256540279235608</v>
      </c>
      <c r="R5" s="62">
        <f t="shared" si="0"/>
        <v>172.82293531542439</v>
      </c>
      <c r="S5" s="62">
        <f ca="1">AVERAGE(OFFSET($R$3,0,0,'Données projet'!$E$9+1,1))-AVERAGE(OFFSET($H$3,0,0,'Données projet'!$E$9+1,1))</f>
        <v>367.03450586441784</v>
      </c>
      <c r="T5" s="62">
        <f t="shared" ref="T5:T68" si="34">$T$3</f>
        <v>413.14502442862897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projet'!$B$9,Paramètres!$A$1:$I$88,7,0))</f>
        <v>0</v>
      </c>
      <c r="X5" s="17">
        <f>IF(ISNA(VLOOKUP(A5,'Données projet'!$A$35:$I$55,6,0)),0%,VLOOKUP(A5,'Données projet'!$A$35:$I$55,6,0)*VLOOKUP('Données projet'!$B$9,Paramètres!$A$1:$I$88,7,0))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projet'!$B$9,Paramètres!$A$1:$I$88,3,0)*0.475*44/12</f>
        <v>0</v>
      </c>
      <c r="AA5" s="23">
        <f>EXP(-LN(2)/25)*AA4+(1-EXP(-LN(2)/25))/(LN(2)/25)*Calculateur!V5*Calculateur!X5*VLOOKUP('Données projet'!$B$9,Paramètres!$A$1:$I$88,3,0)*0.475*44/12</f>
        <v>0</v>
      </c>
      <c r="AB5" s="23">
        <f>EXP(-LN(2)/2)*AB4+(1-EXP(-LN(2)/2))/(LN(2)/2)*V5*Y5*VLOOKUP('Données projet'!$B$9,Paramètres!$A$1:$I$88,3,0)*0.475*44/12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projet'!$B$10,Paramètres!$A$1:$I$88,3,0)*VLOOKUP('Données projet'!$B$10,Paramètres!$A$1:$I$88,5,0)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projet'!$B$10,Paramètres!$A$1:$I$88,7,0))</f>
        <v>0</v>
      </c>
      <c r="AS5" s="17">
        <f>IF(ISNA(VLOOKUP(A5,'Données projet'!$A$61:$I$81,6,0)),0%,VLOOKUP(A5,'Données projet'!$A$61:$I$81,6,0)*VLOOKUP('Données projet'!$B$10,Paramètres!$A$1:$I$88,7,0))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projet'!$B$10,Paramètres!$A$1:$I$88,3,0)*0.475*44/12</f>
        <v>#N/A</v>
      </c>
      <c r="AV5" s="23" t="e">
        <f>EXP(-LN(2)/25)*AV4+(1-EXP(-LN(2)/25))/(LN(2)/25)*Calculateur!AQ5*Calculateur!AS5*VLOOKUP('Données projet'!$B$10,Paramètres!$A$1:$I$88,3,0)*0.475*44/12</f>
        <v>#N/A</v>
      </c>
      <c r="AW5" s="23" t="e">
        <f>EXP(-LN(2)/2)*AW4+(1-EXP(-LN(2)/2))/(LN(2)/2)*AQ5*AT5*VLOOKUP('Données projet'!$B$10,Paramètres!$A$1:$I$88,3,0)*0.475*44/12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projet'!$B$11,Paramètres!$A$1:$I$88,3,0)*VLOOKUP('Données projet'!$B$11,Paramètres!$A$1:$I$88,5,0)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projet'!$B$11,Paramètres!$A$1:$I$88,7,0))</f>
        <v>0</v>
      </c>
      <c r="BN5" s="17">
        <f>IF(ISNA(VLOOKUP(A5,'Données projet'!$A$87:$I$107,6,0)),0%,VLOOKUP(A5,'Données projet'!$A$87:$I$107,6,0)*VLOOKUP('Données projet'!$B$11,Paramètres!$A$1:$I$88,7,0))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projet'!$B$11,Paramètres!$A$1:$I$88,3,0)*0.475*44/12</f>
        <v>#N/A</v>
      </c>
      <c r="BQ5" s="23" t="e">
        <f>EXP(-LN(2)/25)*BQ4+(1-EXP(-LN(2)/25))/(LN(2)/25)*Calculateur!BL5*Calculateur!BN5*VLOOKUP('Données projet'!$B$11,Paramètres!$A$1:$I$88,3,0)*0.475*44/12</f>
        <v>#N/A</v>
      </c>
      <c r="BR5" s="23" t="e">
        <f>EXP(-LN(2)/2)*BR4+(1-EXP(-LN(2)/2))/(LN(2)/2)*BL5*BO5*VLOOKUP('Données projet'!$B$11,Paramètres!$A$1:$I$88,3,0)*0.475*44/12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projet'!$B$12,Paramètres!$A$1:$I$88,3,0)*VLOOKUP('Données projet'!$B$12,Paramètres!$A$1:$I$88,5,0)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projet'!$B$12,Paramètres!$A$1:$I$88,7,0))</f>
        <v>0</v>
      </c>
      <c r="CI5" s="17">
        <f>IF(ISNA(VLOOKUP(A5,'Données projet'!$A$113:$I$133,6,0)),0%,VLOOKUP(A5,'Données projet'!$A$113:$I$133,6,0)*VLOOKUP('Données projet'!$B$12,Paramètres!$A$1:$I$88,7,0))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projet'!$B$12,Paramètres!$A$1:$I$88,3,0)*0.475*44/12</f>
        <v>#N/A</v>
      </c>
      <c r="CL5" s="23" t="e">
        <f>EXP(-LN(2)/25)*CL4+(1-EXP(-LN(2)/25))/(LN(2)/25)*Calculateur!CG5*Calculateur!CI5*VLOOKUP('Données projet'!$B$12,Paramètres!$A$1:$I$88,3,0)*0.475*44/12</f>
        <v>#N/A</v>
      </c>
      <c r="CM5" s="23" t="e">
        <f>EXP(-LN(2)/2)*CM4+(1-EXP(-LN(2)/2))/(LN(2)/2)*CG5*CJ5*VLOOKUP('Données projet'!$B$12,Paramètres!$A$1:$I$88,3,0)*0.475*44/12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projet'!$B$13,Paramètres!$A$1:$I$88,3,0)*VLOOKUP('Données projet'!$B$13,Paramètres!$A$1:$I$88,5,0)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projet'!$B$13,Paramètres!$A$1:$I$88,7,0))</f>
        <v>0</v>
      </c>
      <c r="DD5" s="17">
        <f>IF(ISNA(VLOOKUP(A5,'Données projet'!$A$139:$I$159,6,0)),0%,VLOOKUP(A5,'Données projet'!$A$139:$I$159,6,0)*VLOOKUP('Données projet'!$B$13,Paramètres!$A$1:$I$88,7,0))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projet'!$B$13,Paramètres!$A$1:$I$88,3,0)*0.475*44/12</f>
        <v>#N/A</v>
      </c>
      <c r="DG5" s="23" t="e">
        <f>EXP(-LN(2)/25)*DG4+(1-EXP(-LN(2)/25))/(LN(2)/25)*Calculateur!DB5*Calculateur!DD5*VLOOKUP('Données projet'!$B$13,Paramètres!$A$1:$I$88,3,0)*0.475*44/12</f>
        <v>#N/A</v>
      </c>
      <c r="DH5" s="23" t="e">
        <f>EXP(-LN(2)/2)*DH4+(1-EXP(-LN(2)/2))/(LN(2)/2)*DB5*DE5*VLOOKUP('Données projet'!$B$13,Paramètres!$A$1:$I$88,3,0)*0.475*44/12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projet'!$B$14,Paramètres!$A$1:$I$88,3,0)*VLOOKUP('Données projet'!$B$14,Paramètres!$A$1:$I$88,5,0)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projet'!$B$14,Paramètres!$A$1:$I$88,7,0))</f>
        <v>0</v>
      </c>
      <c r="DY5" s="17">
        <f>IF(ISNA(VLOOKUP(A5,'Données projet'!$A$165:$I$185,6,0)),0%,VLOOKUP(A5,'Données projet'!$A$165:$I$185,6,0)*VLOOKUP('Données projet'!$B$14,Paramètres!$A$1:$I$88,7,0))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projet'!$B$14,Paramètres!$A$1:$I$88,3,0)*0.475*44/12</f>
        <v>#N/A</v>
      </c>
      <c r="EB5" s="23" t="e">
        <f>EXP(-LN(2)/25)*EB4+(1-EXP(-LN(2)/25))/(LN(2)/25)*Calculateur!DW5*Calculateur!DY5*VLOOKUP('Données projet'!$B$14,Paramètres!$A$1:$I$88,3,0)*0.475*44/12</f>
        <v>#N/A</v>
      </c>
      <c r="EC5" s="23" t="e">
        <f>EXP(-LN(2)/2)*EC4+(1-EXP(-LN(2)/2))/(LN(2)/2)*DW5*DZ5*VLOOKUP('Données projet'!$B$14,Paramètres!$A$1:$I$88,3,0)*0.475*44/12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projet'!$B$15,Paramètres!$A$1:$I$88,3,0)*VLOOKUP('Données projet'!$B$15,Paramètres!$A$1:$I$88,5,0)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projet'!$B$15,Paramètres!$A$1:$I$88,7,0))</f>
        <v>0</v>
      </c>
      <c r="ET5" s="17">
        <f>IF(ISNA(VLOOKUP(A5,'Données projet'!$A$191:$I$211,6,0)),0%,VLOOKUP(A5,'Données projet'!$A$191:$I$211,6,0)*VLOOKUP('Données projet'!$B$15,Paramètres!$A$1:$I$88,7,0))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projet'!$B$15,Paramètres!$A$1:$I$88,3,0)*0.475*44/12</f>
        <v>#N/A</v>
      </c>
      <c r="EW5" s="23" t="e">
        <f>EXP(-LN(2)/25)*EW4+(1-EXP(-LN(2)/25))/(LN(2)/25)*Calculateur!ER5*Calculateur!ET5*VLOOKUP('Données projet'!$B$15,Paramètres!$A$1:$I$88,3,0)*0.475*44/12</f>
        <v>#N/A</v>
      </c>
      <c r="EX5" s="23" t="e">
        <f>EXP(-LN(2)/2)*EX4+(1-EXP(-LN(2)/2))/(LN(2)/2)*ER5*EU5*VLOOKUP('Données projet'!$B$15,Paramètres!$A$1:$I$88,3,0)*0.475*44/12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projet'!$B$16,Paramètres!$A$1:$I$88,3,0)*VLOOKUP('Données projet'!$B$16,Paramètres!$A$1:$I$88,5,0)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projet'!$B$16,Paramètres!$A$1:$I$88,7,0))</f>
        <v>0</v>
      </c>
      <c r="FO5" s="17">
        <f>IF(ISNA(VLOOKUP(A5,'Données projet'!$A$217:$I$237,6,0)),0%,VLOOKUP(A5,'Données projet'!$A$217:$I$237,6,0)*VLOOKUP('Données projet'!$B$16,Paramètres!$A$1:$I$88,7,0))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projet'!$B$16,Paramètres!$A$1:$I$88,3,0)*0.475*44/12</f>
        <v>#N/A</v>
      </c>
      <c r="FR5" s="23" t="e">
        <f>EXP(-LN(2)/25)*FR4+(1-EXP(-LN(2)/25))/(LN(2)/25)*Calculateur!FM5*Calculateur!FO5*VLOOKUP('Données projet'!$B$16,Paramètres!$A$1:$I$88,3,0)*0.475*44/12</f>
        <v>#N/A</v>
      </c>
      <c r="FS5" s="23" t="e">
        <f>EXP(-LN(2)/2)*FS4+(1-EXP(-LN(2)/2))/(LN(2)/2)*FM5*FP5*VLOOKUP('Données projet'!$B$16,Paramètres!$A$1:$I$88,3,0)*0.475*44/12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projet'!$B$17,Paramètres!$A$1:$I$88,3,0)*VLOOKUP('Données projet'!$B$17,Paramètres!$A$1:$I$88,5,0)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projet'!$B$17,Paramètres!$A$1:$I$88,7,0))</f>
        <v>0</v>
      </c>
      <c r="GJ5" s="17">
        <f>IF(ISNA(VLOOKUP(A5,'Données projet'!$A$243:$I$263,6,0)),0%,VLOOKUP(A5,'Données projet'!$A$243:$I$263,6,0)*VLOOKUP('Données projet'!$B$17,Paramètres!$A$1:$I$88,7,0))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projet'!$B$17,Paramètres!$A$1:$I$88,3,0)*0.475*44/12</f>
        <v>#N/A</v>
      </c>
      <c r="GM5" s="23" t="e">
        <f>EXP(-LN(2)/25)*GM4+(1-EXP(-LN(2)/25))/(LN(2)/25)*Calculateur!GH5*Calculateur!GJ5*VLOOKUP('Données projet'!$B$17,Paramètres!$A$1:$I$88,3,0)*0.475*44/12</f>
        <v>#N/A</v>
      </c>
      <c r="GN5" s="23" t="e">
        <f>EXP(-LN(2)/2)*GN4+(1-EXP(-LN(2)/2))/(LN(2)/2)*GH5*GK5*VLOOKUP('Données projet'!$B$17,Paramètres!$A$1:$I$88,3,0)*0.475*44/12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projet'!$B$18,Paramètres!$A$1:$I$88,3,0)*VLOOKUP('Données projet'!$B$18,Paramètres!$A$1:$I$88,5,0)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projet'!$B$18,Paramètres!$A$1:$I$88,7,0))</f>
        <v>0</v>
      </c>
      <c r="HE5" s="17">
        <f>IF(ISNA(VLOOKUP(A5,'Données projet'!$A$269:$I$289,6,0)),0%,VLOOKUP(A5,'Données projet'!$A$269:$I$289,6,0)*VLOOKUP('Données projet'!$B$18,Paramètres!$A$1:$I$88,7,0))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projet'!$B$18,Paramètres!$A$1:$I$88,3,0)*0.475*44/12</f>
        <v>#N/A</v>
      </c>
      <c r="HH5" s="23" t="e">
        <f>EXP(-LN(2)/25)*HH4+(1-EXP(-LN(2)/25))/(LN(2)/25)*Calculateur!HC5*Calculateur!HE5*VLOOKUP('Données projet'!$B$18,Paramètres!$A$1:$I$88,3,0)*0.475*44/12</f>
        <v>#N/A</v>
      </c>
      <c r="HI5" s="23" t="e">
        <f>EXP(-LN(2)/2)*HI4+(1-EXP(-LN(2)/2))/(LN(2)/2)*HC5*HF5*VLOOKUP('Données projet'!$B$18,Paramètres!$A$1:$I$88,3,0)*0.475*44/12</f>
        <v>#N/A</v>
      </c>
      <c r="HJ5" s="24" t="e">
        <f t="shared" si="30"/>
        <v>#N/A</v>
      </c>
    </row>
    <row r="6" spans="1:218" s="5" customFormat="1" x14ac:dyDescent="0.3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10.119999999999999</v>
      </c>
      <c r="N6" s="14">
        <f>IF('Données projet'!$A$36&gt;35,N5+M6-V5,IF(A6&lt;'Données projet'!$A$36,$K$205^A6,IF(A6='Données projet'!$A$36,'Données projet'!$B$36,N5+M6-V5)))</f>
        <v>1.9425600929199791</v>
      </c>
      <c r="O6" s="14">
        <f>N6*VLOOKUP('Données projet'!$B$9,Paramètres!$A$1:$I$88,3,0)*VLOOKUP('Données projet'!$B$9,Paramètres!$A$1:$I$88,5,0)</f>
        <v>1.0858910919422684</v>
      </c>
      <c r="P6" s="14">
        <f t="shared" si="33"/>
        <v>0.49564737838680845</v>
      </c>
      <c r="Q6" s="22">
        <f t="shared" si="2"/>
        <v>2.7545128358231423</v>
      </c>
      <c r="R6" s="62">
        <f t="shared" si="0"/>
        <v>176.10953340570802</v>
      </c>
      <c r="S6" s="62">
        <f ca="1">AVERAGE(OFFSET($R$3,0,0,'Données projet'!$E$9+1,1))-AVERAGE(OFFSET($H$3,0,0,'Données projet'!$E$9+1,1))</f>
        <v>367.03450586441784</v>
      </c>
      <c r="T6" s="62">
        <f t="shared" si="34"/>
        <v>413.14502442862897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projet'!$B$9,Paramètres!$A$1:$I$88,7,0))</f>
        <v>0</v>
      </c>
      <c r="X6" s="17">
        <f>IF(ISNA(VLOOKUP(A6,'Données projet'!$A$35:$I$55,6,0)),0%,VLOOKUP(A6,'Données projet'!$A$35:$I$55,6,0)*VLOOKUP('Données projet'!$B$9,Paramètres!$A$1:$I$88,7,0))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projet'!$B$9,Paramètres!$A$1:$I$88,3,0)*0.475*44/12</f>
        <v>0</v>
      </c>
      <c r="AA6" s="23">
        <f>EXP(-LN(2)/25)*AA5+(1-EXP(-LN(2)/25))/(LN(2)/25)*Calculateur!V6*Calculateur!X6*VLOOKUP('Données projet'!$B$9,Paramètres!$A$1:$I$88,3,0)*0.475*44/12</f>
        <v>0</v>
      </c>
      <c r="AB6" s="23">
        <f>EXP(-LN(2)/2)*AB5+(1-EXP(-LN(2)/2))/(LN(2)/2)*V6*Y6*VLOOKUP('Données projet'!$B$9,Paramètres!$A$1:$I$88,3,0)*0.475*44/12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projet'!$B$10,Paramètres!$A$1:$I$88,3,0)*VLOOKUP('Données projet'!$B$10,Paramètres!$A$1:$I$88,5,0)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projet'!$B$10,Paramètres!$A$1:$I$88,7,0))</f>
        <v>0</v>
      </c>
      <c r="AS6" s="17">
        <f>IF(ISNA(VLOOKUP(A6,'Données projet'!$A$61:$I$81,6,0)),0%,VLOOKUP(A6,'Données projet'!$A$61:$I$81,6,0)*VLOOKUP('Données projet'!$B$10,Paramètres!$A$1:$I$88,7,0))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projet'!$B$10,Paramètres!$A$1:$I$88,3,0)*0.475*44/12</f>
        <v>#N/A</v>
      </c>
      <c r="AV6" s="23" t="e">
        <f>EXP(-LN(2)/25)*AV5+(1-EXP(-LN(2)/25))/(LN(2)/25)*Calculateur!AQ6*Calculateur!AS6*VLOOKUP('Données projet'!$B$10,Paramètres!$A$1:$I$88,3,0)*0.475*44/12</f>
        <v>#N/A</v>
      </c>
      <c r="AW6" s="23" t="e">
        <f>EXP(-LN(2)/2)*AW5+(1-EXP(-LN(2)/2))/(LN(2)/2)*AQ6*AT6*VLOOKUP('Données projet'!$B$10,Paramètres!$A$1:$I$88,3,0)*0.475*44/12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projet'!$B$11,Paramètres!$A$1:$I$88,3,0)*VLOOKUP('Données projet'!$B$11,Paramètres!$A$1:$I$88,5,0)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projet'!$B$11,Paramètres!$A$1:$I$88,7,0))</f>
        <v>0</v>
      </c>
      <c r="BN6" s="17">
        <f>IF(ISNA(VLOOKUP(A6,'Données projet'!$A$87:$I$107,6,0)),0%,VLOOKUP(A6,'Données projet'!$A$87:$I$107,6,0)*VLOOKUP('Données projet'!$B$11,Paramètres!$A$1:$I$88,7,0))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projet'!$B$11,Paramètres!$A$1:$I$88,3,0)*0.475*44/12</f>
        <v>#N/A</v>
      </c>
      <c r="BQ6" s="23" t="e">
        <f>EXP(-LN(2)/25)*BQ5+(1-EXP(-LN(2)/25))/(LN(2)/25)*Calculateur!BL6*Calculateur!BN6*VLOOKUP('Données projet'!$B$11,Paramètres!$A$1:$I$88,3,0)*0.475*44/12</f>
        <v>#N/A</v>
      </c>
      <c r="BR6" s="23" t="e">
        <f>EXP(-LN(2)/2)*BR5+(1-EXP(-LN(2)/2))/(LN(2)/2)*BL6*BO6*VLOOKUP('Données projet'!$B$11,Paramètres!$A$1:$I$88,3,0)*0.475*44/12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projet'!$B$12,Paramètres!$A$1:$I$88,3,0)*VLOOKUP('Données projet'!$B$12,Paramètres!$A$1:$I$88,5,0)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projet'!$B$12,Paramètres!$A$1:$I$88,7,0))</f>
        <v>0</v>
      </c>
      <c r="CI6" s="17">
        <f>IF(ISNA(VLOOKUP(A6,'Données projet'!$A$113:$I$133,6,0)),0%,VLOOKUP(A6,'Données projet'!$A$113:$I$133,6,0)*VLOOKUP('Données projet'!$B$12,Paramètres!$A$1:$I$88,7,0))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projet'!$B$12,Paramètres!$A$1:$I$88,3,0)*0.475*44/12</f>
        <v>#N/A</v>
      </c>
      <c r="CL6" s="23" t="e">
        <f>EXP(-LN(2)/25)*CL5+(1-EXP(-LN(2)/25))/(LN(2)/25)*Calculateur!CG6*Calculateur!CI6*VLOOKUP('Données projet'!$B$12,Paramètres!$A$1:$I$88,3,0)*0.475*44/12</f>
        <v>#N/A</v>
      </c>
      <c r="CM6" s="23" t="e">
        <f>EXP(-LN(2)/2)*CM5+(1-EXP(-LN(2)/2))/(LN(2)/2)*CG6*CJ6*VLOOKUP('Données projet'!$B$12,Paramètres!$A$1:$I$88,3,0)*0.475*44/12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projet'!$B$13,Paramètres!$A$1:$I$88,3,0)*VLOOKUP('Données projet'!$B$13,Paramètres!$A$1:$I$88,5,0)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projet'!$B$13,Paramètres!$A$1:$I$88,7,0))</f>
        <v>0</v>
      </c>
      <c r="DD6" s="17">
        <f>IF(ISNA(VLOOKUP(A6,'Données projet'!$A$139:$I$159,6,0)),0%,VLOOKUP(A6,'Données projet'!$A$139:$I$159,6,0)*VLOOKUP('Données projet'!$B$13,Paramètres!$A$1:$I$88,7,0))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projet'!$B$13,Paramètres!$A$1:$I$88,3,0)*0.475*44/12</f>
        <v>#N/A</v>
      </c>
      <c r="DG6" s="23" t="e">
        <f>EXP(-LN(2)/25)*DG5+(1-EXP(-LN(2)/25))/(LN(2)/25)*Calculateur!DB6*Calculateur!DD6*VLOOKUP('Données projet'!$B$13,Paramètres!$A$1:$I$88,3,0)*0.475*44/12</f>
        <v>#N/A</v>
      </c>
      <c r="DH6" s="23" t="e">
        <f>EXP(-LN(2)/2)*DH5+(1-EXP(-LN(2)/2))/(LN(2)/2)*DB6*DE6*VLOOKUP('Données projet'!$B$13,Paramètres!$A$1:$I$88,3,0)*0.475*44/12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projet'!$B$14,Paramètres!$A$1:$I$88,3,0)*VLOOKUP('Données projet'!$B$14,Paramètres!$A$1:$I$88,5,0)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projet'!$B$14,Paramètres!$A$1:$I$88,7,0))</f>
        <v>0</v>
      </c>
      <c r="DY6" s="17">
        <f>IF(ISNA(VLOOKUP(A6,'Données projet'!$A$165:$I$185,6,0)),0%,VLOOKUP(A6,'Données projet'!$A$165:$I$185,6,0)*VLOOKUP('Données projet'!$B$14,Paramètres!$A$1:$I$88,7,0))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projet'!$B$14,Paramètres!$A$1:$I$88,3,0)*0.475*44/12</f>
        <v>#N/A</v>
      </c>
      <c r="EB6" s="23" t="e">
        <f>EXP(-LN(2)/25)*EB5+(1-EXP(-LN(2)/25))/(LN(2)/25)*Calculateur!DW6*Calculateur!DY6*VLOOKUP('Données projet'!$B$14,Paramètres!$A$1:$I$88,3,0)*0.475*44/12</f>
        <v>#N/A</v>
      </c>
      <c r="EC6" s="23" t="e">
        <f>EXP(-LN(2)/2)*EC5+(1-EXP(-LN(2)/2))/(LN(2)/2)*DW6*DZ6*VLOOKUP('Données projet'!$B$14,Paramètres!$A$1:$I$88,3,0)*0.475*44/12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projet'!$B$15,Paramètres!$A$1:$I$88,3,0)*VLOOKUP('Données projet'!$B$15,Paramètres!$A$1:$I$88,5,0)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projet'!$B$15,Paramètres!$A$1:$I$88,7,0))</f>
        <v>0</v>
      </c>
      <c r="ET6" s="17">
        <f>IF(ISNA(VLOOKUP(A6,'Données projet'!$A$191:$I$211,6,0)),0%,VLOOKUP(A6,'Données projet'!$A$191:$I$211,6,0)*VLOOKUP('Données projet'!$B$15,Paramètres!$A$1:$I$88,7,0))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projet'!$B$15,Paramètres!$A$1:$I$88,3,0)*0.475*44/12</f>
        <v>#N/A</v>
      </c>
      <c r="EW6" s="23" t="e">
        <f>EXP(-LN(2)/25)*EW5+(1-EXP(-LN(2)/25))/(LN(2)/25)*Calculateur!ER6*Calculateur!ET6*VLOOKUP('Données projet'!$B$15,Paramètres!$A$1:$I$88,3,0)*0.475*44/12</f>
        <v>#N/A</v>
      </c>
      <c r="EX6" s="23" t="e">
        <f>EXP(-LN(2)/2)*EX5+(1-EXP(-LN(2)/2))/(LN(2)/2)*ER6*EU6*VLOOKUP('Données projet'!$B$15,Paramètres!$A$1:$I$88,3,0)*0.475*44/12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projet'!$B$16,Paramètres!$A$1:$I$88,3,0)*VLOOKUP('Données projet'!$B$16,Paramètres!$A$1:$I$88,5,0)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projet'!$B$16,Paramètres!$A$1:$I$88,7,0))</f>
        <v>0</v>
      </c>
      <c r="FO6" s="17">
        <f>IF(ISNA(VLOOKUP(A6,'Données projet'!$A$217:$I$237,6,0)),0%,VLOOKUP(A6,'Données projet'!$A$217:$I$237,6,0)*VLOOKUP('Données projet'!$B$16,Paramètres!$A$1:$I$88,7,0))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projet'!$B$16,Paramètres!$A$1:$I$88,3,0)*0.475*44/12</f>
        <v>#N/A</v>
      </c>
      <c r="FR6" s="23" t="e">
        <f>EXP(-LN(2)/25)*FR5+(1-EXP(-LN(2)/25))/(LN(2)/25)*Calculateur!FM6*Calculateur!FO6*VLOOKUP('Données projet'!$B$16,Paramètres!$A$1:$I$88,3,0)*0.475*44/12</f>
        <v>#N/A</v>
      </c>
      <c r="FS6" s="23" t="e">
        <f>EXP(-LN(2)/2)*FS5+(1-EXP(-LN(2)/2))/(LN(2)/2)*FM6*FP6*VLOOKUP('Données projet'!$B$16,Paramètres!$A$1:$I$88,3,0)*0.475*44/12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projet'!$B$17,Paramètres!$A$1:$I$88,3,0)*VLOOKUP('Données projet'!$B$17,Paramètres!$A$1:$I$88,5,0)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projet'!$B$17,Paramètres!$A$1:$I$88,7,0))</f>
        <v>0</v>
      </c>
      <c r="GJ6" s="17">
        <f>IF(ISNA(VLOOKUP(A6,'Données projet'!$A$243:$I$263,6,0)),0%,VLOOKUP(A6,'Données projet'!$A$243:$I$263,6,0)*VLOOKUP('Données projet'!$B$17,Paramètres!$A$1:$I$88,7,0))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projet'!$B$17,Paramètres!$A$1:$I$88,3,0)*0.475*44/12</f>
        <v>#N/A</v>
      </c>
      <c r="GM6" s="23" t="e">
        <f>EXP(-LN(2)/25)*GM5+(1-EXP(-LN(2)/25))/(LN(2)/25)*Calculateur!GH6*Calculateur!GJ6*VLOOKUP('Données projet'!$B$17,Paramètres!$A$1:$I$88,3,0)*0.475*44/12</f>
        <v>#N/A</v>
      </c>
      <c r="GN6" s="23" t="e">
        <f>EXP(-LN(2)/2)*GN5+(1-EXP(-LN(2)/2))/(LN(2)/2)*GH6*GK6*VLOOKUP('Données projet'!$B$17,Paramètres!$A$1:$I$88,3,0)*0.475*44/12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projet'!$B$18,Paramètres!$A$1:$I$88,3,0)*VLOOKUP('Données projet'!$B$18,Paramètres!$A$1:$I$88,5,0)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projet'!$B$18,Paramètres!$A$1:$I$88,7,0))</f>
        <v>0</v>
      </c>
      <c r="HE6" s="17">
        <f>IF(ISNA(VLOOKUP(A6,'Données projet'!$A$269:$I$289,6,0)),0%,VLOOKUP(A6,'Données projet'!$A$269:$I$289,6,0)*VLOOKUP('Données projet'!$B$18,Paramètres!$A$1:$I$88,7,0))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projet'!$B$18,Paramètres!$A$1:$I$88,3,0)*0.475*44/12</f>
        <v>#N/A</v>
      </c>
      <c r="HH6" s="23" t="e">
        <f>EXP(-LN(2)/25)*HH5+(1-EXP(-LN(2)/25))/(LN(2)/25)*Calculateur!HC6*Calculateur!HE6*VLOOKUP('Données projet'!$B$18,Paramètres!$A$1:$I$88,3,0)*0.475*44/12</f>
        <v>#N/A</v>
      </c>
      <c r="HI6" s="23" t="e">
        <f>EXP(-LN(2)/2)*HI5+(1-EXP(-LN(2)/2))/(LN(2)/2)*HC6*HF6*VLOOKUP('Données projet'!$B$18,Paramètres!$A$1:$I$88,3,0)*0.475*44/12</f>
        <v>#N/A</v>
      </c>
      <c r="HJ6" s="24" t="e">
        <f t="shared" si="30"/>
        <v>#N/A</v>
      </c>
    </row>
    <row r="7" spans="1:218" s="5" customFormat="1" x14ac:dyDescent="0.3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10.119999999999999</v>
      </c>
      <c r="N7" s="14">
        <f>IF('Données projet'!$A$36&gt;35,N6+M7-V6,IF(A7&lt;'Données projet'!$A$36,$K$205^A7,IF(A7='Données projet'!$A$36,'Données projet'!$B$36,N6+M7-V6)))</f>
        <v>2.4238139651133301</v>
      </c>
      <c r="O7" s="14">
        <f>N7*VLOOKUP('Données projet'!$B$9,Paramètres!$A$1:$I$88,3,0)*VLOOKUP('Données projet'!$B$9,Paramètres!$A$1:$I$88,5,0)</f>
        <v>1.3549120064983515</v>
      </c>
      <c r="P7" s="14">
        <f t="shared" si="33"/>
        <v>0.60271042729604751</v>
      </c>
      <c r="Q7" s="22">
        <f t="shared" si="2"/>
        <v>3.4095257388585782</v>
      </c>
      <c r="R7" s="62">
        <f t="shared" si="0"/>
        <v>179.49564780303552</v>
      </c>
      <c r="S7" s="62">
        <f ca="1">AVERAGE(OFFSET($R$3,0,0,'Données projet'!$E$9+1,1))-AVERAGE(OFFSET($H$3,0,0,'Données projet'!$E$9+1,1))</f>
        <v>367.03450586441784</v>
      </c>
      <c r="T7" s="62">
        <f t="shared" si="34"/>
        <v>413.14502442862897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projet'!$B$9,Paramètres!$A$1:$I$88,7,0))</f>
        <v>0</v>
      </c>
      <c r="X7" s="17">
        <f>IF(ISNA(VLOOKUP(A7,'Données projet'!$A$35:$I$55,6,0)),0%,VLOOKUP(A7,'Données projet'!$A$35:$I$55,6,0)*VLOOKUP('Données projet'!$B$9,Paramètres!$A$1:$I$88,7,0))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projet'!$B$9,Paramètres!$A$1:$I$88,3,0)*0.475*44/12</f>
        <v>0</v>
      </c>
      <c r="AA7" s="23">
        <f>EXP(-LN(2)/25)*AA6+(1-EXP(-LN(2)/25))/(LN(2)/25)*Calculateur!V7*Calculateur!X7*VLOOKUP('Données projet'!$B$9,Paramètres!$A$1:$I$88,3,0)*0.475*44/12</f>
        <v>0</v>
      </c>
      <c r="AB7" s="23">
        <f>EXP(-LN(2)/2)*AB6+(1-EXP(-LN(2)/2))/(LN(2)/2)*V7*Y7*VLOOKUP('Données projet'!$B$9,Paramètres!$A$1:$I$88,3,0)*0.475*44/12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projet'!$B$10,Paramètres!$A$1:$I$88,3,0)*VLOOKUP('Données projet'!$B$10,Paramètres!$A$1:$I$88,5,0)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projet'!$B$10,Paramètres!$A$1:$I$88,7,0))</f>
        <v>0</v>
      </c>
      <c r="AS7" s="17">
        <f>IF(ISNA(VLOOKUP(A7,'Données projet'!$A$61:$I$81,6,0)),0%,VLOOKUP(A7,'Données projet'!$A$61:$I$81,6,0)*VLOOKUP('Données projet'!$B$10,Paramètres!$A$1:$I$88,7,0))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projet'!$B$10,Paramètres!$A$1:$I$88,3,0)*0.475*44/12</f>
        <v>#N/A</v>
      </c>
      <c r="AV7" s="23" t="e">
        <f>EXP(-LN(2)/25)*AV6+(1-EXP(-LN(2)/25))/(LN(2)/25)*Calculateur!AQ7*Calculateur!AS7*VLOOKUP('Données projet'!$B$10,Paramètres!$A$1:$I$88,3,0)*0.475*44/12</f>
        <v>#N/A</v>
      </c>
      <c r="AW7" s="23" t="e">
        <f>EXP(-LN(2)/2)*AW6+(1-EXP(-LN(2)/2))/(LN(2)/2)*AQ7*AT7*VLOOKUP('Données projet'!$B$10,Paramètres!$A$1:$I$88,3,0)*0.475*44/12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projet'!$B$11,Paramètres!$A$1:$I$88,3,0)*VLOOKUP('Données projet'!$B$11,Paramètres!$A$1:$I$88,5,0)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projet'!$B$11,Paramètres!$A$1:$I$88,7,0))</f>
        <v>0</v>
      </c>
      <c r="BN7" s="17">
        <f>IF(ISNA(VLOOKUP(A7,'Données projet'!$A$87:$I$107,6,0)),0%,VLOOKUP(A7,'Données projet'!$A$87:$I$107,6,0)*VLOOKUP('Données projet'!$B$11,Paramètres!$A$1:$I$88,7,0))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projet'!$B$11,Paramètres!$A$1:$I$88,3,0)*0.475*44/12</f>
        <v>#N/A</v>
      </c>
      <c r="BQ7" s="23" t="e">
        <f>EXP(-LN(2)/25)*BQ6+(1-EXP(-LN(2)/25))/(LN(2)/25)*Calculateur!BL7*Calculateur!BN7*VLOOKUP('Données projet'!$B$11,Paramètres!$A$1:$I$88,3,0)*0.475*44/12</f>
        <v>#N/A</v>
      </c>
      <c r="BR7" s="23" t="e">
        <f>EXP(-LN(2)/2)*BR6+(1-EXP(-LN(2)/2))/(LN(2)/2)*BL7*BO7*VLOOKUP('Données projet'!$B$11,Paramètres!$A$1:$I$88,3,0)*0.475*44/12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projet'!$B$12,Paramètres!$A$1:$I$88,3,0)*VLOOKUP('Données projet'!$B$12,Paramètres!$A$1:$I$88,5,0)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projet'!$B$12,Paramètres!$A$1:$I$88,7,0))</f>
        <v>0</v>
      </c>
      <c r="CI7" s="17">
        <f>IF(ISNA(VLOOKUP(A7,'Données projet'!$A$113:$I$133,6,0)),0%,VLOOKUP(A7,'Données projet'!$A$113:$I$133,6,0)*VLOOKUP('Données projet'!$B$12,Paramètres!$A$1:$I$88,7,0))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projet'!$B$12,Paramètres!$A$1:$I$88,3,0)*0.475*44/12</f>
        <v>#N/A</v>
      </c>
      <c r="CL7" s="23" t="e">
        <f>EXP(-LN(2)/25)*CL6+(1-EXP(-LN(2)/25))/(LN(2)/25)*Calculateur!CG7*Calculateur!CI7*VLOOKUP('Données projet'!$B$12,Paramètres!$A$1:$I$88,3,0)*0.475*44/12</f>
        <v>#N/A</v>
      </c>
      <c r="CM7" s="23" t="e">
        <f>EXP(-LN(2)/2)*CM6+(1-EXP(-LN(2)/2))/(LN(2)/2)*CG7*CJ7*VLOOKUP('Données projet'!$B$12,Paramètres!$A$1:$I$88,3,0)*0.475*44/12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projet'!$B$13,Paramètres!$A$1:$I$88,3,0)*VLOOKUP('Données projet'!$B$13,Paramètres!$A$1:$I$88,5,0)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projet'!$B$13,Paramètres!$A$1:$I$88,7,0))</f>
        <v>0</v>
      </c>
      <c r="DD7" s="17">
        <f>IF(ISNA(VLOOKUP(A7,'Données projet'!$A$139:$I$159,6,0)),0%,VLOOKUP(A7,'Données projet'!$A$139:$I$159,6,0)*VLOOKUP('Données projet'!$B$13,Paramètres!$A$1:$I$88,7,0))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projet'!$B$13,Paramètres!$A$1:$I$88,3,0)*0.475*44/12</f>
        <v>#N/A</v>
      </c>
      <c r="DG7" s="23" t="e">
        <f>EXP(-LN(2)/25)*DG6+(1-EXP(-LN(2)/25))/(LN(2)/25)*Calculateur!DB7*Calculateur!DD7*VLOOKUP('Données projet'!$B$13,Paramètres!$A$1:$I$88,3,0)*0.475*44/12</f>
        <v>#N/A</v>
      </c>
      <c r="DH7" s="23" t="e">
        <f>EXP(-LN(2)/2)*DH6+(1-EXP(-LN(2)/2))/(LN(2)/2)*DB7*DE7*VLOOKUP('Données projet'!$B$13,Paramètres!$A$1:$I$88,3,0)*0.475*44/12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projet'!$B$14,Paramètres!$A$1:$I$88,3,0)*VLOOKUP('Données projet'!$B$14,Paramètres!$A$1:$I$88,5,0)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projet'!$B$14,Paramètres!$A$1:$I$88,7,0))</f>
        <v>0</v>
      </c>
      <c r="DY7" s="17">
        <f>IF(ISNA(VLOOKUP(A7,'Données projet'!$A$165:$I$185,6,0)),0%,VLOOKUP(A7,'Données projet'!$A$165:$I$185,6,0)*VLOOKUP('Données projet'!$B$14,Paramètres!$A$1:$I$88,7,0))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projet'!$B$14,Paramètres!$A$1:$I$88,3,0)*0.475*44/12</f>
        <v>#N/A</v>
      </c>
      <c r="EB7" s="23" t="e">
        <f>EXP(-LN(2)/25)*EB6+(1-EXP(-LN(2)/25))/(LN(2)/25)*Calculateur!DW7*Calculateur!DY7*VLOOKUP('Données projet'!$B$14,Paramètres!$A$1:$I$88,3,0)*0.475*44/12</f>
        <v>#N/A</v>
      </c>
      <c r="EC7" s="23" t="e">
        <f>EXP(-LN(2)/2)*EC6+(1-EXP(-LN(2)/2))/(LN(2)/2)*DW7*DZ7*VLOOKUP('Données projet'!$B$14,Paramètres!$A$1:$I$88,3,0)*0.475*44/12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projet'!$B$15,Paramètres!$A$1:$I$88,3,0)*VLOOKUP('Données projet'!$B$15,Paramètres!$A$1:$I$88,5,0)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projet'!$B$15,Paramètres!$A$1:$I$88,7,0))</f>
        <v>0</v>
      </c>
      <c r="ET7" s="17">
        <f>IF(ISNA(VLOOKUP(A7,'Données projet'!$A$191:$I$211,6,0)),0%,VLOOKUP(A7,'Données projet'!$A$191:$I$211,6,0)*VLOOKUP('Données projet'!$B$15,Paramètres!$A$1:$I$88,7,0))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projet'!$B$15,Paramètres!$A$1:$I$88,3,0)*0.475*44/12</f>
        <v>#N/A</v>
      </c>
      <c r="EW7" s="23" t="e">
        <f>EXP(-LN(2)/25)*EW6+(1-EXP(-LN(2)/25))/(LN(2)/25)*Calculateur!ER7*Calculateur!ET7*VLOOKUP('Données projet'!$B$15,Paramètres!$A$1:$I$88,3,0)*0.475*44/12</f>
        <v>#N/A</v>
      </c>
      <c r="EX7" s="23" t="e">
        <f>EXP(-LN(2)/2)*EX6+(1-EXP(-LN(2)/2))/(LN(2)/2)*ER7*EU7*VLOOKUP('Données projet'!$B$15,Paramètres!$A$1:$I$88,3,0)*0.475*44/12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projet'!$B$16,Paramètres!$A$1:$I$88,3,0)*VLOOKUP('Données projet'!$B$16,Paramètres!$A$1:$I$88,5,0)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projet'!$B$16,Paramètres!$A$1:$I$88,7,0))</f>
        <v>0</v>
      </c>
      <c r="FO7" s="17">
        <f>IF(ISNA(VLOOKUP(A7,'Données projet'!$A$217:$I$237,6,0)),0%,VLOOKUP(A7,'Données projet'!$A$217:$I$237,6,0)*VLOOKUP('Données projet'!$B$16,Paramètres!$A$1:$I$88,7,0))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projet'!$B$16,Paramètres!$A$1:$I$88,3,0)*0.475*44/12</f>
        <v>#N/A</v>
      </c>
      <c r="FR7" s="23" t="e">
        <f>EXP(-LN(2)/25)*FR6+(1-EXP(-LN(2)/25))/(LN(2)/25)*Calculateur!FM7*Calculateur!FO7*VLOOKUP('Données projet'!$B$16,Paramètres!$A$1:$I$88,3,0)*0.475*44/12</f>
        <v>#N/A</v>
      </c>
      <c r="FS7" s="23" t="e">
        <f>EXP(-LN(2)/2)*FS6+(1-EXP(-LN(2)/2))/(LN(2)/2)*FM7*FP7*VLOOKUP('Données projet'!$B$16,Paramètres!$A$1:$I$88,3,0)*0.475*44/12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projet'!$B$17,Paramètres!$A$1:$I$88,3,0)*VLOOKUP('Données projet'!$B$17,Paramètres!$A$1:$I$88,5,0)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projet'!$B$17,Paramètres!$A$1:$I$88,7,0))</f>
        <v>0</v>
      </c>
      <c r="GJ7" s="17">
        <f>IF(ISNA(VLOOKUP(A7,'Données projet'!$A$243:$I$263,6,0)),0%,VLOOKUP(A7,'Données projet'!$A$243:$I$263,6,0)*VLOOKUP('Données projet'!$B$17,Paramètres!$A$1:$I$88,7,0))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projet'!$B$17,Paramètres!$A$1:$I$88,3,0)*0.475*44/12</f>
        <v>#N/A</v>
      </c>
      <c r="GM7" s="23" t="e">
        <f>EXP(-LN(2)/25)*GM6+(1-EXP(-LN(2)/25))/(LN(2)/25)*Calculateur!GH7*Calculateur!GJ7*VLOOKUP('Données projet'!$B$17,Paramètres!$A$1:$I$88,3,0)*0.475*44/12</f>
        <v>#N/A</v>
      </c>
      <c r="GN7" s="23" t="e">
        <f>EXP(-LN(2)/2)*GN6+(1-EXP(-LN(2)/2))/(LN(2)/2)*GH7*GK7*VLOOKUP('Données projet'!$B$17,Paramètres!$A$1:$I$88,3,0)*0.475*44/12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projet'!$B$18,Paramètres!$A$1:$I$88,3,0)*VLOOKUP('Données projet'!$B$18,Paramètres!$A$1:$I$88,5,0)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projet'!$B$18,Paramètres!$A$1:$I$88,7,0))</f>
        <v>0</v>
      </c>
      <c r="HE7" s="17">
        <f>IF(ISNA(VLOOKUP(A7,'Données projet'!$A$269:$I$289,6,0)),0%,VLOOKUP(A7,'Données projet'!$A$269:$I$289,6,0)*VLOOKUP('Données projet'!$B$18,Paramètres!$A$1:$I$88,7,0))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projet'!$B$18,Paramètres!$A$1:$I$88,3,0)*0.475*44/12</f>
        <v>#N/A</v>
      </c>
      <c r="HH7" s="23" t="e">
        <f>EXP(-LN(2)/25)*HH6+(1-EXP(-LN(2)/25))/(LN(2)/25)*Calculateur!HC7*Calculateur!HE7*VLOOKUP('Données projet'!$B$18,Paramètres!$A$1:$I$88,3,0)*0.475*44/12</f>
        <v>#N/A</v>
      </c>
      <c r="HI7" s="23" t="e">
        <f>EXP(-LN(2)/2)*HI6+(1-EXP(-LN(2)/2))/(LN(2)/2)*HC7*HF7*VLOOKUP('Données projet'!$B$18,Paramètres!$A$1:$I$88,3,0)*0.475*44/12</f>
        <v>#N/A</v>
      </c>
      <c r="HJ7" s="24" t="e">
        <f t="shared" si="30"/>
        <v>#N/A</v>
      </c>
    </row>
    <row r="8" spans="1:218" s="5" customFormat="1" x14ac:dyDescent="0.3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10.119999999999999</v>
      </c>
      <c r="N8" s="14">
        <f>IF('Données projet'!$A$36&gt;35,N7+M8-V7,IF(A8&lt;'Données projet'!$A$36,$K$205^A8,IF(A8='Données projet'!$A$36,'Données projet'!$B$36,N7+M8-V7)))</f>
        <v>3.0242946711869934</v>
      </c>
      <c r="O8" s="14">
        <f>N8*VLOOKUP('Données projet'!$B$9,Paramètres!$A$1:$I$88,3,0)*VLOOKUP('Données projet'!$B$9,Paramètres!$A$1:$I$88,5,0)</f>
        <v>1.6905807211935295</v>
      </c>
      <c r="P8" s="14">
        <f t="shared" si="33"/>
        <v>0.7328997892689193</v>
      </c>
      <c r="Q8" s="22">
        <f t="shared" si="2"/>
        <v>4.2208952223887648</v>
      </c>
      <c r="R8" s="62">
        <f t="shared" si="0"/>
        <v>183.01194309883613</v>
      </c>
      <c r="S8" s="62">
        <f ca="1">AVERAGE(OFFSET($R$3,0,0,'Données projet'!$E$9+1,1))-AVERAGE(OFFSET($H$3,0,0,'Données projet'!$E$9+1,1))</f>
        <v>367.03450586441784</v>
      </c>
      <c r="T8" s="62">
        <f t="shared" si="34"/>
        <v>413.14502442862897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projet'!$B$9,Paramètres!$A$1:$I$88,7,0))</f>
        <v>0</v>
      </c>
      <c r="X8" s="17">
        <f>IF(ISNA(VLOOKUP(A8,'Données projet'!$A$35:$I$55,6,0)),0%,VLOOKUP(A8,'Données projet'!$A$35:$I$55,6,0)*VLOOKUP('Données projet'!$B$9,Paramètres!$A$1:$I$88,7,0))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projet'!$B$9,Paramètres!$A$1:$I$88,3,0)*0.475*44/12</f>
        <v>0</v>
      </c>
      <c r="AA8" s="23">
        <f>EXP(-LN(2)/25)*AA7+(1-EXP(-LN(2)/25))/(LN(2)/25)*Calculateur!V8*Calculateur!X8*VLOOKUP('Données projet'!$B$9,Paramètres!$A$1:$I$88,3,0)*0.475*44/12</f>
        <v>0</v>
      </c>
      <c r="AB8" s="23">
        <f>EXP(-LN(2)/2)*AB7+(1-EXP(-LN(2)/2))/(LN(2)/2)*V8*Y8*VLOOKUP('Données projet'!$B$9,Paramètres!$A$1:$I$88,3,0)*0.475*44/12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projet'!$B$10,Paramètres!$A$1:$I$88,3,0)*VLOOKUP('Données projet'!$B$10,Paramètres!$A$1:$I$88,5,0)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projet'!$B$10,Paramètres!$A$1:$I$88,7,0))</f>
        <v>0</v>
      </c>
      <c r="AS8" s="17">
        <f>IF(ISNA(VLOOKUP(A8,'Données projet'!$A$61:$I$81,6,0)),0%,VLOOKUP(A8,'Données projet'!$A$61:$I$81,6,0)*VLOOKUP('Données projet'!$B$10,Paramètres!$A$1:$I$88,7,0))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projet'!$B$10,Paramètres!$A$1:$I$88,3,0)*0.475*44/12</f>
        <v>#N/A</v>
      </c>
      <c r="AV8" s="23" t="e">
        <f>EXP(-LN(2)/25)*AV7+(1-EXP(-LN(2)/25))/(LN(2)/25)*Calculateur!AQ8*Calculateur!AS8*VLOOKUP('Données projet'!$B$10,Paramètres!$A$1:$I$88,3,0)*0.475*44/12</f>
        <v>#N/A</v>
      </c>
      <c r="AW8" s="23" t="e">
        <f>EXP(-LN(2)/2)*AW7+(1-EXP(-LN(2)/2))/(LN(2)/2)*AQ8*AT8*VLOOKUP('Données projet'!$B$10,Paramètres!$A$1:$I$88,3,0)*0.475*44/12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projet'!$B$11,Paramètres!$A$1:$I$88,3,0)*VLOOKUP('Données projet'!$B$11,Paramètres!$A$1:$I$88,5,0)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projet'!$B$11,Paramètres!$A$1:$I$88,7,0))</f>
        <v>0</v>
      </c>
      <c r="BN8" s="17">
        <f>IF(ISNA(VLOOKUP(A8,'Données projet'!$A$87:$I$107,6,0)),0%,VLOOKUP(A8,'Données projet'!$A$87:$I$107,6,0)*VLOOKUP('Données projet'!$B$11,Paramètres!$A$1:$I$88,7,0))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projet'!$B$11,Paramètres!$A$1:$I$88,3,0)*0.475*44/12</f>
        <v>#N/A</v>
      </c>
      <c r="BQ8" s="23" t="e">
        <f>EXP(-LN(2)/25)*BQ7+(1-EXP(-LN(2)/25))/(LN(2)/25)*Calculateur!BL8*Calculateur!BN8*VLOOKUP('Données projet'!$B$11,Paramètres!$A$1:$I$88,3,0)*0.475*44/12</f>
        <v>#N/A</v>
      </c>
      <c r="BR8" s="23" t="e">
        <f>EXP(-LN(2)/2)*BR7+(1-EXP(-LN(2)/2))/(LN(2)/2)*BL8*BO8*VLOOKUP('Données projet'!$B$11,Paramètres!$A$1:$I$88,3,0)*0.475*44/12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projet'!$B$12,Paramètres!$A$1:$I$88,3,0)*VLOOKUP('Données projet'!$B$12,Paramètres!$A$1:$I$88,5,0)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projet'!$B$12,Paramètres!$A$1:$I$88,7,0))</f>
        <v>0</v>
      </c>
      <c r="CI8" s="17">
        <f>IF(ISNA(VLOOKUP(A8,'Données projet'!$A$113:$I$133,6,0)),0%,VLOOKUP(A8,'Données projet'!$A$113:$I$133,6,0)*VLOOKUP('Données projet'!$B$12,Paramètres!$A$1:$I$88,7,0))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projet'!$B$12,Paramètres!$A$1:$I$88,3,0)*0.475*44/12</f>
        <v>#N/A</v>
      </c>
      <c r="CL8" s="23" t="e">
        <f>EXP(-LN(2)/25)*CL7+(1-EXP(-LN(2)/25))/(LN(2)/25)*Calculateur!CG8*Calculateur!CI8*VLOOKUP('Données projet'!$B$12,Paramètres!$A$1:$I$88,3,0)*0.475*44/12</f>
        <v>#N/A</v>
      </c>
      <c r="CM8" s="23" t="e">
        <f>EXP(-LN(2)/2)*CM7+(1-EXP(-LN(2)/2))/(LN(2)/2)*CG8*CJ8*VLOOKUP('Données projet'!$B$12,Paramètres!$A$1:$I$88,3,0)*0.475*44/12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projet'!$B$13,Paramètres!$A$1:$I$88,3,0)*VLOOKUP('Données projet'!$B$13,Paramètres!$A$1:$I$88,5,0)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projet'!$B$13,Paramètres!$A$1:$I$88,7,0))</f>
        <v>0</v>
      </c>
      <c r="DD8" s="17">
        <f>IF(ISNA(VLOOKUP(A8,'Données projet'!$A$139:$I$159,6,0)),0%,VLOOKUP(A8,'Données projet'!$A$139:$I$159,6,0)*VLOOKUP('Données projet'!$B$13,Paramètres!$A$1:$I$88,7,0))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projet'!$B$13,Paramètres!$A$1:$I$88,3,0)*0.475*44/12</f>
        <v>#N/A</v>
      </c>
      <c r="DG8" s="23" t="e">
        <f>EXP(-LN(2)/25)*DG7+(1-EXP(-LN(2)/25))/(LN(2)/25)*Calculateur!DB8*Calculateur!DD8*VLOOKUP('Données projet'!$B$13,Paramètres!$A$1:$I$88,3,0)*0.475*44/12</f>
        <v>#N/A</v>
      </c>
      <c r="DH8" s="23" t="e">
        <f>EXP(-LN(2)/2)*DH7+(1-EXP(-LN(2)/2))/(LN(2)/2)*DB8*DE8*VLOOKUP('Données projet'!$B$13,Paramètres!$A$1:$I$88,3,0)*0.475*44/12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projet'!$B$14,Paramètres!$A$1:$I$88,3,0)*VLOOKUP('Données projet'!$B$14,Paramètres!$A$1:$I$88,5,0)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projet'!$B$14,Paramètres!$A$1:$I$88,7,0))</f>
        <v>0</v>
      </c>
      <c r="DY8" s="17">
        <f>IF(ISNA(VLOOKUP(A8,'Données projet'!$A$165:$I$185,6,0)),0%,VLOOKUP(A8,'Données projet'!$A$165:$I$185,6,0)*VLOOKUP('Données projet'!$B$14,Paramètres!$A$1:$I$88,7,0))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projet'!$B$14,Paramètres!$A$1:$I$88,3,0)*0.475*44/12</f>
        <v>#N/A</v>
      </c>
      <c r="EB8" s="23" t="e">
        <f>EXP(-LN(2)/25)*EB7+(1-EXP(-LN(2)/25))/(LN(2)/25)*Calculateur!DW8*Calculateur!DY8*VLOOKUP('Données projet'!$B$14,Paramètres!$A$1:$I$88,3,0)*0.475*44/12</f>
        <v>#N/A</v>
      </c>
      <c r="EC8" s="23" t="e">
        <f>EXP(-LN(2)/2)*EC7+(1-EXP(-LN(2)/2))/(LN(2)/2)*DW8*DZ8*VLOOKUP('Données projet'!$B$14,Paramètres!$A$1:$I$88,3,0)*0.475*44/12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projet'!$B$15,Paramètres!$A$1:$I$88,3,0)*VLOOKUP('Données projet'!$B$15,Paramètres!$A$1:$I$88,5,0)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projet'!$B$15,Paramètres!$A$1:$I$88,7,0))</f>
        <v>0</v>
      </c>
      <c r="ET8" s="17">
        <f>IF(ISNA(VLOOKUP(A8,'Données projet'!$A$191:$I$211,6,0)),0%,VLOOKUP(A8,'Données projet'!$A$191:$I$211,6,0)*VLOOKUP('Données projet'!$B$15,Paramètres!$A$1:$I$88,7,0))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projet'!$B$15,Paramètres!$A$1:$I$88,3,0)*0.475*44/12</f>
        <v>#N/A</v>
      </c>
      <c r="EW8" s="23" t="e">
        <f>EXP(-LN(2)/25)*EW7+(1-EXP(-LN(2)/25))/(LN(2)/25)*Calculateur!ER8*Calculateur!ET8*VLOOKUP('Données projet'!$B$15,Paramètres!$A$1:$I$88,3,0)*0.475*44/12</f>
        <v>#N/A</v>
      </c>
      <c r="EX8" s="23" t="e">
        <f>EXP(-LN(2)/2)*EX7+(1-EXP(-LN(2)/2))/(LN(2)/2)*ER8*EU8*VLOOKUP('Données projet'!$B$15,Paramètres!$A$1:$I$88,3,0)*0.475*44/12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projet'!$B$16,Paramètres!$A$1:$I$88,3,0)*VLOOKUP('Données projet'!$B$16,Paramètres!$A$1:$I$88,5,0)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projet'!$B$16,Paramètres!$A$1:$I$88,7,0))</f>
        <v>0</v>
      </c>
      <c r="FO8" s="17">
        <f>IF(ISNA(VLOOKUP(A8,'Données projet'!$A$217:$I$237,6,0)),0%,VLOOKUP(A8,'Données projet'!$A$217:$I$237,6,0)*VLOOKUP('Données projet'!$B$16,Paramètres!$A$1:$I$88,7,0))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projet'!$B$16,Paramètres!$A$1:$I$88,3,0)*0.475*44/12</f>
        <v>#N/A</v>
      </c>
      <c r="FR8" s="23" t="e">
        <f>EXP(-LN(2)/25)*FR7+(1-EXP(-LN(2)/25))/(LN(2)/25)*Calculateur!FM8*Calculateur!FO8*VLOOKUP('Données projet'!$B$16,Paramètres!$A$1:$I$88,3,0)*0.475*44/12</f>
        <v>#N/A</v>
      </c>
      <c r="FS8" s="23" t="e">
        <f>EXP(-LN(2)/2)*FS7+(1-EXP(-LN(2)/2))/(LN(2)/2)*FM8*FP8*VLOOKUP('Données projet'!$B$16,Paramètres!$A$1:$I$88,3,0)*0.475*44/12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projet'!$B$17,Paramètres!$A$1:$I$88,3,0)*VLOOKUP('Données projet'!$B$17,Paramètres!$A$1:$I$88,5,0)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projet'!$B$17,Paramètres!$A$1:$I$88,7,0))</f>
        <v>0</v>
      </c>
      <c r="GJ8" s="17">
        <f>IF(ISNA(VLOOKUP(A8,'Données projet'!$A$243:$I$263,6,0)),0%,VLOOKUP(A8,'Données projet'!$A$243:$I$263,6,0)*VLOOKUP('Données projet'!$B$17,Paramètres!$A$1:$I$88,7,0))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projet'!$B$17,Paramètres!$A$1:$I$88,3,0)*0.475*44/12</f>
        <v>#N/A</v>
      </c>
      <c r="GM8" s="23" t="e">
        <f>EXP(-LN(2)/25)*GM7+(1-EXP(-LN(2)/25))/(LN(2)/25)*Calculateur!GH8*Calculateur!GJ8*VLOOKUP('Données projet'!$B$17,Paramètres!$A$1:$I$88,3,0)*0.475*44/12</f>
        <v>#N/A</v>
      </c>
      <c r="GN8" s="23" t="e">
        <f>EXP(-LN(2)/2)*GN7+(1-EXP(-LN(2)/2))/(LN(2)/2)*GH8*GK8*VLOOKUP('Données projet'!$B$17,Paramètres!$A$1:$I$88,3,0)*0.475*44/12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projet'!$B$18,Paramètres!$A$1:$I$88,3,0)*VLOOKUP('Données projet'!$B$18,Paramètres!$A$1:$I$88,5,0)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projet'!$B$18,Paramètres!$A$1:$I$88,7,0))</f>
        <v>0</v>
      </c>
      <c r="HE8" s="17">
        <f>IF(ISNA(VLOOKUP(A8,'Données projet'!$A$269:$I$289,6,0)),0%,VLOOKUP(A8,'Données projet'!$A$269:$I$289,6,0)*VLOOKUP('Données projet'!$B$18,Paramètres!$A$1:$I$88,7,0))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projet'!$B$18,Paramètres!$A$1:$I$88,3,0)*0.475*44/12</f>
        <v>#N/A</v>
      </c>
      <c r="HH8" s="23" t="e">
        <f>EXP(-LN(2)/25)*HH7+(1-EXP(-LN(2)/25))/(LN(2)/25)*Calculateur!HC8*Calculateur!HE8*VLOOKUP('Données projet'!$B$18,Paramètres!$A$1:$I$88,3,0)*0.475*44/12</f>
        <v>#N/A</v>
      </c>
      <c r="HI8" s="23" t="e">
        <f>EXP(-LN(2)/2)*HI7+(1-EXP(-LN(2)/2))/(LN(2)/2)*HC8*HF8*VLOOKUP('Données projet'!$B$18,Paramètres!$A$1:$I$88,3,0)*0.475*44/12</f>
        <v>#N/A</v>
      </c>
      <c r="HJ8" s="24" t="e">
        <f t="shared" si="30"/>
        <v>#N/A</v>
      </c>
    </row>
    <row r="9" spans="1:218" s="5" customFormat="1" x14ac:dyDescent="0.3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10.119999999999999</v>
      </c>
      <c r="N9" s="14">
        <f>IF('Données projet'!$A$36&gt;35,N8+M9-V8,IF(A9&lt;'Données projet'!$A$36,$K$205^A9,IF(A9='Données projet'!$A$36,'Données projet'!$B$36,N8+M9-V8)))</f>
        <v>3.773539714605278</v>
      </c>
      <c r="O9" s="14">
        <f>N9*VLOOKUP('Données projet'!$B$9,Paramètres!$A$1:$I$88,3,0)*VLOOKUP('Données projet'!$B$9,Paramètres!$A$1:$I$88,5,0)</f>
        <v>2.1094087004643503</v>
      </c>
      <c r="P9" s="14">
        <f t="shared" si="33"/>
        <v>0.89121089794350827</v>
      </c>
      <c r="Q9" s="22">
        <f t="shared" si="2"/>
        <v>5.2260791338936876</v>
      </c>
      <c r="R9" s="62">
        <f t="shared" si="0"/>
        <v>186.69633123015265</v>
      </c>
      <c r="S9" s="62">
        <f ca="1">AVERAGE(OFFSET($R$3,0,0,'Données projet'!$E$9+1,1))-AVERAGE(OFFSET($H$3,0,0,'Données projet'!$E$9+1,1))</f>
        <v>367.03450586441784</v>
      </c>
      <c r="T9" s="62">
        <f t="shared" si="34"/>
        <v>413.14502442862897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projet'!$B$9,Paramètres!$A$1:$I$88,7,0))</f>
        <v>0</v>
      </c>
      <c r="X9" s="17">
        <f>IF(ISNA(VLOOKUP(A9,'Données projet'!$A$35:$I$55,6,0)),0%,VLOOKUP(A9,'Données projet'!$A$35:$I$55,6,0)*VLOOKUP('Données projet'!$B$9,Paramètres!$A$1:$I$88,7,0))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projet'!$B$9,Paramètres!$A$1:$I$88,3,0)*0.475*44/12</f>
        <v>0</v>
      </c>
      <c r="AA9" s="23">
        <f>EXP(-LN(2)/25)*AA8+(1-EXP(-LN(2)/25))/(LN(2)/25)*Calculateur!V9*Calculateur!X9*VLOOKUP('Données projet'!$B$9,Paramètres!$A$1:$I$88,3,0)*0.475*44/12</f>
        <v>0</v>
      </c>
      <c r="AB9" s="23">
        <f>EXP(-LN(2)/2)*AB8+(1-EXP(-LN(2)/2))/(LN(2)/2)*V9*Y9*VLOOKUP('Données projet'!$B$9,Paramètres!$A$1:$I$88,3,0)*0.475*44/12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projet'!$B$10,Paramètres!$A$1:$I$88,3,0)*VLOOKUP('Données projet'!$B$10,Paramètres!$A$1:$I$88,5,0)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projet'!$B$10,Paramètres!$A$1:$I$88,7,0))</f>
        <v>0</v>
      </c>
      <c r="AS9" s="17">
        <f>IF(ISNA(VLOOKUP(A9,'Données projet'!$A$61:$I$81,6,0)),0%,VLOOKUP(A9,'Données projet'!$A$61:$I$81,6,0)*VLOOKUP('Données projet'!$B$10,Paramètres!$A$1:$I$88,7,0))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projet'!$B$10,Paramètres!$A$1:$I$88,3,0)*0.475*44/12</f>
        <v>#N/A</v>
      </c>
      <c r="AV9" s="23" t="e">
        <f>EXP(-LN(2)/25)*AV8+(1-EXP(-LN(2)/25))/(LN(2)/25)*Calculateur!AQ9*Calculateur!AS9*VLOOKUP('Données projet'!$B$10,Paramètres!$A$1:$I$88,3,0)*0.475*44/12</f>
        <v>#N/A</v>
      </c>
      <c r="AW9" s="23" t="e">
        <f>EXP(-LN(2)/2)*AW8+(1-EXP(-LN(2)/2))/(LN(2)/2)*AQ9*AT9*VLOOKUP('Données projet'!$B$10,Paramètres!$A$1:$I$88,3,0)*0.475*44/12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projet'!$B$11,Paramètres!$A$1:$I$88,3,0)*VLOOKUP('Données projet'!$B$11,Paramètres!$A$1:$I$88,5,0)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projet'!$B$11,Paramètres!$A$1:$I$88,7,0))</f>
        <v>0</v>
      </c>
      <c r="BN9" s="17">
        <f>IF(ISNA(VLOOKUP(A9,'Données projet'!$A$87:$I$107,6,0)),0%,VLOOKUP(A9,'Données projet'!$A$87:$I$107,6,0)*VLOOKUP('Données projet'!$B$11,Paramètres!$A$1:$I$88,7,0))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projet'!$B$11,Paramètres!$A$1:$I$88,3,0)*0.475*44/12</f>
        <v>#N/A</v>
      </c>
      <c r="BQ9" s="23" t="e">
        <f>EXP(-LN(2)/25)*BQ8+(1-EXP(-LN(2)/25))/(LN(2)/25)*Calculateur!BL9*Calculateur!BN9*VLOOKUP('Données projet'!$B$11,Paramètres!$A$1:$I$88,3,0)*0.475*44/12</f>
        <v>#N/A</v>
      </c>
      <c r="BR9" s="23" t="e">
        <f>EXP(-LN(2)/2)*BR8+(1-EXP(-LN(2)/2))/(LN(2)/2)*BL9*BO9*VLOOKUP('Données projet'!$B$11,Paramètres!$A$1:$I$88,3,0)*0.475*44/12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projet'!$B$12,Paramètres!$A$1:$I$88,3,0)*VLOOKUP('Données projet'!$B$12,Paramètres!$A$1:$I$88,5,0)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projet'!$B$12,Paramètres!$A$1:$I$88,7,0))</f>
        <v>0</v>
      </c>
      <c r="CI9" s="17">
        <f>IF(ISNA(VLOOKUP(A9,'Données projet'!$A$113:$I$133,6,0)),0%,VLOOKUP(A9,'Données projet'!$A$113:$I$133,6,0)*VLOOKUP('Données projet'!$B$12,Paramètres!$A$1:$I$88,7,0))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projet'!$B$12,Paramètres!$A$1:$I$88,3,0)*0.475*44/12</f>
        <v>#N/A</v>
      </c>
      <c r="CL9" s="23" t="e">
        <f>EXP(-LN(2)/25)*CL8+(1-EXP(-LN(2)/25))/(LN(2)/25)*Calculateur!CG9*Calculateur!CI9*VLOOKUP('Données projet'!$B$12,Paramètres!$A$1:$I$88,3,0)*0.475*44/12</f>
        <v>#N/A</v>
      </c>
      <c r="CM9" s="23" t="e">
        <f>EXP(-LN(2)/2)*CM8+(1-EXP(-LN(2)/2))/(LN(2)/2)*CG9*CJ9*VLOOKUP('Données projet'!$B$12,Paramètres!$A$1:$I$88,3,0)*0.475*44/12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projet'!$B$13,Paramètres!$A$1:$I$88,3,0)*VLOOKUP('Données projet'!$B$13,Paramètres!$A$1:$I$88,5,0)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projet'!$B$13,Paramètres!$A$1:$I$88,7,0))</f>
        <v>0</v>
      </c>
      <c r="DD9" s="17">
        <f>IF(ISNA(VLOOKUP(A9,'Données projet'!$A$139:$I$159,6,0)),0%,VLOOKUP(A9,'Données projet'!$A$139:$I$159,6,0)*VLOOKUP('Données projet'!$B$13,Paramètres!$A$1:$I$88,7,0))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projet'!$B$13,Paramètres!$A$1:$I$88,3,0)*0.475*44/12</f>
        <v>#N/A</v>
      </c>
      <c r="DG9" s="23" t="e">
        <f>EXP(-LN(2)/25)*DG8+(1-EXP(-LN(2)/25))/(LN(2)/25)*Calculateur!DB9*Calculateur!DD9*VLOOKUP('Données projet'!$B$13,Paramètres!$A$1:$I$88,3,0)*0.475*44/12</f>
        <v>#N/A</v>
      </c>
      <c r="DH9" s="23" t="e">
        <f>EXP(-LN(2)/2)*DH8+(1-EXP(-LN(2)/2))/(LN(2)/2)*DB9*DE9*VLOOKUP('Données projet'!$B$13,Paramètres!$A$1:$I$88,3,0)*0.475*44/12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projet'!$B$14,Paramètres!$A$1:$I$88,3,0)*VLOOKUP('Données projet'!$B$14,Paramètres!$A$1:$I$88,5,0)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projet'!$B$14,Paramètres!$A$1:$I$88,7,0))</f>
        <v>0</v>
      </c>
      <c r="DY9" s="17">
        <f>IF(ISNA(VLOOKUP(A9,'Données projet'!$A$165:$I$185,6,0)),0%,VLOOKUP(A9,'Données projet'!$A$165:$I$185,6,0)*VLOOKUP('Données projet'!$B$14,Paramètres!$A$1:$I$88,7,0))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projet'!$B$14,Paramètres!$A$1:$I$88,3,0)*0.475*44/12</f>
        <v>#N/A</v>
      </c>
      <c r="EB9" s="23" t="e">
        <f>EXP(-LN(2)/25)*EB8+(1-EXP(-LN(2)/25))/(LN(2)/25)*Calculateur!DW9*Calculateur!DY9*VLOOKUP('Données projet'!$B$14,Paramètres!$A$1:$I$88,3,0)*0.475*44/12</f>
        <v>#N/A</v>
      </c>
      <c r="EC9" s="23" t="e">
        <f>EXP(-LN(2)/2)*EC8+(1-EXP(-LN(2)/2))/(LN(2)/2)*DW9*DZ9*VLOOKUP('Données projet'!$B$14,Paramètres!$A$1:$I$88,3,0)*0.475*44/12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projet'!$B$15,Paramètres!$A$1:$I$88,3,0)*VLOOKUP('Données projet'!$B$15,Paramètres!$A$1:$I$88,5,0)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projet'!$B$15,Paramètres!$A$1:$I$88,7,0))</f>
        <v>0</v>
      </c>
      <c r="ET9" s="17">
        <f>IF(ISNA(VLOOKUP(A9,'Données projet'!$A$191:$I$211,6,0)),0%,VLOOKUP(A9,'Données projet'!$A$191:$I$211,6,0)*VLOOKUP('Données projet'!$B$15,Paramètres!$A$1:$I$88,7,0))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projet'!$B$15,Paramètres!$A$1:$I$88,3,0)*0.475*44/12</f>
        <v>#N/A</v>
      </c>
      <c r="EW9" s="23" t="e">
        <f>EXP(-LN(2)/25)*EW8+(1-EXP(-LN(2)/25))/(LN(2)/25)*Calculateur!ER9*Calculateur!ET9*VLOOKUP('Données projet'!$B$15,Paramètres!$A$1:$I$88,3,0)*0.475*44/12</f>
        <v>#N/A</v>
      </c>
      <c r="EX9" s="23" t="e">
        <f>EXP(-LN(2)/2)*EX8+(1-EXP(-LN(2)/2))/(LN(2)/2)*ER9*EU9*VLOOKUP('Données projet'!$B$15,Paramètres!$A$1:$I$88,3,0)*0.475*44/12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projet'!$B$16,Paramètres!$A$1:$I$88,3,0)*VLOOKUP('Données projet'!$B$16,Paramètres!$A$1:$I$88,5,0)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projet'!$B$16,Paramètres!$A$1:$I$88,7,0))</f>
        <v>0</v>
      </c>
      <c r="FO9" s="17">
        <f>IF(ISNA(VLOOKUP(A9,'Données projet'!$A$217:$I$237,6,0)),0%,VLOOKUP(A9,'Données projet'!$A$217:$I$237,6,0)*VLOOKUP('Données projet'!$B$16,Paramètres!$A$1:$I$88,7,0))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projet'!$B$16,Paramètres!$A$1:$I$88,3,0)*0.475*44/12</f>
        <v>#N/A</v>
      </c>
      <c r="FR9" s="23" t="e">
        <f>EXP(-LN(2)/25)*FR8+(1-EXP(-LN(2)/25))/(LN(2)/25)*Calculateur!FM9*Calculateur!FO9*VLOOKUP('Données projet'!$B$16,Paramètres!$A$1:$I$88,3,0)*0.475*44/12</f>
        <v>#N/A</v>
      </c>
      <c r="FS9" s="23" t="e">
        <f>EXP(-LN(2)/2)*FS8+(1-EXP(-LN(2)/2))/(LN(2)/2)*FM9*FP9*VLOOKUP('Données projet'!$B$16,Paramètres!$A$1:$I$88,3,0)*0.475*44/12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projet'!$B$17,Paramètres!$A$1:$I$88,3,0)*VLOOKUP('Données projet'!$B$17,Paramètres!$A$1:$I$88,5,0)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projet'!$B$17,Paramètres!$A$1:$I$88,7,0))</f>
        <v>0</v>
      </c>
      <c r="GJ9" s="17">
        <f>IF(ISNA(VLOOKUP(A9,'Données projet'!$A$243:$I$263,6,0)),0%,VLOOKUP(A9,'Données projet'!$A$243:$I$263,6,0)*VLOOKUP('Données projet'!$B$17,Paramètres!$A$1:$I$88,7,0))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projet'!$B$17,Paramètres!$A$1:$I$88,3,0)*0.475*44/12</f>
        <v>#N/A</v>
      </c>
      <c r="GM9" s="23" t="e">
        <f>EXP(-LN(2)/25)*GM8+(1-EXP(-LN(2)/25))/(LN(2)/25)*Calculateur!GH9*Calculateur!GJ9*VLOOKUP('Données projet'!$B$17,Paramètres!$A$1:$I$88,3,0)*0.475*44/12</f>
        <v>#N/A</v>
      </c>
      <c r="GN9" s="23" t="e">
        <f>EXP(-LN(2)/2)*GN8+(1-EXP(-LN(2)/2))/(LN(2)/2)*GH9*GK9*VLOOKUP('Données projet'!$B$17,Paramètres!$A$1:$I$88,3,0)*0.475*44/12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projet'!$B$18,Paramètres!$A$1:$I$88,3,0)*VLOOKUP('Données projet'!$B$18,Paramètres!$A$1:$I$88,5,0)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projet'!$B$18,Paramètres!$A$1:$I$88,7,0))</f>
        <v>0</v>
      </c>
      <c r="HE9" s="17">
        <f>IF(ISNA(VLOOKUP(A9,'Données projet'!$A$269:$I$289,6,0)),0%,VLOOKUP(A9,'Données projet'!$A$269:$I$289,6,0)*VLOOKUP('Données projet'!$B$18,Paramètres!$A$1:$I$88,7,0))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projet'!$B$18,Paramètres!$A$1:$I$88,3,0)*0.475*44/12</f>
        <v>#N/A</v>
      </c>
      <c r="HH9" s="23" t="e">
        <f>EXP(-LN(2)/25)*HH8+(1-EXP(-LN(2)/25))/(LN(2)/25)*Calculateur!HC9*Calculateur!HE9*VLOOKUP('Données projet'!$B$18,Paramètres!$A$1:$I$88,3,0)*0.475*44/12</f>
        <v>#N/A</v>
      </c>
      <c r="HI9" s="23" t="e">
        <f>EXP(-LN(2)/2)*HI8+(1-EXP(-LN(2)/2))/(LN(2)/2)*HC9*HF9*VLOOKUP('Données projet'!$B$18,Paramètres!$A$1:$I$88,3,0)*0.475*44/12</f>
        <v>#N/A</v>
      </c>
      <c r="HJ9" s="24" t="e">
        <f t="shared" si="30"/>
        <v>#N/A</v>
      </c>
    </row>
    <row r="10" spans="1:218" s="5" customFormat="1" x14ac:dyDescent="0.3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10.119999999999999</v>
      </c>
      <c r="N10" s="14">
        <f>IF('Données projet'!$A$36&gt;35,N9+M10-V9,IF(A10&lt;'Données projet'!$A$36,$K$205^A10,IF(A10='Données projet'!$A$36,'Données projet'!$B$36,N9+M10-V9)))</f>
        <v>4.7084042812912932</v>
      </c>
      <c r="O10" s="14">
        <f>N10*VLOOKUP('Données projet'!$B$9,Paramètres!$A$1:$I$88,3,0)*VLOOKUP('Données projet'!$B$9,Paramètres!$A$1:$I$88,5,0)</f>
        <v>2.6319979932418329</v>
      </c>
      <c r="P10" s="14">
        <f t="shared" si="33"/>
        <v>1.0837182330282291</v>
      </c>
      <c r="Q10" s="22">
        <f t="shared" si="2"/>
        <v>6.4715390940870243</v>
      </c>
      <c r="R10" s="62">
        <f t="shared" si="0"/>
        <v>190.59572002982327</v>
      </c>
      <c r="S10" s="62">
        <f ca="1">AVERAGE(OFFSET($R$3,0,0,'Données projet'!$E$9+1,1))-AVERAGE(OFFSET($H$3,0,0,'Données projet'!$E$9+1,1))</f>
        <v>367.03450586441784</v>
      </c>
      <c r="T10" s="62">
        <f t="shared" si="34"/>
        <v>413.14502442862897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projet'!$B$9,Paramètres!$A$1:$I$88,7,0))</f>
        <v>0</v>
      </c>
      <c r="X10" s="17">
        <f>IF(ISNA(VLOOKUP(A10,'Données projet'!$A$35:$I$55,6,0)),0%,VLOOKUP(A10,'Données projet'!$A$35:$I$55,6,0)*VLOOKUP('Données projet'!$B$9,Paramètres!$A$1:$I$88,7,0))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projet'!$B$9,Paramètres!$A$1:$I$88,3,0)*0.475*44/12</f>
        <v>0</v>
      </c>
      <c r="AA10" s="23">
        <f>EXP(-LN(2)/25)*AA9+(1-EXP(-LN(2)/25))/(LN(2)/25)*Calculateur!V10*Calculateur!X10*VLOOKUP('Données projet'!$B$9,Paramètres!$A$1:$I$88,3,0)*0.475*44/12</f>
        <v>0</v>
      </c>
      <c r="AB10" s="23">
        <f>EXP(-LN(2)/2)*AB9+(1-EXP(-LN(2)/2))/(LN(2)/2)*V10*Y10*VLOOKUP('Données projet'!$B$9,Paramètres!$A$1:$I$88,3,0)*0.475*44/12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projet'!$B$10,Paramètres!$A$1:$I$88,3,0)*VLOOKUP('Données projet'!$B$10,Paramètres!$A$1:$I$88,5,0)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projet'!$B$10,Paramètres!$A$1:$I$88,7,0))</f>
        <v>0</v>
      </c>
      <c r="AS10" s="17">
        <f>IF(ISNA(VLOOKUP(A10,'Données projet'!$A$61:$I$81,6,0)),0%,VLOOKUP(A10,'Données projet'!$A$61:$I$81,6,0)*VLOOKUP('Données projet'!$B$10,Paramètres!$A$1:$I$88,7,0))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projet'!$B$10,Paramètres!$A$1:$I$88,3,0)*0.475*44/12</f>
        <v>#N/A</v>
      </c>
      <c r="AV10" s="23" t="e">
        <f>EXP(-LN(2)/25)*AV9+(1-EXP(-LN(2)/25))/(LN(2)/25)*Calculateur!AQ10*Calculateur!AS10*VLOOKUP('Données projet'!$B$10,Paramètres!$A$1:$I$88,3,0)*0.475*44/12</f>
        <v>#N/A</v>
      </c>
      <c r="AW10" s="23" t="e">
        <f>EXP(-LN(2)/2)*AW9+(1-EXP(-LN(2)/2))/(LN(2)/2)*AQ10*AT10*VLOOKUP('Données projet'!$B$10,Paramètres!$A$1:$I$88,3,0)*0.475*44/12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projet'!$B$11,Paramètres!$A$1:$I$88,3,0)*VLOOKUP('Données projet'!$B$11,Paramètres!$A$1:$I$88,5,0)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projet'!$B$11,Paramètres!$A$1:$I$88,7,0))</f>
        <v>0</v>
      </c>
      <c r="BN10" s="17">
        <f>IF(ISNA(VLOOKUP(A10,'Données projet'!$A$87:$I$107,6,0)),0%,VLOOKUP(A10,'Données projet'!$A$87:$I$107,6,0)*VLOOKUP('Données projet'!$B$11,Paramètres!$A$1:$I$88,7,0))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projet'!$B$11,Paramètres!$A$1:$I$88,3,0)*0.475*44/12</f>
        <v>#N/A</v>
      </c>
      <c r="BQ10" s="23" t="e">
        <f>EXP(-LN(2)/25)*BQ9+(1-EXP(-LN(2)/25))/(LN(2)/25)*Calculateur!BL10*Calculateur!BN10*VLOOKUP('Données projet'!$B$11,Paramètres!$A$1:$I$88,3,0)*0.475*44/12</f>
        <v>#N/A</v>
      </c>
      <c r="BR10" s="23" t="e">
        <f>EXP(-LN(2)/2)*BR9+(1-EXP(-LN(2)/2))/(LN(2)/2)*BL10*BO10*VLOOKUP('Données projet'!$B$11,Paramètres!$A$1:$I$88,3,0)*0.475*44/12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projet'!$B$12,Paramètres!$A$1:$I$88,3,0)*VLOOKUP('Données projet'!$B$12,Paramètres!$A$1:$I$88,5,0)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projet'!$B$12,Paramètres!$A$1:$I$88,7,0))</f>
        <v>0</v>
      </c>
      <c r="CI10" s="17">
        <f>IF(ISNA(VLOOKUP(A10,'Données projet'!$A$113:$I$133,6,0)),0%,VLOOKUP(A10,'Données projet'!$A$113:$I$133,6,0)*VLOOKUP('Données projet'!$B$12,Paramètres!$A$1:$I$88,7,0))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projet'!$B$12,Paramètres!$A$1:$I$88,3,0)*0.475*44/12</f>
        <v>#N/A</v>
      </c>
      <c r="CL10" s="23" t="e">
        <f>EXP(-LN(2)/25)*CL9+(1-EXP(-LN(2)/25))/(LN(2)/25)*Calculateur!CG10*Calculateur!CI10*VLOOKUP('Données projet'!$B$12,Paramètres!$A$1:$I$88,3,0)*0.475*44/12</f>
        <v>#N/A</v>
      </c>
      <c r="CM10" s="23" t="e">
        <f>EXP(-LN(2)/2)*CM9+(1-EXP(-LN(2)/2))/(LN(2)/2)*CG10*CJ10*VLOOKUP('Données projet'!$B$12,Paramètres!$A$1:$I$88,3,0)*0.475*44/12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projet'!$B$13,Paramètres!$A$1:$I$88,3,0)*VLOOKUP('Données projet'!$B$13,Paramètres!$A$1:$I$88,5,0)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projet'!$B$13,Paramètres!$A$1:$I$88,7,0))</f>
        <v>0</v>
      </c>
      <c r="DD10" s="17">
        <f>IF(ISNA(VLOOKUP(A10,'Données projet'!$A$139:$I$159,6,0)),0%,VLOOKUP(A10,'Données projet'!$A$139:$I$159,6,0)*VLOOKUP('Données projet'!$B$13,Paramètres!$A$1:$I$88,7,0))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projet'!$B$13,Paramètres!$A$1:$I$88,3,0)*0.475*44/12</f>
        <v>#N/A</v>
      </c>
      <c r="DG10" s="23" t="e">
        <f>EXP(-LN(2)/25)*DG9+(1-EXP(-LN(2)/25))/(LN(2)/25)*Calculateur!DB10*Calculateur!DD10*VLOOKUP('Données projet'!$B$13,Paramètres!$A$1:$I$88,3,0)*0.475*44/12</f>
        <v>#N/A</v>
      </c>
      <c r="DH10" s="23" t="e">
        <f>EXP(-LN(2)/2)*DH9+(1-EXP(-LN(2)/2))/(LN(2)/2)*DB10*DE10*VLOOKUP('Données projet'!$B$13,Paramètres!$A$1:$I$88,3,0)*0.475*44/12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projet'!$B$14,Paramètres!$A$1:$I$88,3,0)*VLOOKUP('Données projet'!$B$14,Paramètres!$A$1:$I$88,5,0)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projet'!$B$14,Paramètres!$A$1:$I$88,7,0))</f>
        <v>0</v>
      </c>
      <c r="DY10" s="17">
        <f>IF(ISNA(VLOOKUP(A10,'Données projet'!$A$165:$I$185,6,0)),0%,VLOOKUP(A10,'Données projet'!$A$165:$I$185,6,0)*VLOOKUP('Données projet'!$B$14,Paramètres!$A$1:$I$88,7,0))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projet'!$B$14,Paramètres!$A$1:$I$88,3,0)*0.475*44/12</f>
        <v>#N/A</v>
      </c>
      <c r="EB10" s="23" t="e">
        <f>EXP(-LN(2)/25)*EB9+(1-EXP(-LN(2)/25))/(LN(2)/25)*Calculateur!DW10*Calculateur!DY10*VLOOKUP('Données projet'!$B$14,Paramètres!$A$1:$I$88,3,0)*0.475*44/12</f>
        <v>#N/A</v>
      </c>
      <c r="EC10" s="23" t="e">
        <f>EXP(-LN(2)/2)*EC9+(1-EXP(-LN(2)/2))/(LN(2)/2)*DW10*DZ10*VLOOKUP('Données projet'!$B$14,Paramètres!$A$1:$I$88,3,0)*0.475*44/12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projet'!$B$15,Paramètres!$A$1:$I$88,3,0)*VLOOKUP('Données projet'!$B$15,Paramètres!$A$1:$I$88,5,0)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projet'!$B$15,Paramètres!$A$1:$I$88,7,0))</f>
        <v>0</v>
      </c>
      <c r="ET10" s="17">
        <f>IF(ISNA(VLOOKUP(A10,'Données projet'!$A$191:$I$211,6,0)),0%,VLOOKUP(A10,'Données projet'!$A$191:$I$211,6,0)*VLOOKUP('Données projet'!$B$15,Paramètres!$A$1:$I$88,7,0))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projet'!$B$15,Paramètres!$A$1:$I$88,3,0)*0.475*44/12</f>
        <v>#N/A</v>
      </c>
      <c r="EW10" s="23" t="e">
        <f>EXP(-LN(2)/25)*EW9+(1-EXP(-LN(2)/25))/(LN(2)/25)*Calculateur!ER10*Calculateur!ET10*VLOOKUP('Données projet'!$B$15,Paramètres!$A$1:$I$88,3,0)*0.475*44/12</f>
        <v>#N/A</v>
      </c>
      <c r="EX10" s="23" t="e">
        <f>EXP(-LN(2)/2)*EX9+(1-EXP(-LN(2)/2))/(LN(2)/2)*ER10*EU10*VLOOKUP('Données projet'!$B$15,Paramètres!$A$1:$I$88,3,0)*0.475*44/12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projet'!$B$16,Paramètres!$A$1:$I$88,3,0)*VLOOKUP('Données projet'!$B$16,Paramètres!$A$1:$I$88,5,0)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projet'!$B$16,Paramètres!$A$1:$I$88,7,0))</f>
        <v>0</v>
      </c>
      <c r="FO10" s="17">
        <f>IF(ISNA(VLOOKUP(A10,'Données projet'!$A$217:$I$237,6,0)),0%,VLOOKUP(A10,'Données projet'!$A$217:$I$237,6,0)*VLOOKUP('Données projet'!$B$16,Paramètres!$A$1:$I$88,7,0))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projet'!$B$16,Paramètres!$A$1:$I$88,3,0)*0.475*44/12</f>
        <v>#N/A</v>
      </c>
      <c r="FR10" s="23" t="e">
        <f>EXP(-LN(2)/25)*FR9+(1-EXP(-LN(2)/25))/(LN(2)/25)*Calculateur!FM10*Calculateur!FO10*VLOOKUP('Données projet'!$B$16,Paramètres!$A$1:$I$88,3,0)*0.475*44/12</f>
        <v>#N/A</v>
      </c>
      <c r="FS10" s="23" t="e">
        <f>EXP(-LN(2)/2)*FS9+(1-EXP(-LN(2)/2))/(LN(2)/2)*FM10*FP10*VLOOKUP('Données projet'!$B$16,Paramètres!$A$1:$I$88,3,0)*0.475*44/12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projet'!$B$17,Paramètres!$A$1:$I$88,3,0)*VLOOKUP('Données projet'!$B$17,Paramètres!$A$1:$I$88,5,0)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projet'!$B$17,Paramètres!$A$1:$I$88,7,0))</f>
        <v>0</v>
      </c>
      <c r="GJ10" s="17">
        <f>IF(ISNA(VLOOKUP(A10,'Données projet'!$A$243:$I$263,6,0)),0%,VLOOKUP(A10,'Données projet'!$A$243:$I$263,6,0)*VLOOKUP('Données projet'!$B$17,Paramètres!$A$1:$I$88,7,0))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projet'!$B$17,Paramètres!$A$1:$I$88,3,0)*0.475*44/12</f>
        <v>#N/A</v>
      </c>
      <c r="GM10" s="23" t="e">
        <f>EXP(-LN(2)/25)*GM9+(1-EXP(-LN(2)/25))/(LN(2)/25)*Calculateur!GH10*Calculateur!GJ10*VLOOKUP('Données projet'!$B$17,Paramètres!$A$1:$I$88,3,0)*0.475*44/12</f>
        <v>#N/A</v>
      </c>
      <c r="GN10" s="23" t="e">
        <f>EXP(-LN(2)/2)*GN9+(1-EXP(-LN(2)/2))/(LN(2)/2)*GH10*GK10*VLOOKUP('Données projet'!$B$17,Paramètres!$A$1:$I$88,3,0)*0.475*44/12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projet'!$B$18,Paramètres!$A$1:$I$88,3,0)*VLOOKUP('Données projet'!$B$18,Paramètres!$A$1:$I$88,5,0)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projet'!$B$18,Paramètres!$A$1:$I$88,7,0))</f>
        <v>0</v>
      </c>
      <c r="HE10" s="17">
        <f>IF(ISNA(VLOOKUP(A10,'Données projet'!$A$269:$I$289,6,0)),0%,VLOOKUP(A10,'Données projet'!$A$269:$I$289,6,0)*VLOOKUP('Données projet'!$B$18,Paramètres!$A$1:$I$88,7,0))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projet'!$B$18,Paramètres!$A$1:$I$88,3,0)*0.475*44/12</f>
        <v>#N/A</v>
      </c>
      <c r="HH10" s="23" t="e">
        <f>EXP(-LN(2)/25)*HH9+(1-EXP(-LN(2)/25))/(LN(2)/25)*Calculateur!HC10*Calculateur!HE10*VLOOKUP('Données projet'!$B$18,Paramètres!$A$1:$I$88,3,0)*0.475*44/12</f>
        <v>#N/A</v>
      </c>
      <c r="HI10" s="23" t="e">
        <f>EXP(-LN(2)/2)*HI9+(1-EXP(-LN(2)/2))/(LN(2)/2)*HC10*HF10*VLOOKUP('Données projet'!$B$18,Paramètres!$A$1:$I$88,3,0)*0.475*44/12</f>
        <v>#N/A</v>
      </c>
      <c r="HJ10" s="24" t="e">
        <f t="shared" si="30"/>
        <v>#N/A</v>
      </c>
    </row>
    <row r="11" spans="1:218" s="5" customFormat="1" x14ac:dyDescent="0.3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10.119999999999999</v>
      </c>
      <c r="N11" s="14">
        <f>IF('Données projet'!$A$36&gt;35,N10+M11-V10,IF(A11&lt;'Données projet'!$A$36,$K$205^A11,IF(A11='Données projet'!$A$36,'Données projet'!$B$36,N10+M11-V10)))</f>
        <v>5.8748741374784039</v>
      </c>
      <c r="O11" s="14">
        <f>N11*VLOOKUP('Données projet'!$B$9,Paramètres!$A$1:$I$88,3,0)*VLOOKUP('Données projet'!$B$9,Paramètres!$A$1:$I$88,5,0)</f>
        <v>3.2840546428504278</v>
      </c>
      <c r="P11" s="14">
        <f t="shared" si="33"/>
        <v>1.3178084012525983</v>
      </c>
      <c r="Q11" s="22">
        <f t="shared" si="2"/>
        <v>8.0149114684794363</v>
      </c>
      <c r="R11" s="62">
        <f t="shared" si="0"/>
        <v>194.76818433469998</v>
      </c>
      <c r="S11" s="62">
        <f ca="1">AVERAGE(OFFSET($R$3,0,0,'Données projet'!$E$9+1,1))-AVERAGE(OFFSET($H$3,0,0,'Données projet'!$E$9+1,1))</f>
        <v>367.03450586441784</v>
      </c>
      <c r="T11" s="62">
        <f t="shared" si="34"/>
        <v>413.14502442862897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projet'!$B$9,Paramètres!$A$1:$I$88,7,0))</f>
        <v>0</v>
      </c>
      <c r="X11" s="17">
        <f>IF(ISNA(VLOOKUP(A11,'Données projet'!$A$35:$I$55,6,0)),0%,VLOOKUP(A11,'Données projet'!$A$35:$I$55,6,0)*VLOOKUP('Données projet'!$B$9,Paramètres!$A$1:$I$88,7,0))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projet'!$B$9,Paramètres!$A$1:$I$88,3,0)*0.475*44/12</f>
        <v>0</v>
      </c>
      <c r="AA11" s="23">
        <f>EXP(-LN(2)/25)*AA10+(1-EXP(-LN(2)/25))/(LN(2)/25)*Calculateur!V11*Calculateur!X11*VLOOKUP('Données projet'!$B$9,Paramètres!$A$1:$I$88,3,0)*0.475*44/12</f>
        <v>0</v>
      </c>
      <c r="AB11" s="23">
        <f>EXP(-LN(2)/2)*AB10+(1-EXP(-LN(2)/2))/(LN(2)/2)*V11*Y11*VLOOKUP('Données projet'!$B$9,Paramètres!$A$1:$I$88,3,0)*0.475*44/12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projet'!$B$10,Paramètres!$A$1:$I$88,3,0)*VLOOKUP('Données projet'!$B$10,Paramètres!$A$1:$I$88,5,0)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projet'!$B$10,Paramètres!$A$1:$I$88,7,0))</f>
        <v>0</v>
      </c>
      <c r="AS11" s="17">
        <f>IF(ISNA(VLOOKUP(A11,'Données projet'!$A$61:$I$81,6,0)),0%,VLOOKUP(A11,'Données projet'!$A$61:$I$81,6,0)*VLOOKUP('Données projet'!$B$10,Paramètres!$A$1:$I$88,7,0))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projet'!$B$10,Paramètres!$A$1:$I$88,3,0)*0.475*44/12</f>
        <v>#N/A</v>
      </c>
      <c r="AV11" s="23" t="e">
        <f>EXP(-LN(2)/25)*AV10+(1-EXP(-LN(2)/25))/(LN(2)/25)*Calculateur!AQ11*Calculateur!AS11*VLOOKUP('Données projet'!$B$10,Paramètres!$A$1:$I$88,3,0)*0.475*44/12</f>
        <v>#N/A</v>
      </c>
      <c r="AW11" s="23" t="e">
        <f>EXP(-LN(2)/2)*AW10+(1-EXP(-LN(2)/2))/(LN(2)/2)*AQ11*AT11*VLOOKUP('Données projet'!$B$10,Paramètres!$A$1:$I$88,3,0)*0.475*44/12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projet'!$B$11,Paramètres!$A$1:$I$88,3,0)*VLOOKUP('Données projet'!$B$11,Paramètres!$A$1:$I$88,5,0)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projet'!$B$11,Paramètres!$A$1:$I$88,7,0))</f>
        <v>0</v>
      </c>
      <c r="BN11" s="17">
        <f>IF(ISNA(VLOOKUP(A11,'Données projet'!$A$87:$I$107,6,0)),0%,VLOOKUP(A11,'Données projet'!$A$87:$I$107,6,0)*VLOOKUP('Données projet'!$B$11,Paramètres!$A$1:$I$88,7,0))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projet'!$B$11,Paramètres!$A$1:$I$88,3,0)*0.475*44/12</f>
        <v>#N/A</v>
      </c>
      <c r="BQ11" s="23" t="e">
        <f>EXP(-LN(2)/25)*BQ10+(1-EXP(-LN(2)/25))/(LN(2)/25)*Calculateur!BL11*Calculateur!BN11*VLOOKUP('Données projet'!$B$11,Paramètres!$A$1:$I$88,3,0)*0.475*44/12</f>
        <v>#N/A</v>
      </c>
      <c r="BR11" s="23" t="e">
        <f>EXP(-LN(2)/2)*BR10+(1-EXP(-LN(2)/2))/(LN(2)/2)*BL11*BO11*VLOOKUP('Données projet'!$B$11,Paramètres!$A$1:$I$88,3,0)*0.475*44/12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projet'!$B$12,Paramètres!$A$1:$I$88,3,0)*VLOOKUP('Données projet'!$B$12,Paramètres!$A$1:$I$88,5,0)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projet'!$B$12,Paramètres!$A$1:$I$88,7,0))</f>
        <v>0</v>
      </c>
      <c r="CI11" s="17">
        <f>IF(ISNA(VLOOKUP(A11,'Données projet'!$A$113:$I$133,6,0)),0%,VLOOKUP(A11,'Données projet'!$A$113:$I$133,6,0)*VLOOKUP('Données projet'!$B$12,Paramètres!$A$1:$I$88,7,0))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projet'!$B$12,Paramètres!$A$1:$I$88,3,0)*0.475*44/12</f>
        <v>#N/A</v>
      </c>
      <c r="CL11" s="23" t="e">
        <f>EXP(-LN(2)/25)*CL10+(1-EXP(-LN(2)/25))/(LN(2)/25)*Calculateur!CG11*Calculateur!CI11*VLOOKUP('Données projet'!$B$12,Paramètres!$A$1:$I$88,3,0)*0.475*44/12</f>
        <v>#N/A</v>
      </c>
      <c r="CM11" s="23" t="e">
        <f>EXP(-LN(2)/2)*CM10+(1-EXP(-LN(2)/2))/(LN(2)/2)*CG11*CJ11*VLOOKUP('Données projet'!$B$12,Paramètres!$A$1:$I$88,3,0)*0.475*44/12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projet'!$B$13,Paramètres!$A$1:$I$88,3,0)*VLOOKUP('Données projet'!$B$13,Paramètres!$A$1:$I$88,5,0)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projet'!$B$13,Paramètres!$A$1:$I$88,7,0))</f>
        <v>0</v>
      </c>
      <c r="DD11" s="17">
        <f>IF(ISNA(VLOOKUP(A11,'Données projet'!$A$139:$I$159,6,0)),0%,VLOOKUP(A11,'Données projet'!$A$139:$I$159,6,0)*VLOOKUP('Données projet'!$B$13,Paramètres!$A$1:$I$88,7,0))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projet'!$B$13,Paramètres!$A$1:$I$88,3,0)*0.475*44/12</f>
        <v>#N/A</v>
      </c>
      <c r="DG11" s="23" t="e">
        <f>EXP(-LN(2)/25)*DG10+(1-EXP(-LN(2)/25))/(LN(2)/25)*Calculateur!DB11*Calculateur!DD11*VLOOKUP('Données projet'!$B$13,Paramètres!$A$1:$I$88,3,0)*0.475*44/12</f>
        <v>#N/A</v>
      </c>
      <c r="DH11" s="23" t="e">
        <f>EXP(-LN(2)/2)*DH10+(1-EXP(-LN(2)/2))/(LN(2)/2)*DB11*DE11*VLOOKUP('Données projet'!$B$13,Paramètres!$A$1:$I$88,3,0)*0.475*44/12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projet'!$B$14,Paramètres!$A$1:$I$88,3,0)*VLOOKUP('Données projet'!$B$14,Paramètres!$A$1:$I$88,5,0)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projet'!$B$14,Paramètres!$A$1:$I$88,7,0))</f>
        <v>0</v>
      </c>
      <c r="DY11" s="17">
        <f>IF(ISNA(VLOOKUP(A11,'Données projet'!$A$165:$I$185,6,0)),0%,VLOOKUP(A11,'Données projet'!$A$165:$I$185,6,0)*VLOOKUP('Données projet'!$B$14,Paramètres!$A$1:$I$88,7,0))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projet'!$B$14,Paramètres!$A$1:$I$88,3,0)*0.475*44/12</f>
        <v>#N/A</v>
      </c>
      <c r="EB11" s="23" t="e">
        <f>EXP(-LN(2)/25)*EB10+(1-EXP(-LN(2)/25))/(LN(2)/25)*Calculateur!DW11*Calculateur!DY11*VLOOKUP('Données projet'!$B$14,Paramètres!$A$1:$I$88,3,0)*0.475*44/12</f>
        <v>#N/A</v>
      </c>
      <c r="EC11" s="23" t="e">
        <f>EXP(-LN(2)/2)*EC10+(1-EXP(-LN(2)/2))/(LN(2)/2)*DW11*DZ11*VLOOKUP('Données projet'!$B$14,Paramètres!$A$1:$I$88,3,0)*0.475*44/12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projet'!$B$15,Paramètres!$A$1:$I$88,3,0)*VLOOKUP('Données projet'!$B$15,Paramètres!$A$1:$I$88,5,0)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projet'!$B$15,Paramètres!$A$1:$I$88,7,0))</f>
        <v>0</v>
      </c>
      <c r="ET11" s="17">
        <f>IF(ISNA(VLOOKUP(A11,'Données projet'!$A$191:$I$211,6,0)),0%,VLOOKUP(A11,'Données projet'!$A$191:$I$211,6,0)*VLOOKUP('Données projet'!$B$15,Paramètres!$A$1:$I$88,7,0))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projet'!$B$15,Paramètres!$A$1:$I$88,3,0)*0.475*44/12</f>
        <v>#N/A</v>
      </c>
      <c r="EW11" s="23" t="e">
        <f>EXP(-LN(2)/25)*EW10+(1-EXP(-LN(2)/25))/(LN(2)/25)*Calculateur!ER11*Calculateur!ET11*VLOOKUP('Données projet'!$B$15,Paramètres!$A$1:$I$88,3,0)*0.475*44/12</f>
        <v>#N/A</v>
      </c>
      <c r="EX11" s="23" t="e">
        <f>EXP(-LN(2)/2)*EX10+(1-EXP(-LN(2)/2))/(LN(2)/2)*ER11*EU11*VLOOKUP('Données projet'!$B$15,Paramètres!$A$1:$I$88,3,0)*0.475*44/12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projet'!$B$16,Paramètres!$A$1:$I$88,3,0)*VLOOKUP('Données projet'!$B$16,Paramètres!$A$1:$I$88,5,0)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projet'!$B$16,Paramètres!$A$1:$I$88,7,0))</f>
        <v>0</v>
      </c>
      <c r="FO11" s="17">
        <f>IF(ISNA(VLOOKUP(A11,'Données projet'!$A$217:$I$237,6,0)),0%,VLOOKUP(A11,'Données projet'!$A$217:$I$237,6,0)*VLOOKUP('Données projet'!$B$16,Paramètres!$A$1:$I$88,7,0))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projet'!$B$16,Paramètres!$A$1:$I$88,3,0)*0.475*44/12</f>
        <v>#N/A</v>
      </c>
      <c r="FR11" s="23" t="e">
        <f>EXP(-LN(2)/25)*FR10+(1-EXP(-LN(2)/25))/(LN(2)/25)*Calculateur!FM11*Calculateur!FO11*VLOOKUP('Données projet'!$B$16,Paramètres!$A$1:$I$88,3,0)*0.475*44/12</f>
        <v>#N/A</v>
      </c>
      <c r="FS11" s="23" t="e">
        <f>EXP(-LN(2)/2)*FS10+(1-EXP(-LN(2)/2))/(LN(2)/2)*FM11*FP11*VLOOKUP('Données projet'!$B$16,Paramètres!$A$1:$I$88,3,0)*0.475*44/12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projet'!$B$17,Paramètres!$A$1:$I$88,3,0)*VLOOKUP('Données projet'!$B$17,Paramètres!$A$1:$I$88,5,0)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projet'!$B$17,Paramètres!$A$1:$I$88,7,0))</f>
        <v>0</v>
      </c>
      <c r="GJ11" s="17">
        <f>IF(ISNA(VLOOKUP(A11,'Données projet'!$A$243:$I$263,6,0)),0%,VLOOKUP(A11,'Données projet'!$A$243:$I$263,6,0)*VLOOKUP('Données projet'!$B$17,Paramètres!$A$1:$I$88,7,0))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projet'!$B$17,Paramètres!$A$1:$I$88,3,0)*0.475*44/12</f>
        <v>#N/A</v>
      </c>
      <c r="GM11" s="23" t="e">
        <f>EXP(-LN(2)/25)*GM10+(1-EXP(-LN(2)/25))/(LN(2)/25)*Calculateur!GH11*Calculateur!GJ11*VLOOKUP('Données projet'!$B$17,Paramètres!$A$1:$I$88,3,0)*0.475*44/12</f>
        <v>#N/A</v>
      </c>
      <c r="GN11" s="23" t="e">
        <f>EXP(-LN(2)/2)*GN10+(1-EXP(-LN(2)/2))/(LN(2)/2)*GH11*GK11*VLOOKUP('Données projet'!$B$17,Paramètres!$A$1:$I$88,3,0)*0.475*44/12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projet'!$B$18,Paramètres!$A$1:$I$88,3,0)*VLOOKUP('Données projet'!$B$18,Paramètres!$A$1:$I$88,5,0)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projet'!$B$18,Paramètres!$A$1:$I$88,7,0))</f>
        <v>0</v>
      </c>
      <c r="HE11" s="17">
        <f>IF(ISNA(VLOOKUP(A11,'Données projet'!$A$269:$I$289,6,0)),0%,VLOOKUP(A11,'Données projet'!$A$269:$I$289,6,0)*VLOOKUP('Données projet'!$B$18,Paramètres!$A$1:$I$88,7,0))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projet'!$B$18,Paramètres!$A$1:$I$88,3,0)*0.475*44/12</f>
        <v>#N/A</v>
      </c>
      <c r="HH11" s="23" t="e">
        <f>EXP(-LN(2)/25)*HH10+(1-EXP(-LN(2)/25))/(LN(2)/25)*Calculateur!HC11*Calculateur!HE11*VLOOKUP('Données projet'!$B$18,Paramètres!$A$1:$I$88,3,0)*0.475*44/12</f>
        <v>#N/A</v>
      </c>
      <c r="HI11" s="23" t="e">
        <f>EXP(-LN(2)/2)*HI10+(1-EXP(-LN(2)/2))/(LN(2)/2)*HC11*HF11*VLOOKUP('Données projet'!$B$18,Paramètres!$A$1:$I$88,3,0)*0.475*44/12</f>
        <v>#N/A</v>
      </c>
      <c r="HJ11" s="24" t="e">
        <f t="shared" si="30"/>
        <v>#N/A</v>
      </c>
    </row>
    <row r="12" spans="1:218" s="5" customFormat="1" x14ac:dyDescent="0.3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10.119999999999999</v>
      </c>
      <c r="N12" s="14">
        <f>IF('Données projet'!$A$36&gt;35,N11+M12-V11,IF(A12&lt;'Données projet'!$A$36,$K$205^A12,IF(A12='Données projet'!$A$36,'Données projet'!$B$36,N11+M12-V11)))</f>
        <v>7.3303276586408614</v>
      </c>
      <c r="O12" s="14">
        <f>N12*VLOOKUP('Données projet'!$B$9,Paramètres!$A$1:$I$88,3,0)*VLOOKUP('Données projet'!$B$9,Paramètres!$A$1:$I$88,5,0)</f>
        <v>4.0976531611802418</v>
      </c>
      <c r="P12" s="14">
        <f t="shared" si="33"/>
        <v>1.6024635643153309</v>
      </c>
      <c r="Q12" s="22">
        <f t="shared" si="2"/>
        <v>9.927703296904788</v>
      </c>
      <c r="R12" s="62">
        <f t="shared" si="0"/>
        <v>199.28566204946085</v>
      </c>
      <c r="S12" s="62">
        <f ca="1">AVERAGE(OFFSET($R$3,0,0,'Données projet'!$E$9+1,1))-AVERAGE(OFFSET($H$3,0,0,'Données projet'!$E$9+1,1))</f>
        <v>367.03450586441784</v>
      </c>
      <c r="T12" s="62">
        <f t="shared" si="34"/>
        <v>413.14502442862897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projet'!$B$9,Paramètres!$A$1:$I$88,7,0))</f>
        <v>0</v>
      </c>
      <c r="X12" s="17">
        <f>IF(ISNA(VLOOKUP(A12,'Données projet'!$A$35:$I$55,6,0)),0%,VLOOKUP(A12,'Données projet'!$A$35:$I$55,6,0)*VLOOKUP('Données projet'!$B$9,Paramètres!$A$1:$I$88,7,0))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projet'!$B$9,Paramètres!$A$1:$I$88,3,0)*0.475*44/12</f>
        <v>0</v>
      </c>
      <c r="AA12" s="23">
        <f>EXP(-LN(2)/25)*AA11+(1-EXP(-LN(2)/25))/(LN(2)/25)*Calculateur!V12*Calculateur!X12*VLOOKUP('Données projet'!$B$9,Paramètres!$A$1:$I$88,3,0)*0.475*44/12</f>
        <v>0</v>
      </c>
      <c r="AB12" s="23">
        <f>EXP(-LN(2)/2)*AB11+(1-EXP(-LN(2)/2))/(LN(2)/2)*V12*Y12*VLOOKUP('Données projet'!$B$9,Paramètres!$A$1:$I$88,3,0)*0.475*44/12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projet'!$B$10,Paramètres!$A$1:$I$88,3,0)*VLOOKUP('Données projet'!$B$10,Paramètres!$A$1:$I$88,5,0)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projet'!$B$10,Paramètres!$A$1:$I$88,7,0))</f>
        <v>0</v>
      </c>
      <c r="AS12" s="17">
        <f>IF(ISNA(VLOOKUP(A12,'Données projet'!$A$61:$I$81,6,0)),0%,VLOOKUP(A12,'Données projet'!$A$61:$I$81,6,0)*VLOOKUP('Données projet'!$B$10,Paramètres!$A$1:$I$88,7,0))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projet'!$B$10,Paramètres!$A$1:$I$88,3,0)*0.475*44/12</f>
        <v>#N/A</v>
      </c>
      <c r="AV12" s="23" t="e">
        <f>EXP(-LN(2)/25)*AV11+(1-EXP(-LN(2)/25))/(LN(2)/25)*Calculateur!AQ12*Calculateur!AS12*VLOOKUP('Données projet'!$B$10,Paramètres!$A$1:$I$88,3,0)*0.475*44/12</f>
        <v>#N/A</v>
      </c>
      <c r="AW12" s="23" t="e">
        <f>EXP(-LN(2)/2)*AW11+(1-EXP(-LN(2)/2))/(LN(2)/2)*AQ12*AT12*VLOOKUP('Données projet'!$B$10,Paramètres!$A$1:$I$88,3,0)*0.475*44/12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projet'!$B$11,Paramètres!$A$1:$I$88,3,0)*VLOOKUP('Données projet'!$B$11,Paramètres!$A$1:$I$88,5,0)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projet'!$B$11,Paramètres!$A$1:$I$88,7,0))</f>
        <v>0</v>
      </c>
      <c r="BN12" s="17">
        <f>IF(ISNA(VLOOKUP(A12,'Données projet'!$A$87:$I$107,6,0)),0%,VLOOKUP(A12,'Données projet'!$A$87:$I$107,6,0)*VLOOKUP('Données projet'!$B$11,Paramètres!$A$1:$I$88,7,0))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projet'!$B$11,Paramètres!$A$1:$I$88,3,0)*0.475*44/12</f>
        <v>#N/A</v>
      </c>
      <c r="BQ12" s="23" t="e">
        <f>EXP(-LN(2)/25)*BQ11+(1-EXP(-LN(2)/25))/(LN(2)/25)*Calculateur!BL12*Calculateur!BN12*VLOOKUP('Données projet'!$B$11,Paramètres!$A$1:$I$88,3,0)*0.475*44/12</f>
        <v>#N/A</v>
      </c>
      <c r="BR12" s="23" t="e">
        <f>EXP(-LN(2)/2)*BR11+(1-EXP(-LN(2)/2))/(LN(2)/2)*BL12*BO12*VLOOKUP('Données projet'!$B$11,Paramètres!$A$1:$I$88,3,0)*0.475*44/12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projet'!$B$12,Paramètres!$A$1:$I$88,3,0)*VLOOKUP('Données projet'!$B$12,Paramètres!$A$1:$I$88,5,0)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projet'!$B$12,Paramètres!$A$1:$I$88,7,0))</f>
        <v>0</v>
      </c>
      <c r="CI12" s="17">
        <f>IF(ISNA(VLOOKUP(A12,'Données projet'!$A$113:$I$133,6,0)),0%,VLOOKUP(A12,'Données projet'!$A$113:$I$133,6,0)*VLOOKUP('Données projet'!$B$12,Paramètres!$A$1:$I$88,7,0))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projet'!$B$12,Paramètres!$A$1:$I$88,3,0)*0.475*44/12</f>
        <v>#N/A</v>
      </c>
      <c r="CL12" s="23" t="e">
        <f>EXP(-LN(2)/25)*CL11+(1-EXP(-LN(2)/25))/(LN(2)/25)*Calculateur!CG12*Calculateur!CI12*VLOOKUP('Données projet'!$B$12,Paramètres!$A$1:$I$88,3,0)*0.475*44/12</f>
        <v>#N/A</v>
      </c>
      <c r="CM12" s="23" t="e">
        <f>EXP(-LN(2)/2)*CM11+(1-EXP(-LN(2)/2))/(LN(2)/2)*CG12*CJ12*VLOOKUP('Données projet'!$B$12,Paramètres!$A$1:$I$88,3,0)*0.475*44/12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projet'!$B$13,Paramètres!$A$1:$I$88,3,0)*VLOOKUP('Données projet'!$B$13,Paramètres!$A$1:$I$88,5,0)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projet'!$B$13,Paramètres!$A$1:$I$88,7,0))</f>
        <v>0</v>
      </c>
      <c r="DD12" s="17">
        <f>IF(ISNA(VLOOKUP(A12,'Données projet'!$A$139:$I$159,6,0)),0%,VLOOKUP(A12,'Données projet'!$A$139:$I$159,6,0)*VLOOKUP('Données projet'!$B$13,Paramètres!$A$1:$I$88,7,0))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projet'!$B$13,Paramètres!$A$1:$I$88,3,0)*0.475*44/12</f>
        <v>#N/A</v>
      </c>
      <c r="DG12" s="23" t="e">
        <f>EXP(-LN(2)/25)*DG11+(1-EXP(-LN(2)/25))/(LN(2)/25)*Calculateur!DB12*Calculateur!DD12*VLOOKUP('Données projet'!$B$13,Paramètres!$A$1:$I$88,3,0)*0.475*44/12</f>
        <v>#N/A</v>
      </c>
      <c r="DH12" s="23" t="e">
        <f>EXP(-LN(2)/2)*DH11+(1-EXP(-LN(2)/2))/(LN(2)/2)*DB12*DE12*VLOOKUP('Données projet'!$B$13,Paramètres!$A$1:$I$88,3,0)*0.475*44/12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projet'!$B$14,Paramètres!$A$1:$I$88,3,0)*VLOOKUP('Données projet'!$B$14,Paramètres!$A$1:$I$88,5,0)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projet'!$B$14,Paramètres!$A$1:$I$88,7,0))</f>
        <v>0</v>
      </c>
      <c r="DY12" s="17">
        <f>IF(ISNA(VLOOKUP(A12,'Données projet'!$A$165:$I$185,6,0)),0%,VLOOKUP(A12,'Données projet'!$A$165:$I$185,6,0)*VLOOKUP('Données projet'!$B$14,Paramètres!$A$1:$I$88,7,0))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projet'!$B$14,Paramètres!$A$1:$I$88,3,0)*0.475*44/12</f>
        <v>#N/A</v>
      </c>
      <c r="EB12" s="23" t="e">
        <f>EXP(-LN(2)/25)*EB11+(1-EXP(-LN(2)/25))/(LN(2)/25)*Calculateur!DW12*Calculateur!DY12*VLOOKUP('Données projet'!$B$14,Paramètres!$A$1:$I$88,3,0)*0.475*44/12</f>
        <v>#N/A</v>
      </c>
      <c r="EC12" s="23" t="e">
        <f>EXP(-LN(2)/2)*EC11+(1-EXP(-LN(2)/2))/(LN(2)/2)*DW12*DZ12*VLOOKUP('Données projet'!$B$14,Paramètres!$A$1:$I$88,3,0)*0.475*44/12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projet'!$B$15,Paramètres!$A$1:$I$88,3,0)*VLOOKUP('Données projet'!$B$15,Paramètres!$A$1:$I$88,5,0)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projet'!$B$15,Paramètres!$A$1:$I$88,7,0))</f>
        <v>0</v>
      </c>
      <c r="ET12" s="17">
        <f>IF(ISNA(VLOOKUP(A12,'Données projet'!$A$191:$I$211,6,0)),0%,VLOOKUP(A12,'Données projet'!$A$191:$I$211,6,0)*VLOOKUP('Données projet'!$B$15,Paramètres!$A$1:$I$88,7,0))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projet'!$B$15,Paramètres!$A$1:$I$88,3,0)*0.475*44/12</f>
        <v>#N/A</v>
      </c>
      <c r="EW12" s="23" t="e">
        <f>EXP(-LN(2)/25)*EW11+(1-EXP(-LN(2)/25))/(LN(2)/25)*Calculateur!ER12*Calculateur!ET12*VLOOKUP('Données projet'!$B$15,Paramètres!$A$1:$I$88,3,0)*0.475*44/12</f>
        <v>#N/A</v>
      </c>
      <c r="EX12" s="23" t="e">
        <f>EXP(-LN(2)/2)*EX11+(1-EXP(-LN(2)/2))/(LN(2)/2)*ER12*EU12*VLOOKUP('Données projet'!$B$15,Paramètres!$A$1:$I$88,3,0)*0.475*44/12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projet'!$B$16,Paramètres!$A$1:$I$88,3,0)*VLOOKUP('Données projet'!$B$16,Paramètres!$A$1:$I$88,5,0)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projet'!$B$16,Paramètres!$A$1:$I$88,7,0))</f>
        <v>0</v>
      </c>
      <c r="FO12" s="17">
        <f>IF(ISNA(VLOOKUP(A12,'Données projet'!$A$217:$I$237,6,0)),0%,VLOOKUP(A12,'Données projet'!$A$217:$I$237,6,0)*VLOOKUP('Données projet'!$B$16,Paramètres!$A$1:$I$88,7,0))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projet'!$B$16,Paramètres!$A$1:$I$88,3,0)*0.475*44/12</f>
        <v>#N/A</v>
      </c>
      <c r="FR12" s="23" t="e">
        <f>EXP(-LN(2)/25)*FR11+(1-EXP(-LN(2)/25))/(LN(2)/25)*Calculateur!FM12*Calculateur!FO12*VLOOKUP('Données projet'!$B$16,Paramètres!$A$1:$I$88,3,0)*0.475*44/12</f>
        <v>#N/A</v>
      </c>
      <c r="FS12" s="23" t="e">
        <f>EXP(-LN(2)/2)*FS11+(1-EXP(-LN(2)/2))/(LN(2)/2)*FM12*FP12*VLOOKUP('Données projet'!$B$16,Paramètres!$A$1:$I$88,3,0)*0.475*44/12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projet'!$B$17,Paramètres!$A$1:$I$88,3,0)*VLOOKUP('Données projet'!$B$17,Paramètres!$A$1:$I$88,5,0)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projet'!$B$17,Paramètres!$A$1:$I$88,7,0))</f>
        <v>0</v>
      </c>
      <c r="GJ12" s="17">
        <f>IF(ISNA(VLOOKUP(A12,'Données projet'!$A$243:$I$263,6,0)),0%,VLOOKUP(A12,'Données projet'!$A$243:$I$263,6,0)*VLOOKUP('Données projet'!$B$17,Paramètres!$A$1:$I$88,7,0))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projet'!$B$17,Paramètres!$A$1:$I$88,3,0)*0.475*44/12</f>
        <v>#N/A</v>
      </c>
      <c r="GM12" s="23" t="e">
        <f>EXP(-LN(2)/25)*GM11+(1-EXP(-LN(2)/25))/(LN(2)/25)*Calculateur!GH12*Calculateur!GJ12*VLOOKUP('Données projet'!$B$17,Paramètres!$A$1:$I$88,3,0)*0.475*44/12</f>
        <v>#N/A</v>
      </c>
      <c r="GN12" s="23" t="e">
        <f>EXP(-LN(2)/2)*GN11+(1-EXP(-LN(2)/2))/(LN(2)/2)*GH12*GK12*VLOOKUP('Données projet'!$B$17,Paramètres!$A$1:$I$88,3,0)*0.475*44/12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projet'!$B$18,Paramètres!$A$1:$I$88,3,0)*VLOOKUP('Données projet'!$B$18,Paramètres!$A$1:$I$88,5,0)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projet'!$B$18,Paramètres!$A$1:$I$88,7,0))</f>
        <v>0</v>
      </c>
      <c r="HE12" s="17">
        <f>IF(ISNA(VLOOKUP(A12,'Données projet'!$A$269:$I$289,6,0)),0%,VLOOKUP(A12,'Données projet'!$A$269:$I$289,6,0)*VLOOKUP('Données projet'!$B$18,Paramètres!$A$1:$I$88,7,0))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projet'!$B$18,Paramètres!$A$1:$I$88,3,0)*0.475*44/12</f>
        <v>#N/A</v>
      </c>
      <c r="HH12" s="23" t="e">
        <f>EXP(-LN(2)/25)*HH11+(1-EXP(-LN(2)/25))/(LN(2)/25)*Calculateur!HC12*Calculateur!HE12*VLOOKUP('Données projet'!$B$18,Paramètres!$A$1:$I$88,3,0)*0.475*44/12</f>
        <v>#N/A</v>
      </c>
      <c r="HI12" s="23" t="e">
        <f>EXP(-LN(2)/2)*HI11+(1-EXP(-LN(2)/2))/(LN(2)/2)*HC12*HF12*VLOOKUP('Données projet'!$B$18,Paramètres!$A$1:$I$88,3,0)*0.475*44/12</f>
        <v>#N/A</v>
      </c>
      <c r="HJ12" s="24" t="e">
        <f t="shared" si="30"/>
        <v>#N/A</v>
      </c>
    </row>
    <row r="13" spans="1:218" s="5" customFormat="1" x14ac:dyDescent="0.3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10.119999999999999</v>
      </c>
      <c r="N13" s="14">
        <f>IF('Données projet'!$A$36&gt;35,N12+M13-V12,IF(A13&lt;'Données projet'!$A$36,$K$205^A13,IF(A13='Données projet'!$A$36,'Données projet'!$B$36,N12+M13-V12)))</f>
        <v>9.1463582581700447</v>
      </c>
      <c r="O13" s="14">
        <f>N13*VLOOKUP('Données projet'!$B$9,Paramètres!$A$1:$I$88,3,0)*VLOOKUP('Données projet'!$B$9,Paramètres!$A$1:$I$88,5,0)</f>
        <v>5.1128142663170548</v>
      </c>
      <c r="P13" s="14">
        <f t="shared" si="33"/>
        <v>1.9486060891077752</v>
      </c>
      <c r="Q13" s="22">
        <f t="shared" si="2"/>
        <v>12.298640452364912</v>
      </c>
      <c r="R13" s="62">
        <f t="shared" si="0"/>
        <v>204.2373024374098</v>
      </c>
      <c r="S13" s="62">
        <f ca="1">AVERAGE(OFFSET($R$3,0,0,'Données projet'!$E$9+1,1))-AVERAGE(OFFSET($H$3,0,0,'Données projet'!$E$9+1,1))</f>
        <v>367.03450586441784</v>
      </c>
      <c r="T13" s="62">
        <f t="shared" si="34"/>
        <v>413.14502442862897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projet'!$B$9,Paramètres!$A$1:$I$88,7,0))</f>
        <v>0</v>
      </c>
      <c r="X13" s="17">
        <f>IF(ISNA(VLOOKUP(A13,'Données projet'!$A$35:$I$55,6,0)),0%,VLOOKUP(A13,'Données projet'!$A$35:$I$55,6,0)*VLOOKUP('Données projet'!$B$9,Paramètres!$A$1:$I$88,7,0))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projet'!$B$9,Paramètres!$A$1:$I$88,3,0)*0.475*44/12</f>
        <v>0</v>
      </c>
      <c r="AA13" s="23">
        <f>EXP(-LN(2)/25)*AA12+(1-EXP(-LN(2)/25))/(LN(2)/25)*Calculateur!V13*Calculateur!X13*VLOOKUP('Données projet'!$B$9,Paramètres!$A$1:$I$88,3,0)*0.475*44/12</f>
        <v>0</v>
      </c>
      <c r="AB13" s="23">
        <f>EXP(-LN(2)/2)*AB12+(1-EXP(-LN(2)/2))/(LN(2)/2)*V13*Y13*VLOOKUP('Données projet'!$B$9,Paramètres!$A$1:$I$88,3,0)*0.475*44/12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projet'!$B$10,Paramètres!$A$1:$I$88,3,0)*VLOOKUP('Données projet'!$B$10,Paramètres!$A$1:$I$88,5,0)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projet'!$B$10,Paramètres!$A$1:$I$88,7,0))</f>
        <v>0</v>
      </c>
      <c r="AS13" s="17">
        <f>IF(ISNA(VLOOKUP(A13,'Données projet'!$A$61:$I$81,6,0)),0%,VLOOKUP(A13,'Données projet'!$A$61:$I$81,6,0)*VLOOKUP('Données projet'!$B$10,Paramètres!$A$1:$I$88,7,0))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projet'!$B$10,Paramètres!$A$1:$I$88,3,0)*0.475*44/12</f>
        <v>#N/A</v>
      </c>
      <c r="AV13" s="23" t="e">
        <f>EXP(-LN(2)/25)*AV12+(1-EXP(-LN(2)/25))/(LN(2)/25)*Calculateur!AQ13*Calculateur!AS13*VLOOKUP('Données projet'!$B$10,Paramètres!$A$1:$I$88,3,0)*0.475*44/12</f>
        <v>#N/A</v>
      </c>
      <c r="AW13" s="23" t="e">
        <f>EXP(-LN(2)/2)*AW12+(1-EXP(-LN(2)/2))/(LN(2)/2)*AQ13*AT13*VLOOKUP('Données projet'!$B$10,Paramètres!$A$1:$I$88,3,0)*0.475*44/12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projet'!$B$11,Paramètres!$A$1:$I$88,3,0)*VLOOKUP('Données projet'!$B$11,Paramètres!$A$1:$I$88,5,0)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projet'!$B$11,Paramètres!$A$1:$I$88,7,0))</f>
        <v>0</v>
      </c>
      <c r="BN13" s="17">
        <f>IF(ISNA(VLOOKUP(A13,'Données projet'!$A$87:$I$107,6,0)),0%,VLOOKUP(A13,'Données projet'!$A$87:$I$107,6,0)*VLOOKUP('Données projet'!$B$11,Paramètres!$A$1:$I$88,7,0))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projet'!$B$11,Paramètres!$A$1:$I$88,3,0)*0.475*44/12</f>
        <v>#N/A</v>
      </c>
      <c r="BQ13" s="23" t="e">
        <f>EXP(-LN(2)/25)*BQ12+(1-EXP(-LN(2)/25))/(LN(2)/25)*Calculateur!BL13*Calculateur!BN13*VLOOKUP('Données projet'!$B$11,Paramètres!$A$1:$I$88,3,0)*0.475*44/12</f>
        <v>#N/A</v>
      </c>
      <c r="BR13" s="23" t="e">
        <f>EXP(-LN(2)/2)*BR12+(1-EXP(-LN(2)/2))/(LN(2)/2)*BL13*BO13*VLOOKUP('Données projet'!$B$11,Paramètres!$A$1:$I$88,3,0)*0.475*44/12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projet'!$B$12,Paramètres!$A$1:$I$88,3,0)*VLOOKUP('Données projet'!$B$12,Paramètres!$A$1:$I$88,5,0)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projet'!$B$12,Paramètres!$A$1:$I$88,7,0))</f>
        <v>0</v>
      </c>
      <c r="CI13" s="17">
        <f>IF(ISNA(VLOOKUP(A13,'Données projet'!$A$113:$I$133,6,0)),0%,VLOOKUP(A13,'Données projet'!$A$113:$I$133,6,0)*VLOOKUP('Données projet'!$B$12,Paramètres!$A$1:$I$88,7,0))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projet'!$B$12,Paramètres!$A$1:$I$88,3,0)*0.475*44/12</f>
        <v>#N/A</v>
      </c>
      <c r="CL13" s="23" t="e">
        <f>EXP(-LN(2)/25)*CL12+(1-EXP(-LN(2)/25))/(LN(2)/25)*Calculateur!CG13*Calculateur!CI13*VLOOKUP('Données projet'!$B$12,Paramètres!$A$1:$I$88,3,0)*0.475*44/12</f>
        <v>#N/A</v>
      </c>
      <c r="CM13" s="23" t="e">
        <f>EXP(-LN(2)/2)*CM12+(1-EXP(-LN(2)/2))/(LN(2)/2)*CG13*CJ13*VLOOKUP('Données projet'!$B$12,Paramètres!$A$1:$I$88,3,0)*0.475*44/12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projet'!$B$13,Paramètres!$A$1:$I$88,3,0)*VLOOKUP('Données projet'!$B$13,Paramètres!$A$1:$I$88,5,0)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projet'!$B$13,Paramètres!$A$1:$I$88,7,0))</f>
        <v>0</v>
      </c>
      <c r="DD13" s="17">
        <f>IF(ISNA(VLOOKUP(A13,'Données projet'!$A$139:$I$159,6,0)),0%,VLOOKUP(A13,'Données projet'!$A$139:$I$159,6,0)*VLOOKUP('Données projet'!$B$13,Paramètres!$A$1:$I$88,7,0))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projet'!$B$13,Paramètres!$A$1:$I$88,3,0)*0.475*44/12</f>
        <v>#N/A</v>
      </c>
      <c r="DG13" s="23" t="e">
        <f>EXP(-LN(2)/25)*DG12+(1-EXP(-LN(2)/25))/(LN(2)/25)*Calculateur!DB13*Calculateur!DD13*VLOOKUP('Données projet'!$B$13,Paramètres!$A$1:$I$88,3,0)*0.475*44/12</f>
        <v>#N/A</v>
      </c>
      <c r="DH13" s="23" t="e">
        <f>EXP(-LN(2)/2)*DH12+(1-EXP(-LN(2)/2))/(LN(2)/2)*DB13*DE13*VLOOKUP('Données projet'!$B$13,Paramètres!$A$1:$I$88,3,0)*0.475*44/12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projet'!$B$14,Paramètres!$A$1:$I$88,3,0)*VLOOKUP('Données projet'!$B$14,Paramètres!$A$1:$I$88,5,0)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projet'!$B$14,Paramètres!$A$1:$I$88,7,0))</f>
        <v>0</v>
      </c>
      <c r="DY13" s="17">
        <f>IF(ISNA(VLOOKUP(A13,'Données projet'!$A$165:$I$185,6,0)),0%,VLOOKUP(A13,'Données projet'!$A$165:$I$185,6,0)*VLOOKUP('Données projet'!$B$14,Paramètres!$A$1:$I$88,7,0))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projet'!$B$14,Paramètres!$A$1:$I$88,3,0)*0.475*44/12</f>
        <v>#N/A</v>
      </c>
      <c r="EB13" s="23" t="e">
        <f>EXP(-LN(2)/25)*EB12+(1-EXP(-LN(2)/25))/(LN(2)/25)*Calculateur!DW13*Calculateur!DY13*VLOOKUP('Données projet'!$B$14,Paramètres!$A$1:$I$88,3,0)*0.475*44/12</f>
        <v>#N/A</v>
      </c>
      <c r="EC13" s="23" t="e">
        <f>EXP(-LN(2)/2)*EC12+(1-EXP(-LN(2)/2))/(LN(2)/2)*DW13*DZ13*VLOOKUP('Données projet'!$B$14,Paramètres!$A$1:$I$88,3,0)*0.475*44/12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projet'!$B$15,Paramètres!$A$1:$I$88,3,0)*VLOOKUP('Données projet'!$B$15,Paramètres!$A$1:$I$88,5,0)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projet'!$B$15,Paramètres!$A$1:$I$88,7,0))</f>
        <v>0</v>
      </c>
      <c r="ET13" s="17">
        <f>IF(ISNA(VLOOKUP(A13,'Données projet'!$A$191:$I$211,6,0)),0%,VLOOKUP(A13,'Données projet'!$A$191:$I$211,6,0)*VLOOKUP('Données projet'!$B$15,Paramètres!$A$1:$I$88,7,0))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projet'!$B$15,Paramètres!$A$1:$I$88,3,0)*0.475*44/12</f>
        <v>#N/A</v>
      </c>
      <c r="EW13" s="23" t="e">
        <f>EXP(-LN(2)/25)*EW12+(1-EXP(-LN(2)/25))/(LN(2)/25)*Calculateur!ER13*Calculateur!ET13*VLOOKUP('Données projet'!$B$15,Paramètres!$A$1:$I$88,3,0)*0.475*44/12</f>
        <v>#N/A</v>
      </c>
      <c r="EX13" s="23" t="e">
        <f>EXP(-LN(2)/2)*EX12+(1-EXP(-LN(2)/2))/(LN(2)/2)*ER13*EU13*VLOOKUP('Données projet'!$B$15,Paramètres!$A$1:$I$88,3,0)*0.475*44/12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projet'!$B$16,Paramètres!$A$1:$I$88,3,0)*VLOOKUP('Données projet'!$B$16,Paramètres!$A$1:$I$88,5,0)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projet'!$B$16,Paramètres!$A$1:$I$88,7,0))</f>
        <v>0</v>
      </c>
      <c r="FO13" s="17">
        <f>IF(ISNA(VLOOKUP(A13,'Données projet'!$A$217:$I$237,6,0)),0%,VLOOKUP(A13,'Données projet'!$A$217:$I$237,6,0)*VLOOKUP('Données projet'!$B$16,Paramètres!$A$1:$I$88,7,0))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projet'!$B$16,Paramètres!$A$1:$I$88,3,0)*0.475*44/12</f>
        <v>#N/A</v>
      </c>
      <c r="FR13" s="23" t="e">
        <f>EXP(-LN(2)/25)*FR12+(1-EXP(-LN(2)/25))/(LN(2)/25)*Calculateur!FM13*Calculateur!FO13*VLOOKUP('Données projet'!$B$16,Paramètres!$A$1:$I$88,3,0)*0.475*44/12</f>
        <v>#N/A</v>
      </c>
      <c r="FS13" s="23" t="e">
        <f>EXP(-LN(2)/2)*FS12+(1-EXP(-LN(2)/2))/(LN(2)/2)*FM13*FP13*VLOOKUP('Données projet'!$B$16,Paramètres!$A$1:$I$88,3,0)*0.475*44/12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projet'!$B$17,Paramètres!$A$1:$I$88,3,0)*VLOOKUP('Données projet'!$B$17,Paramètres!$A$1:$I$88,5,0)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projet'!$B$17,Paramètres!$A$1:$I$88,7,0))</f>
        <v>0</v>
      </c>
      <c r="GJ13" s="17">
        <f>IF(ISNA(VLOOKUP(A13,'Données projet'!$A$243:$I$263,6,0)),0%,VLOOKUP(A13,'Données projet'!$A$243:$I$263,6,0)*VLOOKUP('Données projet'!$B$17,Paramètres!$A$1:$I$88,7,0))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projet'!$B$17,Paramètres!$A$1:$I$88,3,0)*0.475*44/12</f>
        <v>#N/A</v>
      </c>
      <c r="GM13" s="23" t="e">
        <f>EXP(-LN(2)/25)*GM12+(1-EXP(-LN(2)/25))/(LN(2)/25)*Calculateur!GH13*Calculateur!GJ13*VLOOKUP('Données projet'!$B$17,Paramètres!$A$1:$I$88,3,0)*0.475*44/12</f>
        <v>#N/A</v>
      </c>
      <c r="GN13" s="23" t="e">
        <f>EXP(-LN(2)/2)*GN12+(1-EXP(-LN(2)/2))/(LN(2)/2)*GH13*GK13*VLOOKUP('Données projet'!$B$17,Paramètres!$A$1:$I$88,3,0)*0.475*44/12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projet'!$B$18,Paramètres!$A$1:$I$88,3,0)*VLOOKUP('Données projet'!$B$18,Paramètres!$A$1:$I$88,5,0)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projet'!$B$18,Paramètres!$A$1:$I$88,7,0))</f>
        <v>0</v>
      </c>
      <c r="HE13" s="17">
        <f>IF(ISNA(VLOOKUP(A13,'Données projet'!$A$269:$I$289,6,0)),0%,VLOOKUP(A13,'Données projet'!$A$269:$I$289,6,0)*VLOOKUP('Données projet'!$B$18,Paramètres!$A$1:$I$88,7,0))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projet'!$B$18,Paramètres!$A$1:$I$88,3,0)*0.475*44/12</f>
        <v>#N/A</v>
      </c>
      <c r="HH13" s="23" t="e">
        <f>EXP(-LN(2)/25)*HH12+(1-EXP(-LN(2)/25))/(LN(2)/25)*Calculateur!HC13*Calculateur!HE13*VLOOKUP('Données projet'!$B$18,Paramètres!$A$1:$I$88,3,0)*0.475*44/12</f>
        <v>#N/A</v>
      </c>
      <c r="HI13" s="23" t="e">
        <f>EXP(-LN(2)/2)*HI12+(1-EXP(-LN(2)/2))/(LN(2)/2)*HC13*HF13*VLOOKUP('Données projet'!$B$18,Paramètres!$A$1:$I$88,3,0)*0.475*44/12</f>
        <v>#N/A</v>
      </c>
      <c r="HJ13" s="24" t="e">
        <f t="shared" si="30"/>
        <v>#N/A</v>
      </c>
    </row>
    <row r="14" spans="1:218" s="5" customFormat="1" x14ac:dyDescent="0.3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10.119999999999999</v>
      </c>
      <c r="N14" s="14">
        <f>IF('Données projet'!$A$36&gt;35,N13+M14-V13,IF(A14&lt;'Données projet'!$A$36,$K$205^A14,IF(A14='Données projet'!$A$36,'Données projet'!$B$36,N13+M14-V13)))</f>
        <v>11.41229605039323</v>
      </c>
      <c r="O14" s="14">
        <f>N14*VLOOKUP('Données projet'!$B$9,Paramètres!$A$1:$I$88,3,0)*VLOOKUP('Données projet'!$B$9,Paramètres!$A$1:$I$88,5,0)</f>
        <v>6.379473492169816</v>
      </c>
      <c r="P14" s="14">
        <f t="shared" si="33"/>
        <v>2.3695176446212898</v>
      </c>
      <c r="Q14" s="22">
        <f t="shared" si="2"/>
        <v>15.237826229911176</v>
      </c>
      <c r="R14" s="62">
        <f t="shared" si="0"/>
        <v>209.73362483902531</v>
      </c>
      <c r="S14" s="62">
        <f ca="1">AVERAGE(OFFSET($R$3,0,0,'Données projet'!$E$9+1,1))-AVERAGE(OFFSET($H$3,0,0,'Données projet'!$E$9+1,1))</f>
        <v>367.03450586441784</v>
      </c>
      <c r="T14" s="62">
        <f t="shared" si="34"/>
        <v>413.14502442862897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projet'!$B$9,Paramètres!$A$1:$I$88,7,0))</f>
        <v>0</v>
      </c>
      <c r="X14" s="17">
        <f>IF(ISNA(VLOOKUP(A14,'Données projet'!$A$35:$I$55,6,0)),0%,VLOOKUP(A14,'Données projet'!$A$35:$I$55,6,0)*VLOOKUP('Données projet'!$B$9,Paramètres!$A$1:$I$88,7,0))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projet'!$B$9,Paramètres!$A$1:$I$88,3,0)*0.475*44/12</f>
        <v>0</v>
      </c>
      <c r="AA14" s="23">
        <f>EXP(-LN(2)/25)*AA13+(1-EXP(-LN(2)/25))/(LN(2)/25)*Calculateur!V14*Calculateur!X14*VLOOKUP('Données projet'!$B$9,Paramètres!$A$1:$I$88,3,0)*0.475*44/12</f>
        <v>0</v>
      </c>
      <c r="AB14" s="23">
        <f>EXP(-LN(2)/2)*AB13+(1-EXP(-LN(2)/2))/(LN(2)/2)*V14*Y14*VLOOKUP('Données projet'!$B$9,Paramètres!$A$1:$I$88,3,0)*0.475*44/12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projet'!$B$10,Paramètres!$A$1:$I$88,3,0)*VLOOKUP('Données projet'!$B$10,Paramètres!$A$1:$I$88,5,0)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projet'!$B$10,Paramètres!$A$1:$I$88,7,0))</f>
        <v>0</v>
      </c>
      <c r="AS14" s="17">
        <f>IF(ISNA(VLOOKUP(A14,'Données projet'!$A$61:$I$81,6,0)),0%,VLOOKUP(A14,'Données projet'!$A$61:$I$81,6,0)*VLOOKUP('Données projet'!$B$10,Paramètres!$A$1:$I$88,7,0))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projet'!$B$10,Paramètres!$A$1:$I$88,3,0)*0.475*44/12</f>
        <v>#N/A</v>
      </c>
      <c r="AV14" s="23" t="e">
        <f>EXP(-LN(2)/25)*AV13+(1-EXP(-LN(2)/25))/(LN(2)/25)*Calculateur!AQ14*Calculateur!AS14*VLOOKUP('Données projet'!$B$10,Paramètres!$A$1:$I$88,3,0)*0.475*44/12</f>
        <v>#N/A</v>
      </c>
      <c r="AW14" s="23" t="e">
        <f>EXP(-LN(2)/2)*AW13+(1-EXP(-LN(2)/2))/(LN(2)/2)*AQ14*AT14*VLOOKUP('Données projet'!$B$10,Paramètres!$A$1:$I$88,3,0)*0.475*44/12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projet'!$B$11,Paramètres!$A$1:$I$88,3,0)*VLOOKUP('Données projet'!$B$11,Paramètres!$A$1:$I$88,5,0)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projet'!$B$11,Paramètres!$A$1:$I$88,7,0))</f>
        <v>0</v>
      </c>
      <c r="BN14" s="17">
        <f>IF(ISNA(VLOOKUP(A14,'Données projet'!$A$87:$I$107,6,0)),0%,VLOOKUP(A14,'Données projet'!$A$87:$I$107,6,0)*VLOOKUP('Données projet'!$B$11,Paramètres!$A$1:$I$88,7,0))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projet'!$B$11,Paramètres!$A$1:$I$88,3,0)*0.475*44/12</f>
        <v>#N/A</v>
      </c>
      <c r="BQ14" s="23" t="e">
        <f>EXP(-LN(2)/25)*BQ13+(1-EXP(-LN(2)/25))/(LN(2)/25)*Calculateur!BL14*Calculateur!BN14*VLOOKUP('Données projet'!$B$11,Paramètres!$A$1:$I$88,3,0)*0.475*44/12</f>
        <v>#N/A</v>
      </c>
      <c r="BR14" s="23" t="e">
        <f>EXP(-LN(2)/2)*BR13+(1-EXP(-LN(2)/2))/(LN(2)/2)*BL14*BO14*VLOOKUP('Données projet'!$B$11,Paramètres!$A$1:$I$88,3,0)*0.475*44/12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projet'!$B$12,Paramètres!$A$1:$I$88,3,0)*VLOOKUP('Données projet'!$B$12,Paramètres!$A$1:$I$88,5,0)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projet'!$B$12,Paramètres!$A$1:$I$88,7,0))</f>
        <v>0</v>
      </c>
      <c r="CI14" s="17">
        <f>IF(ISNA(VLOOKUP(A14,'Données projet'!$A$113:$I$133,6,0)),0%,VLOOKUP(A14,'Données projet'!$A$113:$I$133,6,0)*VLOOKUP('Données projet'!$B$12,Paramètres!$A$1:$I$88,7,0))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projet'!$B$12,Paramètres!$A$1:$I$88,3,0)*0.475*44/12</f>
        <v>#N/A</v>
      </c>
      <c r="CL14" s="23" t="e">
        <f>EXP(-LN(2)/25)*CL13+(1-EXP(-LN(2)/25))/(LN(2)/25)*Calculateur!CG14*Calculateur!CI14*VLOOKUP('Données projet'!$B$12,Paramètres!$A$1:$I$88,3,0)*0.475*44/12</f>
        <v>#N/A</v>
      </c>
      <c r="CM14" s="23" t="e">
        <f>EXP(-LN(2)/2)*CM13+(1-EXP(-LN(2)/2))/(LN(2)/2)*CG14*CJ14*VLOOKUP('Données projet'!$B$12,Paramètres!$A$1:$I$88,3,0)*0.475*44/12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projet'!$B$13,Paramètres!$A$1:$I$88,3,0)*VLOOKUP('Données projet'!$B$13,Paramètres!$A$1:$I$88,5,0)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projet'!$B$13,Paramètres!$A$1:$I$88,7,0))</f>
        <v>0</v>
      </c>
      <c r="DD14" s="17">
        <f>IF(ISNA(VLOOKUP(A14,'Données projet'!$A$139:$I$159,6,0)),0%,VLOOKUP(A14,'Données projet'!$A$139:$I$159,6,0)*VLOOKUP('Données projet'!$B$13,Paramètres!$A$1:$I$88,7,0))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projet'!$B$13,Paramètres!$A$1:$I$88,3,0)*0.475*44/12</f>
        <v>#N/A</v>
      </c>
      <c r="DG14" s="23" t="e">
        <f>EXP(-LN(2)/25)*DG13+(1-EXP(-LN(2)/25))/(LN(2)/25)*Calculateur!DB14*Calculateur!DD14*VLOOKUP('Données projet'!$B$13,Paramètres!$A$1:$I$88,3,0)*0.475*44/12</f>
        <v>#N/A</v>
      </c>
      <c r="DH14" s="23" t="e">
        <f>EXP(-LN(2)/2)*DH13+(1-EXP(-LN(2)/2))/(LN(2)/2)*DB14*DE14*VLOOKUP('Données projet'!$B$13,Paramètres!$A$1:$I$88,3,0)*0.475*44/12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projet'!$B$14,Paramètres!$A$1:$I$88,3,0)*VLOOKUP('Données projet'!$B$14,Paramètres!$A$1:$I$88,5,0)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projet'!$B$14,Paramètres!$A$1:$I$88,7,0))</f>
        <v>0</v>
      </c>
      <c r="DY14" s="17">
        <f>IF(ISNA(VLOOKUP(A14,'Données projet'!$A$165:$I$185,6,0)),0%,VLOOKUP(A14,'Données projet'!$A$165:$I$185,6,0)*VLOOKUP('Données projet'!$B$14,Paramètres!$A$1:$I$88,7,0))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projet'!$B$14,Paramètres!$A$1:$I$88,3,0)*0.475*44/12</f>
        <v>#N/A</v>
      </c>
      <c r="EB14" s="23" t="e">
        <f>EXP(-LN(2)/25)*EB13+(1-EXP(-LN(2)/25))/(LN(2)/25)*Calculateur!DW14*Calculateur!DY14*VLOOKUP('Données projet'!$B$14,Paramètres!$A$1:$I$88,3,0)*0.475*44/12</f>
        <v>#N/A</v>
      </c>
      <c r="EC14" s="23" t="e">
        <f>EXP(-LN(2)/2)*EC13+(1-EXP(-LN(2)/2))/(LN(2)/2)*DW14*DZ14*VLOOKUP('Données projet'!$B$14,Paramètres!$A$1:$I$88,3,0)*0.475*44/12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projet'!$B$15,Paramètres!$A$1:$I$88,3,0)*VLOOKUP('Données projet'!$B$15,Paramètres!$A$1:$I$88,5,0)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projet'!$B$15,Paramètres!$A$1:$I$88,7,0))</f>
        <v>0</v>
      </c>
      <c r="ET14" s="17">
        <f>IF(ISNA(VLOOKUP(A14,'Données projet'!$A$191:$I$211,6,0)),0%,VLOOKUP(A14,'Données projet'!$A$191:$I$211,6,0)*VLOOKUP('Données projet'!$B$15,Paramètres!$A$1:$I$88,7,0))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projet'!$B$15,Paramètres!$A$1:$I$88,3,0)*0.475*44/12</f>
        <v>#N/A</v>
      </c>
      <c r="EW14" s="23" t="e">
        <f>EXP(-LN(2)/25)*EW13+(1-EXP(-LN(2)/25))/(LN(2)/25)*Calculateur!ER14*Calculateur!ET14*VLOOKUP('Données projet'!$B$15,Paramètres!$A$1:$I$88,3,0)*0.475*44/12</f>
        <v>#N/A</v>
      </c>
      <c r="EX14" s="23" t="e">
        <f>EXP(-LN(2)/2)*EX13+(1-EXP(-LN(2)/2))/(LN(2)/2)*ER14*EU14*VLOOKUP('Données projet'!$B$15,Paramètres!$A$1:$I$88,3,0)*0.475*44/12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projet'!$B$16,Paramètres!$A$1:$I$88,3,0)*VLOOKUP('Données projet'!$B$16,Paramètres!$A$1:$I$88,5,0)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projet'!$B$16,Paramètres!$A$1:$I$88,7,0))</f>
        <v>0</v>
      </c>
      <c r="FO14" s="17">
        <f>IF(ISNA(VLOOKUP(A14,'Données projet'!$A$217:$I$237,6,0)),0%,VLOOKUP(A14,'Données projet'!$A$217:$I$237,6,0)*VLOOKUP('Données projet'!$B$16,Paramètres!$A$1:$I$88,7,0))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projet'!$B$16,Paramètres!$A$1:$I$88,3,0)*0.475*44/12</f>
        <v>#N/A</v>
      </c>
      <c r="FR14" s="23" t="e">
        <f>EXP(-LN(2)/25)*FR13+(1-EXP(-LN(2)/25))/(LN(2)/25)*Calculateur!FM14*Calculateur!FO14*VLOOKUP('Données projet'!$B$16,Paramètres!$A$1:$I$88,3,0)*0.475*44/12</f>
        <v>#N/A</v>
      </c>
      <c r="FS14" s="23" t="e">
        <f>EXP(-LN(2)/2)*FS13+(1-EXP(-LN(2)/2))/(LN(2)/2)*FM14*FP14*VLOOKUP('Données projet'!$B$16,Paramètres!$A$1:$I$88,3,0)*0.475*44/12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projet'!$B$17,Paramètres!$A$1:$I$88,3,0)*VLOOKUP('Données projet'!$B$17,Paramètres!$A$1:$I$88,5,0)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projet'!$B$17,Paramètres!$A$1:$I$88,7,0))</f>
        <v>0</v>
      </c>
      <c r="GJ14" s="17">
        <f>IF(ISNA(VLOOKUP(A14,'Données projet'!$A$243:$I$263,6,0)),0%,VLOOKUP(A14,'Données projet'!$A$243:$I$263,6,0)*VLOOKUP('Données projet'!$B$17,Paramètres!$A$1:$I$88,7,0))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projet'!$B$17,Paramètres!$A$1:$I$88,3,0)*0.475*44/12</f>
        <v>#N/A</v>
      </c>
      <c r="GM14" s="23" t="e">
        <f>EXP(-LN(2)/25)*GM13+(1-EXP(-LN(2)/25))/(LN(2)/25)*Calculateur!GH14*Calculateur!GJ14*VLOOKUP('Données projet'!$B$17,Paramètres!$A$1:$I$88,3,0)*0.475*44/12</f>
        <v>#N/A</v>
      </c>
      <c r="GN14" s="23" t="e">
        <f>EXP(-LN(2)/2)*GN13+(1-EXP(-LN(2)/2))/(LN(2)/2)*GH14*GK14*VLOOKUP('Données projet'!$B$17,Paramètres!$A$1:$I$88,3,0)*0.475*44/12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projet'!$B$18,Paramètres!$A$1:$I$88,3,0)*VLOOKUP('Données projet'!$B$18,Paramètres!$A$1:$I$88,5,0)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projet'!$B$18,Paramètres!$A$1:$I$88,7,0))</f>
        <v>0</v>
      </c>
      <c r="HE14" s="17">
        <f>IF(ISNA(VLOOKUP(A14,'Données projet'!$A$269:$I$289,6,0)),0%,VLOOKUP(A14,'Données projet'!$A$269:$I$289,6,0)*VLOOKUP('Données projet'!$B$18,Paramètres!$A$1:$I$88,7,0))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projet'!$B$18,Paramètres!$A$1:$I$88,3,0)*0.475*44/12</f>
        <v>#N/A</v>
      </c>
      <c r="HH14" s="23" t="e">
        <f>EXP(-LN(2)/25)*HH13+(1-EXP(-LN(2)/25))/(LN(2)/25)*Calculateur!HC14*Calculateur!HE14*VLOOKUP('Données projet'!$B$18,Paramètres!$A$1:$I$88,3,0)*0.475*44/12</f>
        <v>#N/A</v>
      </c>
      <c r="HI14" s="23" t="e">
        <f>EXP(-LN(2)/2)*HI13+(1-EXP(-LN(2)/2))/(LN(2)/2)*HC14*HF14*VLOOKUP('Données projet'!$B$18,Paramètres!$A$1:$I$88,3,0)*0.475*44/12</f>
        <v>#N/A</v>
      </c>
      <c r="HJ14" s="24" t="e">
        <f t="shared" si="30"/>
        <v>#N/A</v>
      </c>
    </row>
    <row r="15" spans="1:218" s="5" customFormat="1" x14ac:dyDescent="0.3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10.119999999999999</v>
      </c>
      <c r="N15" s="14">
        <f>IF('Données projet'!$A$36&gt;35,N14+M15-V14,IF(A15&lt;'Données projet'!$A$36,$K$205^A15,IF(A15='Données projet'!$A$36,'Données projet'!$B$36,N14+M15-V14)))</f>
        <v>14.239601977703286</v>
      </c>
      <c r="O15" s="14">
        <f>N15*VLOOKUP('Données projet'!$B$9,Paramètres!$A$1:$I$88,3,0)*VLOOKUP('Données projet'!$B$9,Paramètres!$A$1:$I$88,5,0)</f>
        <v>7.9599375055361374</v>
      </c>
      <c r="P15" s="14">
        <f t="shared" si="33"/>
        <v>2.8813488265052238</v>
      </c>
      <c r="Q15" s="22">
        <f t="shared" si="2"/>
        <v>18.88190702830537</v>
      </c>
      <c r="R15" s="62">
        <f t="shared" si="0"/>
        <v>215.91168448103824</v>
      </c>
      <c r="S15" s="62">
        <f ca="1">AVERAGE(OFFSET($R$3,0,0,'Données projet'!$E$9+1,1))-AVERAGE(OFFSET($H$3,0,0,'Données projet'!$E$9+1,1))</f>
        <v>367.03450586441784</v>
      </c>
      <c r="T15" s="62">
        <f t="shared" si="34"/>
        <v>413.14502442862897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projet'!$B$9,Paramètres!$A$1:$I$88,7,0))</f>
        <v>0</v>
      </c>
      <c r="X15" s="17">
        <f>IF(ISNA(VLOOKUP(A15,'Données projet'!$A$35:$I$55,6,0)),0%,VLOOKUP(A15,'Données projet'!$A$35:$I$55,6,0)*VLOOKUP('Données projet'!$B$9,Paramètres!$A$1:$I$88,7,0))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projet'!$B$9,Paramètres!$A$1:$I$88,3,0)*0.475*44/12</f>
        <v>0</v>
      </c>
      <c r="AA15" s="23">
        <f>EXP(-LN(2)/25)*AA14+(1-EXP(-LN(2)/25))/(LN(2)/25)*Calculateur!V15*Calculateur!X15*VLOOKUP('Données projet'!$B$9,Paramètres!$A$1:$I$88,3,0)*0.475*44/12</f>
        <v>0</v>
      </c>
      <c r="AB15" s="23">
        <f>EXP(-LN(2)/2)*AB14+(1-EXP(-LN(2)/2))/(LN(2)/2)*V15*Y15*VLOOKUP('Données projet'!$B$9,Paramètres!$A$1:$I$88,3,0)*0.475*44/12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projet'!$B$10,Paramètres!$A$1:$I$88,3,0)*VLOOKUP('Données projet'!$B$10,Paramètres!$A$1:$I$88,5,0)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projet'!$B$10,Paramètres!$A$1:$I$88,7,0))</f>
        <v>0</v>
      </c>
      <c r="AS15" s="17">
        <f>IF(ISNA(VLOOKUP(A15,'Données projet'!$A$61:$I$81,6,0)),0%,VLOOKUP(A15,'Données projet'!$A$61:$I$81,6,0)*VLOOKUP('Données projet'!$B$10,Paramètres!$A$1:$I$88,7,0))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projet'!$B$10,Paramètres!$A$1:$I$88,3,0)*0.475*44/12</f>
        <v>#N/A</v>
      </c>
      <c r="AV15" s="23" t="e">
        <f>EXP(-LN(2)/25)*AV14+(1-EXP(-LN(2)/25))/(LN(2)/25)*Calculateur!AQ15*Calculateur!AS15*VLOOKUP('Données projet'!$B$10,Paramètres!$A$1:$I$88,3,0)*0.475*44/12</f>
        <v>#N/A</v>
      </c>
      <c r="AW15" s="23" t="e">
        <f>EXP(-LN(2)/2)*AW14+(1-EXP(-LN(2)/2))/(LN(2)/2)*AQ15*AT15*VLOOKUP('Données projet'!$B$10,Paramètres!$A$1:$I$88,3,0)*0.475*44/12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projet'!$B$11,Paramètres!$A$1:$I$88,3,0)*VLOOKUP('Données projet'!$B$11,Paramètres!$A$1:$I$88,5,0)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projet'!$B$11,Paramètres!$A$1:$I$88,7,0))</f>
        <v>0</v>
      </c>
      <c r="BN15" s="17">
        <f>IF(ISNA(VLOOKUP(A15,'Données projet'!$A$87:$I$107,6,0)),0%,VLOOKUP(A15,'Données projet'!$A$87:$I$107,6,0)*VLOOKUP('Données projet'!$B$11,Paramètres!$A$1:$I$88,7,0))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projet'!$B$11,Paramètres!$A$1:$I$88,3,0)*0.475*44/12</f>
        <v>#N/A</v>
      </c>
      <c r="BQ15" s="23" t="e">
        <f>EXP(-LN(2)/25)*BQ14+(1-EXP(-LN(2)/25))/(LN(2)/25)*Calculateur!BL15*Calculateur!BN15*VLOOKUP('Données projet'!$B$11,Paramètres!$A$1:$I$88,3,0)*0.475*44/12</f>
        <v>#N/A</v>
      </c>
      <c r="BR15" s="23" t="e">
        <f>EXP(-LN(2)/2)*BR14+(1-EXP(-LN(2)/2))/(LN(2)/2)*BL15*BO15*VLOOKUP('Données projet'!$B$11,Paramètres!$A$1:$I$88,3,0)*0.475*44/12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projet'!$B$12,Paramètres!$A$1:$I$88,3,0)*VLOOKUP('Données projet'!$B$12,Paramètres!$A$1:$I$88,5,0)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projet'!$B$12,Paramètres!$A$1:$I$88,7,0))</f>
        <v>0</v>
      </c>
      <c r="CI15" s="17">
        <f>IF(ISNA(VLOOKUP(A15,'Données projet'!$A$113:$I$133,6,0)),0%,VLOOKUP(A15,'Données projet'!$A$113:$I$133,6,0)*VLOOKUP('Données projet'!$B$12,Paramètres!$A$1:$I$88,7,0))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projet'!$B$12,Paramètres!$A$1:$I$88,3,0)*0.475*44/12</f>
        <v>#N/A</v>
      </c>
      <c r="CL15" s="23" t="e">
        <f>EXP(-LN(2)/25)*CL14+(1-EXP(-LN(2)/25))/(LN(2)/25)*Calculateur!CG15*Calculateur!CI15*VLOOKUP('Données projet'!$B$12,Paramètres!$A$1:$I$88,3,0)*0.475*44/12</f>
        <v>#N/A</v>
      </c>
      <c r="CM15" s="23" t="e">
        <f>EXP(-LN(2)/2)*CM14+(1-EXP(-LN(2)/2))/(LN(2)/2)*CG15*CJ15*VLOOKUP('Données projet'!$B$12,Paramètres!$A$1:$I$88,3,0)*0.475*44/12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projet'!$B$13,Paramètres!$A$1:$I$88,3,0)*VLOOKUP('Données projet'!$B$13,Paramètres!$A$1:$I$88,5,0)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projet'!$B$13,Paramètres!$A$1:$I$88,7,0))</f>
        <v>0</v>
      </c>
      <c r="DD15" s="17">
        <f>IF(ISNA(VLOOKUP(A15,'Données projet'!$A$139:$I$159,6,0)),0%,VLOOKUP(A15,'Données projet'!$A$139:$I$159,6,0)*VLOOKUP('Données projet'!$B$13,Paramètres!$A$1:$I$88,7,0))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projet'!$B$13,Paramètres!$A$1:$I$88,3,0)*0.475*44/12</f>
        <v>#N/A</v>
      </c>
      <c r="DG15" s="23" t="e">
        <f>EXP(-LN(2)/25)*DG14+(1-EXP(-LN(2)/25))/(LN(2)/25)*Calculateur!DB15*Calculateur!DD15*VLOOKUP('Données projet'!$B$13,Paramètres!$A$1:$I$88,3,0)*0.475*44/12</f>
        <v>#N/A</v>
      </c>
      <c r="DH15" s="23" t="e">
        <f>EXP(-LN(2)/2)*DH14+(1-EXP(-LN(2)/2))/(LN(2)/2)*DB15*DE15*VLOOKUP('Données projet'!$B$13,Paramètres!$A$1:$I$88,3,0)*0.475*44/12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projet'!$B$14,Paramètres!$A$1:$I$88,3,0)*VLOOKUP('Données projet'!$B$14,Paramètres!$A$1:$I$88,5,0)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projet'!$B$14,Paramètres!$A$1:$I$88,7,0))</f>
        <v>0</v>
      </c>
      <c r="DY15" s="17">
        <f>IF(ISNA(VLOOKUP(A15,'Données projet'!$A$165:$I$185,6,0)),0%,VLOOKUP(A15,'Données projet'!$A$165:$I$185,6,0)*VLOOKUP('Données projet'!$B$14,Paramètres!$A$1:$I$88,7,0))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projet'!$B$14,Paramètres!$A$1:$I$88,3,0)*0.475*44/12</f>
        <v>#N/A</v>
      </c>
      <c r="EB15" s="23" t="e">
        <f>EXP(-LN(2)/25)*EB14+(1-EXP(-LN(2)/25))/(LN(2)/25)*Calculateur!DW15*Calculateur!DY15*VLOOKUP('Données projet'!$B$14,Paramètres!$A$1:$I$88,3,0)*0.475*44/12</f>
        <v>#N/A</v>
      </c>
      <c r="EC15" s="23" t="e">
        <f>EXP(-LN(2)/2)*EC14+(1-EXP(-LN(2)/2))/(LN(2)/2)*DW15*DZ15*VLOOKUP('Données projet'!$B$14,Paramètres!$A$1:$I$88,3,0)*0.475*44/12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projet'!$B$15,Paramètres!$A$1:$I$88,3,0)*VLOOKUP('Données projet'!$B$15,Paramètres!$A$1:$I$88,5,0)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projet'!$B$15,Paramètres!$A$1:$I$88,7,0))</f>
        <v>0</v>
      </c>
      <c r="ET15" s="17">
        <f>IF(ISNA(VLOOKUP(A15,'Données projet'!$A$191:$I$211,6,0)),0%,VLOOKUP(A15,'Données projet'!$A$191:$I$211,6,0)*VLOOKUP('Données projet'!$B$15,Paramètres!$A$1:$I$88,7,0))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projet'!$B$15,Paramètres!$A$1:$I$88,3,0)*0.475*44/12</f>
        <v>#N/A</v>
      </c>
      <c r="EW15" s="23" t="e">
        <f>EXP(-LN(2)/25)*EW14+(1-EXP(-LN(2)/25))/(LN(2)/25)*Calculateur!ER15*Calculateur!ET15*VLOOKUP('Données projet'!$B$15,Paramètres!$A$1:$I$88,3,0)*0.475*44/12</f>
        <v>#N/A</v>
      </c>
      <c r="EX15" s="23" t="e">
        <f>EXP(-LN(2)/2)*EX14+(1-EXP(-LN(2)/2))/(LN(2)/2)*ER15*EU15*VLOOKUP('Données projet'!$B$15,Paramètres!$A$1:$I$88,3,0)*0.475*44/12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projet'!$B$16,Paramètres!$A$1:$I$88,3,0)*VLOOKUP('Données projet'!$B$16,Paramètres!$A$1:$I$88,5,0)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projet'!$B$16,Paramètres!$A$1:$I$88,7,0))</f>
        <v>0</v>
      </c>
      <c r="FO15" s="17">
        <f>IF(ISNA(VLOOKUP(A15,'Données projet'!$A$217:$I$237,6,0)),0%,VLOOKUP(A15,'Données projet'!$A$217:$I$237,6,0)*VLOOKUP('Données projet'!$B$16,Paramètres!$A$1:$I$88,7,0))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projet'!$B$16,Paramètres!$A$1:$I$88,3,0)*0.475*44/12</f>
        <v>#N/A</v>
      </c>
      <c r="FR15" s="23" t="e">
        <f>EXP(-LN(2)/25)*FR14+(1-EXP(-LN(2)/25))/(LN(2)/25)*Calculateur!FM15*Calculateur!FO15*VLOOKUP('Données projet'!$B$16,Paramètres!$A$1:$I$88,3,0)*0.475*44/12</f>
        <v>#N/A</v>
      </c>
      <c r="FS15" s="23" t="e">
        <f>EXP(-LN(2)/2)*FS14+(1-EXP(-LN(2)/2))/(LN(2)/2)*FM15*FP15*VLOOKUP('Données projet'!$B$16,Paramètres!$A$1:$I$88,3,0)*0.475*44/12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projet'!$B$17,Paramètres!$A$1:$I$88,3,0)*VLOOKUP('Données projet'!$B$17,Paramètres!$A$1:$I$88,5,0)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projet'!$B$17,Paramètres!$A$1:$I$88,7,0))</f>
        <v>0</v>
      </c>
      <c r="GJ15" s="17">
        <f>IF(ISNA(VLOOKUP(A15,'Données projet'!$A$243:$I$263,6,0)),0%,VLOOKUP(A15,'Données projet'!$A$243:$I$263,6,0)*VLOOKUP('Données projet'!$B$17,Paramètres!$A$1:$I$88,7,0))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projet'!$B$17,Paramètres!$A$1:$I$88,3,0)*0.475*44/12</f>
        <v>#N/A</v>
      </c>
      <c r="GM15" s="23" t="e">
        <f>EXP(-LN(2)/25)*GM14+(1-EXP(-LN(2)/25))/(LN(2)/25)*Calculateur!GH15*Calculateur!GJ15*VLOOKUP('Données projet'!$B$17,Paramètres!$A$1:$I$88,3,0)*0.475*44/12</f>
        <v>#N/A</v>
      </c>
      <c r="GN15" s="23" t="e">
        <f>EXP(-LN(2)/2)*GN14+(1-EXP(-LN(2)/2))/(LN(2)/2)*GH15*GK15*VLOOKUP('Données projet'!$B$17,Paramètres!$A$1:$I$88,3,0)*0.475*44/12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projet'!$B$18,Paramètres!$A$1:$I$88,3,0)*VLOOKUP('Données projet'!$B$18,Paramètres!$A$1:$I$88,5,0)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projet'!$B$18,Paramètres!$A$1:$I$88,7,0))</f>
        <v>0</v>
      </c>
      <c r="HE15" s="17">
        <f>IF(ISNA(VLOOKUP(A15,'Données projet'!$A$269:$I$289,6,0)),0%,VLOOKUP(A15,'Données projet'!$A$269:$I$289,6,0)*VLOOKUP('Données projet'!$B$18,Paramètres!$A$1:$I$88,7,0))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projet'!$B$18,Paramètres!$A$1:$I$88,3,0)*0.475*44/12</f>
        <v>#N/A</v>
      </c>
      <c r="HH15" s="23" t="e">
        <f>EXP(-LN(2)/25)*HH14+(1-EXP(-LN(2)/25))/(LN(2)/25)*Calculateur!HC15*Calculateur!HE15*VLOOKUP('Données projet'!$B$18,Paramètres!$A$1:$I$88,3,0)*0.475*44/12</f>
        <v>#N/A</v>
      </c>
      <c r="HI15" s="23" t="e">
        <f>EXP(-LN(2)/2)*HI14+(1-EXP(-LN(2)/2))/(LN(2)/2)*HC15*HF15*VLOOKUP('Données projet'!$B$18,Paramètres!$A$1:$I$88,3,0)*0.475*44/12</f>
        <v>#N/A</v>
      </c>
      <c r="HJ15" s="24" t="e">
        <f t="shared" si="30"/>
        <v>#N/A</v>
      </c>
    </row>
    <row r="16" spans="1:218" s="5" customFormat="1" x14ac:dyDescent="0.3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10.119999999999999</v>
      </c>
      <c r="N16" s="14">
        <f>IF('Données projet'!$A$36&gt;35,N15+M16-V15,IF(A16&lt;'Données projet'!$A$36,$K$205^A16,IF(A16='Données projet'!$A$36,'Données projet'!$B$36,N15+M16-V15)))</f>
        <v>17.767350547870222</v>
      </c>
      <c r="O16" s="14">
        <f>N16*VLOOKUP('Données projet'!$B$9,Paramètres!$A$1:$I$88,3,0)*VLOOKUP('Données projet'!$B$9,Paramètres!$A$1:$I$88,5,0)</f>
        <v>9.9319489562594541</v>
      </c>
      <c r="P16" s="14">
        <f t="shared" si="33"/>
        <v>3.5037388638352742</v>
      </c>
      <c r="Q16" s="22">
        <f t="shared" si="2"/>
        <v>23.400489619998314</v>
      </c>
      <c r="R16" s="62">
        <f t="shared" si="0"/>
        <v>222.94148987161714</v>
      </c>
      <c r="S16" s="62">
        <f ca="1">AVERAGE(OFFSET($R$3,0,0,'Données projet'!$E$9+1,1))-AVERAGE(OFFSET($H$3,0,0,'Données projet'!$E$9+1,1))</f>
        <v>367.03450586441784</v>
      </c>
      <c r="T16" s="62">
        <f t="shared" si="34"/>
        <v>413.14502442862897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projet'!$B$9,Paramètres!$A$1:$I$88,7,0))</f>
        <v>0</v>
      </c>
      <c r="X16" s="17">
        <f>IF(ISNA(VLOOKUP(A16,'Données projet'!$A$35:$I$55,6,0)),0%,VLOOKUP(A16,'Données projet'!$A$35:$I$55,6,0)*VLOOKUP('Données projet'!$B$9,Paramètres!$A$1:$I$88,7,0))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projet'!$B$9,Paramètres!$A$1:$I$88,3,0)*0.475*44/12</f>
        <v>0</v>
      </c>
      <c r="AA16" s="23">
        <f>EXP(-LN(2)/25)*AA15+(1-EXP(-LN(2)/25))/(LN(2)/25)*Calculateur!V16*Calculateur!X16*VLOOKUP('Données projet'!$B$9,Paramètres!$A$1:$I$88,3,0)*0.475*44/12</f>
        <v>0</v>
      </c>
      <c r="AB16" s="23">
        <f>EXP(-LN(2)/2)*AB15+(1-EXP(-LN(2)/2))/(LN(2)/2)*V16*Y16*VLOOKUP('Données projet'!$B$9,Paramètres!$A$1:$I$88,3,0)*0.475*44/12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projet'!$B$10,Paramètres!$A$1:$I$88,3,0)*VLOOKUP('Données projet'!$B$10,Paramètres!$A$1:$I$88,5,0)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projet'!$B$10,Paramètres!$A$1:$I$88,7,0))</f>
        <v>0</v>
      </c>
      <c r="AS16" s="17">
        <f>IF(ISNA(VLOOKUP(A16,'Données projet'!$A$61:$I$81,6,0)),0%,VLOOKUP(A16,'Données projet'!$A$61:$I$81,6,0)*VLOOKUP('Données projet'!$B$10,Paramètres!$A$1:$I$88,7,0))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projet'!$B$10,Paramètres!$A$1:$I$88,3,0)*0.475*44/12</f>
        <v>#N/A</v>
      </c>
      <c r="AV16" s="23" t="e">
        <f>EXP(-LN(2)/25)*AV15+(1-EXP(-LN(2)/25))/(LN(2)/25)*Calculateur!AQ16*Calculateur!AS16*VLOOKUP('Données projet'!$B$10,Paramètres!$A$1:$I$88,3,0)*0.475*44/12</f>
        <v>#N/A</v>
      </c>
      <c r="AW16" s="23" t="e">
        <f>EXP(-LN(2)/2)*AW15+(1-EXP(-LN(2)/2))/(LN(2)/2)*AQ16*AT16*VLOOKUP('Données projet'!$B$10,Paramètres!$A$1:$I$88,3,0)*0.475*44/12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projet'!$B$11,Paramètres!$A$1:$I$88,3,0)*VLOOKUP('Données projet'!$B$11,Paramètres!$A$1:$I$88,5,0)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projet'!$B$11,Paramètres!$A$1:$I$88,7,0))</f>
        <v>0</v>
      </c>
      <c r="BN16" s="17">
        <f>IF(ISNA(VLOOKUP(A16,'Données projet'!$A$87:$I$107,6,0)),0%,VLOOKUP(A16,'Données projet'!$A$87:$I$107,6,0)*VLOOKUP('Données projet'!$B$11,Paramètres!$A$1:$I$88,7,0))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projet'!$B$11,Paramètres!$A$1:$I$88,3,0)*0.475*44/12</f>
        <v>#N/A</v>
      </c>
      <c r="BQ16" s="23" t="e">
        <f>EXP(-LN(2)/25)*BQ15+(1-EXP(-LN(2)/25))/(LN(2)/25)*Calculateur!BL16*Calculateur!BN16*VLOOKUP('Données projet'!$B$11,Paramètres!$A$1:$I$88,3,0)*0.475*44/12</f>
        <v>#N/A</v>
      </c>
      <c r="BR16" s="23" t="e">
        <f>EXP(-LN(2)/2)*BR15+(1-EXP(-LN(2)/2))/(LN(2)/2)*BL16*BO16*VLOOKUP('Données projet'!$B$11,Paramètres!$A$1:$I$88,3,0)*0.475*44/12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projet'!$B$12,Paramètres!$A$1:$I$88,3,0)*VLOOKUP('Données projet'!$B$12,Paramètres!$A$1:$I$88,5,0)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projet'!$B$12,Paramètres!$A$1:$I$88,7,0))</f>
        <v>0</v>
      </c>
      <c r="CI16" s="17">
        <f>IF(ISNA(VLOOKUP(A16,'Données projet'!$A$113:$I$133,6,0)),0%,VLOOKUP(A16,'Données projet'!$A$113:$I$133,6,0)*VLOOKUP('Données projet'!$B$12,Paramètres!$A$1:$I$88,7,0))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projet'!$B$12,Paramètres!$A$1:$I$88,3,0)*0.475*44/12</f>
        <v>#N/A</v>
      </c>
      <c r="CL16" s="23" t="e">
        <f>EXP(-LN(2)/25)*CL15+(1-EXP(-LN(2)/25))/(LN(2)/25)*Calculateur!CG16*Calculateur!CI16*VLOOKUP('Données projet'!$B$12,Paramètres!$A$1:$I$88,3,0)*0.475*44/12</f>
        <v>#N/A</v>
      </c>
      <c r="CM16" s="23" t="e">
        <f>EXP(-LN(2)/2)*CM15+(1-EXP(-LN(2)/2))/(LN(2)/2)*CG16*CJ16*VLOOKUP('Données projet'!$B$12,Paramètres!$A$1:$I$88,3,0)*0.475*44/12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projet'!$B$13,Paramètres!$A$1:$I$88,3,0)*VLOOKUP('Données projet'!$B$13,Paramètres!$A$1:$I$88,5,0)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projet'!$B$13,Paramètres!$A$1:$I$88,7,0))</f>
        <v>0</v>
      </c>
      <c r="DD16" s="17">
        <f>IF(ISNA(VLOOKUP(A16,'Données projet'!$A$139:$I$159,6,0)),0%,VLOOKUP(A16,'Données projet'!$A$139:$I$159,6,0)*VLOOKUP('Données projet'!$B$13,Paramètres!$A$1:$I$88,7,0))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projet'!$B$13,Paramètres!$A$1:$I$88,3,0)*0.475*44/12</f>
        <v>#N/A</v>
      </c>
      <c r="DG16" s="23" t="e">
        <f>EXP(-LN(2)/25)*DG15+(1-EXP(-LN(2)/25))/(LN(2)/25)*Calculateur!DB16*Calculateur!DD16*VLOOKUP('Données projet'!$B$13,Paramètres!$A$1:$I$88,3,0)*0.475*44/12</f>
        <v>#N/A</v>
      </c>
      <c r="DH16" s="23" t="e">
        <f>EXP(-LN(2)/2)*DH15+(1-EXP(-LN(2)/2))/(LN(2)/2)*DB16*DE16*VLOOKUP('Données projet'!$B$13,Paramètres!$A$1:$I$88,3,0)*0.475*44/12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projet'!$B$14,Paramètres!$A$1:$I$88,3,0)*VLOOKUP('Données projet'!$B$14,Paramètres!$A$1:$I$88,5,0)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projet'!$B$14,Paramètres!$A$1:$I$88,7,0))</f>
        <v>0</v>
      </c>
      <c r="DY16" s="17">
        <f>IF(ISNA(VLOOKUP(A16,'Données projet'!$A$165:$I$185,6,0)),0%,VLOOKUP(A16,'Données projet'!$A$165:$I$185,6,0)*VLOOKUP('Données projet'!$B$14,Paramètres!$A$1:$I$88,7,0))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projet'!$B$14,Paramètres!$A$1:$I$88,3,0)*0.475*44/12</f>
        <v>#N/A</v>
      </c>
      <c r="EB16" s="23" t="e">
        <f>EXP(-LN(2)/25)*EB15+(1-EXP(-LN(2)/25))/(LN(2)/25)*Calculateur!DW16*Calculateur!DY16*VLOOKUP('Données projet'!$B$14,Paramètres!$A$1:$I$88,3,0)*0.475*44/12</f>
        <v>#N/A</v>
      </c>
      <c r="EC16" s="23" t="e">
        <f>EXP(-LN(2)/2)*EC15+(1-EXP(-LN(2)/2))/(LN(2)/2)*DW16*DZ16*VLOOKUP('Données projet'!$B$14,Paramètres!$A$1:$I$88,3,0)*0.475*44/12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projet'!$B$15,Paramètres!$A$1:$I$88,3,0)*VLOOKUP('Données projet'!$B$15,Paramètres!$A$1:$I$88,5,0)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projet'!$B$15,Paramètres!$A$1:$I$88,7,0))</f>
        <v>0</v>
      </c>
      <c r="ET16" s="17">
        <f>IF(ISNA(VLOOKUP(A16,'Données projet'!$A$191:$I$211,6,0)),0%,VLOOKUP(A16,'Données projet'!$A$191:$I$211,6,0)*VLOOKUP('Données projet'!$B$15,Paramètres!$A$1:$I$88,7,0))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projet'!$B$15,Paramètres!$A$1:$I$88,3,0)*0.475*44/12</f>
        <v>#N/A</v>
      </c>
      <c r="EW16" s="23" t="e">
        <f>EXP(-LN(2)/25)*EW15+(1-EXP(-LN(2)/25))/(LN(2)/25)*Calculateur!ER16*Calculateur!ET16*VLOOKUP('Données projet'!$B$15,Paramètres!$A$1:$I$88,3,0)*0.475*44/12</f>
        <v>#N/A</v>
      </c>
      <c r="EX16" s="23" t="e">
        <f>EXP(-LN(2)/2)*EX15+(1-EXP(-LN(2)/2))/(LN(2)/2)*ER16*EU16*VLOOKUP('Données projet'!$B$15,Paramètres!$A$1:$I$88,3,0)*0.475*44/12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projet'!$B$16,Paramètres!$A$1:$I$88,3,0)*VLOOKUP('Données projet'!$B$16,Paramètres!$A$1:$I$88,5,0)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projet'!$B$16,Paramètres!$A$1:$I$88,7,0))</f>
        <v>0</v>
      </c>
      <c r="FO16" s="17">
        <f>IF(ISNA(VLOOKUP(A16,'Données projet'!$A$217:$I$237,6,0)),0%,VLOOKUP(A16,'Données projet'!$A$217:$I$237,6,0)*VLOOKUP('Données projet'!$B$16,Paramètres!$A$1:$I$88,7,0))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projet'!$B$16,Paramètres!$A$1:$I$88,3,0)*0.475*44/12</f>
        <v>#N/A</v>
      </c>
      <c r="FR16" s="23" t="e">
        <f>EXP(-LN(2)/25)*FR15+(1-EXP(-LN(2)/25))/(LN(2)/25)*Calculateur!FM16*Calculateur!FO16*VLOOKUP('Données projet'!$B$16,Paramètres!$A$1:$I$88,3,0)*0.475*44/12</f>
        <v>#N/A</v>
      </c>
      <c r="FS16" s="23" t="e">
        <f>EXP(-LN(2)/2)*FS15+(1-EXP(-LN(2)/2))/(LN(2)/2)*FM16*FP16*VLOOKUP('Données projet'!$B$16,Paramètres!$A$1:$I$88,3,0)*0.475*44/12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projet'!$B$17,Paramètres!$A$1:$I$88,3,0)*VLOOKUP('Données projet'!$B$17,Paramètres!$A$1:$I$88,5,0)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projet'!$B$17,Paramètres!$A$1:$I$88,7,0))</f>
        <v>0</v>
      </c>
      <c r="GJ16" s="17">
        <f>IF(ISNA(VLOOKUP(A16,'Données projet'!$A$243:$I$263,6,0)),0%,VLOOKUP(A16,'Données projet'!$A$243:$I$263,6,0)*VLOOKUP('Données projet'!$B$17,Paramètres!$A$1:$I$88,7,0))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projet'!$B$17,Paramètres!$A$1:$I$88,3,0)*0.475*44/12</f>
        <v>#N/A</v>
      </c>
      <c r="GM16" s="23" t="e">
        <f>EXP(-LN(2)/25)*GM15+(1-EXP(-LN(2)/25))/(LN(2)/25)*Calculateur!GH16*Calculateur!GJ16*VLOOKUP('Données projet'!$B$17,Paramètres!$A$1:$I$88,3,0)*0.475*44/12</f>
        <v>#N/A</v>
      </c>
      <c r="GN16" s="23" t="e">
        <f>EXP(-LN(2)/2)*GN15+(1-EXP(-LN(2)/2))/(LN(2)/2)*GH16*GK16*VLOOKUP('Données projet'!$B$17,Paramètres!$A$1:$I$88,3,0)*0.475*44/12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projet'!$B$18,Paramètres!$A$1:$I$88,3,0)*VLOOKUP('Données projet'!$B$18,Paramètres!$A$1:$I$88,5,0)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projet'!$B$18,Paramètres!$A$1:$I$88,7,0))</f>
        <v>0</v>
      </c>
      <c r="HE16" s="17">
        <f>IF(ISNA(VLOOKUP(A16,'Données projet'!$A$269:$I$289,6,0)),0%,VLOOKUP(A16,'Données projet'!$A$269:$I$289,6,0)*VLOOKUP('Données projet'!$B$18,Paramètres!$A$1:$I$88,7,0))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projet'!$B$18,Paramètres!$A$1:$I$88,3,0)*0.475*44/12</f>
        <v>#N/A</v>
      </c>
      <c r="HH16" s="23" t="e">
        <f>EXP(-LN(2)/25)*HH15+(1-EXP(-LN(2)/25))/(LN(2)/25)*Calculateur!HC16*Calculateur!HE16*VLOOKUP('Données projet'!$B$18,Paramètres!$A$1:$I$88,3,0)*0.475*44/12</f>
        <v>#N/A</v>
      </c>
      <c r="HI16" s="23" t="e">
        <f>EXP(-LN(2)/2)*HI15+(1-EXP(-LN(2)/2))/(LN(2)/2)*HC16*HF16*VLOOKUP('Données projet'!$B$18,Paramètres!$A$1:$I$88,3,0)*0.475*44/12</f>
        <v>#N/A</v>
      </c>
      <c r="HJ16" s="24" t="e">
        <f t="shared" si="30"/>
        <v>#N/A</v>
      </c>
    </row>
    <row r="17" spans="1:218" s="5" customFormat="1" x14ac:dyDescent="0.3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10.119999999999999</v>
      </c>
      <c r="N17" s="14">
        <f>IF('Données projet'!$A$36&gt;35,N16+M17-V16,IF(A17&lt;'Données projet'!$A$36,$K$205^A17,IF(A17='Données projet'!$A$36,'Données projet'!$B$36,N16+M17-V16)))</f>
        <v>22.169070876082184</v>
      </c>
      <c r="O17" s="14">
        <f>N17*VLOOKUP('Données projet'!$B$9,Paramètres!$A$1:$I$88,3,0)*VLOOKUP('Données projet'!$B$9,Paramètres!$A$1:$I$88,5,0)</f>
        <v>12.392510619729942</v>
      </c>
      <c r="P17" s="14">
        <f t="shared" si="33"/>
        <v>4.260569186563723</v>
      </c>
      <c r="Q17" s="22">
        <f t="shared" si="2"/>
        <v>29.004113995961465</v>
      </c>
      <c r="R17" s="62">
        <f t="shared" si="0"/>
        <v>231.03397576823465</v>
      </c>
      <c r="S17" s="62">
        <f ca="1">AVERAGE(OFFSET($R$3,0,0,'Données projet'!$E$9+1,1))-AVERAGE(OFFSET($H$3,0,0,'Données projet'!$E$9+1,1))</f>
        <v>367.03450586441784</v>
      </c>
      <c r="T17" s="62">
        <f t="shared" si="34"/>
        <v>413.14502442862897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projet'!$B$9,Paramètres!$A$1:$I$88,7,0))</f>
        <v>0</v>
      </c>
      <c r="X17" s="17">
        <f>IF(ISNA(VLOOKUP(A17,'Données projet'!$A$35:$I$55,6,0)),0%,VLOOKUP(A17,'Données projet'!$A$35:$I$55,6,0)*VLOOKUP('Données projet'!$B$9,Paramètres!$A$1:$I$88,7,0))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projet'!$B$9,Paramètres!$A$1:$I$88,3,0)*0.475*44/12</f>
        <v>0</v>
      </c>
      <c r="AA17" s="23">
        <f>EXP(-LN(2)/25)*AA16+(1-EXP(-LN(2)/25))/(LN(2)/25)*Calculateur!V17*Calculateur!X17*VLOOKUP('Données projet'!$B$9,Paramètres!$A$1:$I$88,3,0)*0.475*44/12</f>
        <v>0</v>
      </c>
      <c r="AB17" s="23">
        <f>EXP(-LN(2)/2)*AB16+(1-EXP(-LN(2)/2))/(LN(2)/2)*V17*Y17*VLOOKUP('Données projet'!$B$9,Paramètres!$A$1:$I$88,3,0)*0.475*44/12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projet'!$B$10,Paramètres!$A$1:$I$88,3,0)*VLOOKUP('Données projet'!$B$10,Paramètres!$A$1:$I$88,5,0)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projet'!$B$10,Paramètres!$A$1:$I$88,7,0))</f>
        <v>0</v>
      </c>
      <c r="AS17" s="17">
        <f>IF(ISNA(VLOOKUP(A17,'Données projet'!$A$61:$I$81,6,0)),0%,VLOOKUP(A17,'Données projet'!$A$61:$I$81,6,0)*VLOOKUP('Données projet'!$B$10,Paramètres!$A$1:$I$88,7,0))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projet'!$B$10,Paramètres!$A$1:$I$88,3,0)*0.475*44/12</f>
        <v>#N/A</v>
      </c>
      <c r="AV17" s="23" t="e">
        <f>EXP(-LN(2)/25)*AV16+(1-EXP(-LN(2)/25))/(LN(2)/25)*Calculateur!AQ17*Calculateur!AS17*VLOOKUP('Données projet'!$B$10,Paramètres!$A$1:$I$88,3,0)*0.475*44/12</f>
        <v>#N/A</v>
      </c>
      <c r="AW17" s="23" t="e">
        <f>EXP(-LN(2)/2)*AW16+(1-EXP(-LN(2)/2))/(LN(2)/2)*AQ17*AT17*VLOOKUP('Données projet'!$B$10,Paramètres!$A$1:$I$88,3,0)*0.475*44/12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projet'!$B$11,Paramètres!$A$1:$I$88,3,0)*VLOOKUP('Données projet'!$B$11,Paramètres!$A$1:$I$88,5,0)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projet'!$B$11,Paramètres!$A$1:$I$88,7,0))</f>
        <v>0</v>
      </c>
      <c r="BN17" s="17">
        <f>IF(ISNA(VLOOKUP(A17,'Données projet'!$A$87:$I$107,6,0)),0%,VLOOKUP(A17,'Données projet'!$A$87:$I$107,6,0)*VLOOKUP('Données projet'!$B$11,Paramètres!$A$1:$I$88,7,0))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projet'!$B$11,Paramètres!$A$1:$I$88,3,0)*0.475*44/12</f>
        <v>#N/A</v>
      </c>
      <c r="BQ17" s="23" t="e">
        <f>EXP(-LN(2)/25)*BQ16+(1-EXP(-LN(2)/25))/(LN(2)/25)*Calculateur!BL17*Calculateur!BN17*VLOOKUP('Données projet'!$B$11,Paramètres!$A$1:$I$88,3,0)*0.475*44/12</f>
        <v>#N/A</v>
      </c>
      <c r="BR17" s="23" t="e">
        <f>EXP(-LN(2)/2)*BR16+(1-EXP(-LN(2)/2))/(LN(2)/2)*BL17*BO17*VLOOKUP('Données projet'!$B$11,Paramètres!$A$1:$I$88,3,0)*0.475*44/12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projet'!$B$12,Paramètres!$A$1:$I$88,3,0)*VLOOKUP('Données projet'!$B$12,Paramètres!$A$1:$I$88,5,0)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projet'!$B$12,Paramètres!$A$1:$I$88,7,0))</f>
        <v>0</v>
      </c>
      <c r="CI17" s="17">
        <f>IF(ISNA(VLOOKUP(A17,'Données projet'!$A$113:$I$133,6,0)),0%,VLOOKUP(A17,'Données projet'!$A$113:$I$133,6,0)*VLOOKUP('Données projet'!$B$12,Paramètres!$A$1:$I$88,7,0))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projet'!$B$12,Paramètres!$A$1:$I$88,3,0)*0.475*44/12</f>
        <v>#N/A</v>
      </c>
      <c r="CL17" s="23" t="e">
        <f>EXP(-LN(2)/25)*CL16+(1-EXP(-LN(2)/25))/(LN(2)/25)*Calculateur!CG17*Calculateur!CI17*VLOOKUP('Données projet'!$B$12,Paramètres!$A$1:$I$88,3,0)*0.475*44/12</f>
        <v>#N/A</v>
      </c>
      <c r="CM17" s="23" t="e">
        <f>EXP(-LN(2)/2)*CM16+(1-EXP(-LN(2)/2))/(LN(2)/2)*CG17*CJ17*VLOOKUP('Données projet'!$B$12,Paramètres!$A$1:$I$88,3,0)*0.475*44/12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projet'!$B$13,Paramètres!$A$1:$I$88,3,0)*VLOOKUP('Données projet'!$B$13,Paramètres!$A$1:$I$88,5,0)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projet'!$B$13,Paramètres!$A$1:$I$88,7,0))</f>
        <v>0</v>
      </c>
      <c r="DD17" s="17">
        <f>IF(ISNA(VLOOKUP(A17,'Données projet'!$A$139:$I$159,6,0)),0%,VLOOKUP(A17,'Données projet'!$A$139:$I$159,6,0)*VLOOKUP('Données projet'!$B$13,Paramètres!$A$1:$I$88,7,0))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projet'!$B$13,Paramètres!$A$1:$I$88,3,0)*0.475*44/12</f>
        <v>#N/A</v>
      </c>
      <c r="DG17" s="23" t="e">
        <f>EXP(-LN(2)/25)*DG16+(1-EXP(-LN(2)/25))/(LN(2)/25)*Calculateur!DB17*Calculateur!DD17*VLOOKUP('Données projet'!$B$13,Paramètres!$A$1:$I$88,3,0)*0.475*44/12</f>
        <v>#N/A</v>
      </c>
      <c r="DH17" s="23" t="e">
        <f>EXP(-LN(2)/2)*DH16+(1-EXP(-LN(2)/2))/(LN(2)/2)*DB17*DE17*VLOOKUP('Données projet'!$B$13,Paramètres!$A$1:$I$88,3,0)*0.475*44/12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projet'!$B$14,Paramètres!$A$1:$I$88,3,0)*VLOOKUP('Données projet'!$B$14,Paramètres!$A$1:$I$88,5,0)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projet'!$B$14,Paramètres!$A$1:$I$88,7,0))</f>
        <v>0</v>
      </c>
      <c r="DY17" s="17">
        <f>IF(ISNA(VLOOKUP(A17,'Données projet'!$A$165:$I$185,6,0)),0%,VLOOKUP(A17,'Données projet'!$A$165:$I$185,6,0)*VLOOKUP('Données projet'!$B$14,Paramètres!$A$1:$I$88,7,0))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projet'!$B$14,Paramètres!$A$1:$I$88,3,0)*0.475*44/12</f>
        <v>#N/A</v>
      </c>
      <c r="EB17" s="23" t="e">
        <f>EXP(-LN(2)/25)*EB16+(1-EXP(-LN(2)/25))/(LN(2)/25)*Calculateur!DW17*Calculateur!DY17*VLOOKUP('Données projet'!$B$14,Paramètres!$A$1:$I$88,3,0)*0.475*44/12</f>
        <v>#N/A</v>
      </c>
      <c r="EC17" s="23" t="e">
        <f>EXP(-LN(2)/2)*EC16+(1-EXP(-LN(2)/2))/(LN(2)/2)*DW17*DZ17*VLOOKUP('Données projet'!$B$14,Paramètres!$A$1:$I$88,3,0)*0.475*44/12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projet'!$B$15,Paramètres!$A$1:$I$88,3,0)*VLOOKUP('Données projet'!$B$15,Paramètres!$A$1:$I$88,5,0)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projet'!$B$15,Paramètres!$A$1:$I$88,7,0))</f>
        <v>0</v>
      </c>
      <c r="ET17" s="17">
        <f>IF(ISNA(VLOOKUP(A17,'Données projet'!$A$191:$I$211,6,0)),0%,VLOOKUP(A17,'Données projet'!$A$191:$I$211,6,0)*VLOOKUP('Données projet'!$B$15,Paramètres!$A$1:$I$88,7,0))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projet'!$B$15,Paramètres!$A$1:$I$88,3,0)*0.475*44/12</f>
        <v>#N/A</v>
      </c>
      <c r="EW17" s="23" t="e">
        <f>EXP(-LN(2)/25)*EW16+(1-EXP(-LN(2)/25))/(LN(2)/25)*Calculateur!ER17*Calculateur!ET17*VLOOKUP('Données projet'!$B$15,Paramètres!$A$1:$I$88,3,0)*0.475*44/12</f>
        <v>#N/A</v>
      </c>
      <c r="EX17" s="23" t="e">
        <f>EXP(-LN(2)/2)*EX16+(1-EXP(-LN(2)/2))/(LN(2)/2)*ER17*EU17*VLOOKUP('Données projet'!$B$15,Paramètres!$A$1:$I$88,3,0)*0.475*44/12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projet'!$B$16,Paramètres!$A$1:$I$88,3,0)*VLOOKUP('Données projet'!$B$16,Paramètres!$A$1:$I$88,5,0)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projet'!$B$16,Paramètres!$A$1:$I$88,7,0))</f>
        <v>0</v>
      </c>
      <c r="FO17" s="17">
        <f>IF(ISNA(VLOOKUP(A17,'Données projet'!$A$217:$I$237,6,0)),0%,VLOOKUP(A17,'Données projet'!$A$217:$I$237,6,0)*VLOOKUP('Données projet'!$B$16,Paramètres!$A$1:$I$88,7,0))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projet'!$B$16,Paramètres!$A$1:$I$88,3,0)*0.475*44/12</f>
        <v>#N/A</v>
      </c>
      <c r="FR17" s="23" t="e">
        <f>EXP(-LN(2)/25)*FR16+(1-EXP(-LN(2)/25))/(LN(2)/25)*Calculateur!FM17*Calculateur!FO17*VLOOKUP('Données projet'!$B$16,Paramètres!$A$1:$I$88,3,0)*0.475*44/12</f>
        <v>#N/A</v>
      </c>
      <c r="FS17" s="23" t="e">
        <f>EXP(-LN(2)/2)*FS16+(1-EXP(-LN(2)/2))/(LN(2)/2)*FM17*FP17*VLOOKUP('Données projet'!$B$16,Paramètres!$A$1:$I$88,3,0)*0.475*44/12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projet'!$B$17,Paramètres!$A$1:$I$88,3,0)*VLOOKUP('Données projet'!$B$17,Paramètres!$A$1:$I$88,5,0)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projet'!$B$17,Paramètres!$A$1:$I$88,7,0))</f>
        <v>0</v>
      </c>
      <c r="GJ17" s="17">
        <f>IF(ISNA(VLOOKUP(A17,'Données projet'!$A$243:$I$263,6,0)),0%,VLOOKUP(A17,'Données projet'!$A$243:$I$263,6,0)*VLOOKUP('Données projet'!$B$17,Paramètres!$A$1:$I$88,7,0))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projet'!$B$17,Paramètres!$A$1:$I$88,3,0)*0.475*44/12</f>
        <v>#N/A</v>
      </c>
      <c r="GM17" s="23" t="e">
        <f>EXP(-LN(2)/25)*GM16+(1-EXP(-LN(2)/25))/(LN(2)/25)*Calculateur!GH17*Calculateur!GJ17*VLOOKUP('Données projet'!$B$17,Paramètres!$A$1:$I$88,3,0)*0.475*44/12</f>
        <v>#N/A</v>
      </c>
      <c r="GN17" s="23" t="e">
        <f>EXP(-LN(2)/2)*GN16+(1-EXP(-LN(2)/2))/(LN(2)/2)*GH17*GK17*VLOOKUP('Données projet'!$B$17,Paramètres!$A$1:$I$88,3,0)*0.475*44/12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projet'!$B$18,Paramètres!$A$1:$I$88,3,0)*VLOOKUP('Données projet'!$B$18,Paramètres!$A$1:$I$88,5,0)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projet'!$B$18,Paramètres!$A$1:$I$88,7,0))</f>
        <v>0</v>
      </c>
      <c r="HE17" s="17">
        <f>IF(ISNA(VLOOKUP(A17,'Données projet'!$A$269:$I$289,6,0)),0%,VLOOKUP(A17,'Données projet'!$A$269:$I$289,6,0)*VLOOKUP('Données projet'!$B$18,Paramètres!$A$1:$I$88,7,0))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projet'!$B$18,Paramètres!$A$1:$I$88,3,0)*0.475*44/12</f>
        <v>#N/A</v>
      </c>
      <c r="HH17" s="23" t="e">
        <f>EXP(-LN(2)/25)*HH16+(1-EXP(-LN(2)/25))/(LN(2)/25)*Calculateur!HC17*Calculateur!HE17*VLOOKUP('Données projet'!$B$18,Paramètres!$A$1:$I$88,3,0)*0.475*44/12</f>
        <v>#N/A</v>
      </c>
      <c r="HI17" s="23" t="e">
        <f>EXP(-LN(2)/2)*HI16+(1-EXP(-LN(2)/2))/(LN(2)/2)*HC17*HF17*VLOOKUP('Données projet'!$B$18,Paramètres!$A$1:$I$88,3,0)*0.475*44/12</f>
        <v>#N/A</v>
      </c>
      <c r="HJ17" s="24" t="e">
        <f t="shared" si="30"/>
        <v>#N/A</v>
      </c>
    </row>
    <row r="18" spans="1:218" s="5" customFormat="1" x14ac:dyDescent="0.3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10.119999999999999</v>
      </c>
      <c r="N18" s="14">
        <f>IF('Données projet'!$A$36&gt;35,N17+M18-V17,IF(A18&lt;'Données projet'!$A$36,$K$205^A18,IF(A18='Données projet'!$A$36,'Données projet'!$B$36,N17+M18-V17)))</f>
        <v>27.661282540950811</v>
      </c>
      <c r="O18" s="14">
        <f>N18*VLOOKUP('Données projet'!$B$9,Paramètres!$A$1:$I$88,3,0)*VLOOKUP('Données projet'!$B$9,Paramètres!$A$1:$I$88,5,0)</f>
        <v>15.462656940391502</v>
      </c>
      <c r="P18" s="14">
        <f t="shared" si="33"/>
        <v>5.1808797684271957</v>
      </c>
      <c r="Q18" s="22">
        <f t="shared" si="2"/>
        <v>35.954159767859231</v>
      </c>
      <c r="R18" s="62">
        <f t="shared" si="0"/>
        <v>240.45090970074028</v>
      </c>
      <c r="S18" s="62">
        <f ca="1">AVERAGE(OFFSET($R$3,0,0,'Données projet'!$E$9+1,1))-AVERAGE(OFFSET($H$3,0,0,'Données projet'!$E$9+1,1))</f>
        <v>367.03450586441784</v>
      </c>
      <c r="T18" s="62">
        <f t="shared" si="34"/>
        <v>413.14502442862897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projet'!$B$9,Paramètres!$A$1:$I$88,7,0))</f>
        <v>0</v>
      </c>
      <c r="X18" s="17">
        <f>IF(ISNA(VLOOKUP(A18,'Données projet'!$A$35:$I$55,6,0)),0%,VLOOKUP(A18,'Données projet'!$A$35:$I$55,6,0)*VLOOKUP('Données projet'!$B$9,Paramètres!$A$1:$I$88,7,0))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projet'!$B$9,Paramètres!$A$1:$I$88,3,0)*0.475*44/12</f>
        <v>0</v>
      </c>
      <c r="AA18" s="23">
        <f>EXP(-LN(2)/25)*AA17+(1-EXP(-LN(2)/25))/(LN(2)/25)*Calculateur!V18*Calculateur!X18*VLOOKUP('Données projet'!$B$9,Paramètres!$A$1:$I$88,3,0)*0.475*44/12</f>
        <v>0</v>
      </c>
      <c r="AB18" s="23">
        <f>EXP(-LN(2)/2)*AB17+(1-EXP(-LN(2)/2))/(LN(2)/2)*V18*Y18*VLOOKUP('Données projet'!$B$9,Paramètres!$A$1:$I$88,3,0)*0.475*44/12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projet'!$B$10,Paramètres!$A$1:$I$88,3,0)*VLOOKUP('Données projet'!$B$10,Paramètres!$A$1:$I$88,5,0)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projet'!$B$10,Paramètres!$A$1:$I$88,7,0))</f>
        <v>0</v>
      </c>
      <c r="AS18" s="17">
        <f>IF(ISNA(VLOOKUP(A18,'Données projet'!$A$61:$I$81,6,0)),0%,VLOOKUP(A18,'Données projet'!$A$61:$I$81,6,0)*VLOOKUP('Données projet'!$B$10,Paramètres!$A$1:$I$88,7,0))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projet'!$B$10,Paramètres!$A$1:$I$88,3,0)*0.475*44/12</f>
        <v>#N/A</v>
      </c>
      <c r="AV18" s="23" t="e">
        <f>EXP(-LN(2)/25)*AV17+(1-EXP(-LN(2)/25))/(LN(2)/25)*Calculateur!AQ18*Calculateur!AS18*VLOOKUP('Données projet'!$B$10,Paramètres!$A$1:$I$88,3,0)*0.475*44/12</f>
        <v>#N/A</v>
      </c>
      <c r="AW18" s="23" t="e">
        <f>EXP(-LN(2)/2)*AW17+(1-EXP(-LN(2)/2))/(LN(2)/2)*AQ18*AT18*VLOOKUP('Données projet'!$B$10,Paramètres!$A$1:$I$88,3,0)*0.475*44/12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projet'!$B$11,Paramètres!$A$1:$I$88,3,0)*VLOOKUP('Données projet'!$B$11,Paramètres!$A$1:$I$88,5,0)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projet'!$B$11,Paramètres!$A$1:$I$88,7,0))</f>
        <v>0</v>
      </c>
      <c r="BN18" s="17">
        <f>IF(ISNA(VLOOKUP(A18,'Données projet'!$A$87:$I$107,6,0)),0%,VLOOKUP(A18,'Données projet'!$A$87:$I$107,6,0)*VLOOKUP('Données projet'!$B$11,Paramètres!$A$1:$I$88,7,0))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projet'!$B$11,Paramètres!$A$1:$I$88,3,0)*0.475*44/12</f>
        <v>#N/A</v>
      </c>
      <c r="BQ18" s="23" t="e">
        <f>EXP(-LN(2)/25)*BQ17+(1-EXP(-LN(2)/25))/(LN(2)/25)*Calculateur!BL18*Calculateur!BN18*VLOOKUP('Données projet'!$B$11,Paramètres!$A$1:$I$88,3,0)*0.475*44/12</f>
        <v>#N/A</v>
      </c>
      <c r="BR18" s="23" t="e">
        <f>EXP(-LN(2)/2)*BR17+(1-EXP(-LN(2)/2))/(LN(2)/2)*BL18*BO18*VLOOKUP('Données projet'!$B$11,Paramètres!$A$1:$I$88,3,0)*0.475*44/12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projet'!$B$12,Paramètres!$A$1:$I$88,3,0)*VLOOKUP('Données projet'!$B$12,Paramètres!$A$1:$I$88,5,0)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projet'!$B$12,Paramètres!$A$1:$I$88,7,0))</f>
        <v>0</v>
      </c>
      <c r="CI18" s="17">
        <f>IF(ISNA(VLOOKUP(A18,'Données projet'!$A$113:$I$133,6,0)),0%,VLOOKUP(A18,'Données projet'!$A$113:$I$133,6,0)*VLOOKUP('Données projet'!$B$12,Paramètres!$A$1:$I$88,7,0))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projet'!$B$12,Paramètres!$A$1:$I$88,3,0)*0.475*44/12</f>
        <v>#N/A</v>
      </c>
      <c r="CL18" s="23" t="e">
        <f>EXP(-LN(2)/25)*CL17+(1-EXP(-LN(2)/25))/(LN(2)/25)*Calculateur!CG18*Calculateur!CI18*VLOOKUP('Données projet'!$B$12,Paramètres!$A$1:$I$88,3,0)*0.475*44/12</f>
        <v>#N/A</v>
      </c>
      <c r="CM18" s="23" t="e">
        <f>EXP(-LN(2)/2)*CM17+(1-EXP(-LN(2)/2))/(LN(2)/2)*CG18*CJ18*VLOOKUP('Données projet'!$B$12,Paramètres!$A$1:$I$88,3,0)*0.475*44/12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projet'!$B$13,Paramètres!$A$1:$I$88,3,0)*VLOOKUP('Données projet'!$B$13,Paramètres!$A$1:$I$88,5,0)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projet'!$B$13,Paramètres!$A$1:$I$88,7,0))</f>
        <v>0</v>
      </c>
      <c r="DD18" s="17">
        <f>IF(ISNA(VLOOKUP(A18,'Données projet'!$A$139:$I$159,6,0)),0%,VLOOKUP(A18,'Données projet'!$A$139:$I$159,6,0)*VLOOKUP('Données projet'!$B$13,Paramètres!$A$1:$I$88,7,0))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projet'!$B$13,Paramètres!$A$1:$I$88,3,0)*0.475*44/12</f>
        <v>#N/A</v>
      </c>
      <c r="DG18" s="23" t="e">
        <f>EXP(-LN(2)/25)*DG17+(1-EXP(-LN(2)/25))/(LN(2)/25)*Calculateur!DB18*Calculateur!DD18*VLOOKUP('Données projet'!$B$13,Paramètres!$A$1:$I$88,3,0)*0.475*44/12</f>
        <v>#N/A</v>
      </c>
      <c r="DH18" s="23" t="e">
        <f>EXP(-LN(2)/2)*DH17+(1-EXP(-LN(2)/2))/(LN(2)/2)*DB18*DE18*VLOOKUP('Données projet'!$B$13,Paramètres!$A$1:$I$88,3,0)*0.475*44/12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projet'!$B$14,Paramètres!$A$1:$I$88,3,0)*VLOOKUP('Données projet'!$B$14,Paramètres!$A$1:$I$88,5,0)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projet'!$B$14,Paramètres!$A$1:$I$88,7,0))</f>
        <v>0</v>
      </c>
      <c r="DY18" s="17">
        <f>IF(ISNA(VLOOKUP(A18,'Données projet'!$A$165:$I$185,6,0)),0%,VLOOKUP(A18,'Données projet'!$A$165:$I$185,6,0)*VLOOKUP('Données projet'!$B$14,Paramètres!$A$1:$I$88,7,0))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projet'!$B$14,Paramètres!$A$1:$I$88,3,0)*0.475*44/12</f>
        <v>#N/A</v>
      </c>
      <c r="EB18" s="23" t="e">
        <f>EXP(-LN(2)/25)*EB17+(1-EXP(-LN(2)/25))/(LN(2)/25)*Calculateur!DW18*Calculateur!DY18*VLOOKUP('Données projet'!$B$14,Paramètres!$A$1:$I$88,3,0)*0.475*44/12</f>
        <v>#N/A</v>
      </c>
      <c r="EC18" s="23" t="e">
        <f>EXP(-LN(2)/2)*EC17+(1-EXP(-LN(2)/2))/(LN(2)/2)*DW18*DZ18*VLOOKUP('Données projet'!$B$14,Paramètres!$A$1:$I$88,3,0)*0.475*44/12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projet'!$B$15,Paramètres!$A$1:$I$88,3,0)*VLOOKUP('Données projet'!$B$15,Paramètres!$A$1:$I$88,5,0)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projet'!$B$15,Paramètres!$A$1:$I$88,7,0))</f>
        <v>0</v>
      </c>
      <c r="ET18" s="17">
        <f>IF(ISNA(VLOOKUP(A18,'Données projet'!$A$191:$I$211,6,0)),0%,VLOOKUP(A18,'Données projet'!$A$191:$I$211,6,0)*VLOOKUP('Données projet'!$B$15,Paramètres!$A$1:$I$88,7,0))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projet'!$B$15,Paramètres!$A$1:$I$88,3,0)*0.475*44/12</f>
        <v>#N/A</v>
      </c>
      <c r="EW18" s="23" t="e">
        <f>EXP(-LN(2)/25)*EW17+(1-EXP(-LN(2)/25))/(LN(2)/25)*Calculateur!ER18*Calculateur!ET18*VLOOKUP('Données projet'!$B$15,Paramètres!$A$1:$I$88,3,0)*0.475*44/12</f>
        <v>#N/A</v>
      </c>
      <c r="EX18" s="23" t="e">
        <f>EXP(-LN(2)/2)*EX17+(1-EXP(-LN(2)/2))/(LN(2)/2)*ER18*EU18*VLOOKUP('Données projet'!$B$15,Paramètres!$A$1:$I$88,3,0)*0.475*44/12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projet'!$B$16,Paramètres!$A$1:$I$88,3,0)*VLOOKUP('Données projet'!$B$16,Paramètres!$A$1:$I$88,5,0)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projet'!$B$16,Paramètres!$A$1:$I$88,7,0))</f>
        <v>0</v>
      </c>
      <c r="FO18" s="17">
        <f>IF(ISNA(VLOOKUP(A18,'Données projet'!$A$217:$I$237,6,0)),0%,VLOOKUP(A18,'Données projet'!$A$217:$I$237,6,0)*VLOOKUP('Données projet'!$B$16,Paramètres!$A$1:$I$88,7,0))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projet'!$B$16,Paramètres!$A$1:$I$88,3,0)*0.475*44/12</f>
        <v>#N/A</v>
      </c>
      <c r="FR18" s="23" t="e">
        <f>EXP(-LN(2)/25)*FR17+(1-EXP(-LN(2)/25))/(LN(2)/25)*Calculateur!FM18*Calculateur!FO18*VLOOKUP('Données projet'!$B$16,Paramètres!$A$1:$I$88,3,0)*0.475*44/12</f>
        <v>#N/A</v>
      </c>
      <c r="FS18" s="23" t="e">
        <f>EXP(-LN(2)/2)*FS17+(1-EXP(-LN(2)/2))/(LN(2)/2)*FM18*FP18*VLOOKUP('Données projet'!$B$16,Paramètres!$A$1:$I$88,3,0)*0.475*44/12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projet'!$B$17,Paramètres!$A$1:$I$88,3,0)*VLOOKUP('Données projet'!$B$17,Paramètres!$A$1:$I$88,5,0)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projet'!$B$17,Paramètres!$A$1:$I$88,7,0))</f>
        <v>0</v>
      </c>
      <c r="GJ18" s="17">
        <f>IF(ISNA(VLOOKUP(A18,'Données projet'!$A$243:$I$263,6,0)),0%,VLOOKUP(A18,'Données projet'!$A$243:$I$263,6,0)*VLOOKUP('Données projet'!$B$17,Paramètres!$A$1:$I$88,7,0))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projet'!$B$17,Paramètres!$A$1:$I$88,3,0)*0.475*44/12</f>
        <v>#N/A</v>
      </c>
      <c r="GM18" s="23" t="e">
        <f>EXP(-LN(2)/25)*GM17+(1-EXP(-LN(2)/25))/(LN(2)/25)*Calculateur!GH18*Calculateur!GJ18*VLOOKUP('Données projet'!$B$17,Paramètres!$A$1:$I$88,3,0)*0.475*44/12</f>
        <v>#N/A</v>
      </c>
      <c r="GN18" s="23" t="e">
        <f>EXP(-LN(2)/2)*GN17+(1-EXP(-LN(2)/2))/(LN(2)/2)*GH18*GK18*VLOOKUP('Données projet'!$B$17,Paramètres!$A$1:$I$88,3,0)*0.475*44/12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projet'!$B$18,Paramètres!$A$1:$I$88,3,0)*VLOOKUP('Données projet'!$B$18,Paramètres!$A$1:$I$88,5,0)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projet'!$B$18,Paramètres!$A$1:$I$88,7,0))</f>
        <v>0</v>
      </c>
      <c r="HE18" s="17">
        <f>IF(ISNA(VLOOKUP(A18,'Données projet'!$A$269:$I$289,6,0)),0%,VLOOKUP(A18,'Données projet'!$A$269:$I$289,6,0)*VLOOKUP('Données projet'!$B$18,Paramètres!$A$1:$I$88,7,0))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projet'!$B$18,Paramètres!$A$1:$I$88,3,0)*0.475*44/12</f>
        <v>#N/A</v>
      </c>
      <c r="HH18" s="23" t="e">
        <f>EXP(-LN(2)/25)*HH17+(1-EXP(-LN(2)/25))/(LN(2)/25)*Calculateur!HC18*Calculateur!HE18*VLOOKUP('Données projet'!$B$18,Paramètres!$A$1:$I$88,3,0)*0.475*44/12</f>
        <v>#N/A</v>
      </c>
      <c r="HI18" s="23" t="e">
        <f>EXP(-LN(2)/2)*HI17+(1-EXP(-LN(2)/2))/(LN(2)/2)*HC18*HF18*VLOOKUP('Données projet'!$B$18,Paramètres!$A$1:$I$88,3,0)*0.475*44/12</f>
        <v>#N/A</v>
      </c>
      <c r="HJ18" s="24" t="e">
        <f t="shared" si="30"/>
        <v>#N/A</v>
      </c>
    </row>
    <row r="19" spans="1:218" s="5" customFormat="1" x14ac:dyDescent="0.3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10.119999999999999</v>
      </c>
      <c r="N19" s="14">
        <f>IF('Données projet'!$A$36&gt;35,N18+M19-V18,IF(A19&lt;'Données projet'!$A$36,$K$205^A19,IF(A19='Données projet'!$A$36,'Données projet'!$B$36,N18+M19-V18)))</f>
        <v>34.51414613121262</v>
      </c>
      <c r="O19" s="14">
        <f>N19*VLOOKUP('Données projet'!$B$9,Paramètres!$A$1:$I$88,3,0)*VLOOKUP('Données projet'!$B$9,Paramètres!$A$1:$I$88,5,0)</f>
        <v>19.293407687347855</v>
      </c>
      <c r="P19" s="14">
        <f t="shared" si="33"/>
        <v>6.2999834058666524</v>
      </c>
      <c r="Q19" s="22">
        <f t="shared" si="2"/>
        <v>44.575156154015268</v>
      </c>
      <c r="R19" s="62">
        <f t="shared" si="0"/>
        <v>251.51720207612934</v>
      </c>
      <c r="S19" s="62">
        <f ca="1">AVERAGE(OFFSET($R$3,0,0,'Données projet'!$E$9+1,1))-AVERAGE(OFFSET($H$3,0,0,'Données projet'!$E$9+1,1))</f>
        <v>367.03450586441784</v>
      </c>
      <c r="T19" s="62">
        <f t="shared" si="34"/>
        <v>413.14502442862897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projet'!$B$9,Paramètres!$A$1:$I$88,7,0))</f>
        <v>0</v>
      </c>
      <c r="X19" s="17">
        <f>IF(ISNA(VLOOKUP(A19,'Données projet'!$A$35:$I$55,6,0)),0%,VLOOKUP(A19,'Données projet'!$A$35:$I$55,6,0)*VLOOKUP('Données projet'!$B$9,Paramètres!$A$1:$I$88,7,0))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projet'!$B$9,Paramètres!$A$1:$I$88,3,0)*0.475*44/12</f>
        <v>0</v>
      </c>
      <c r="AA19" s="23">
        <f>EXP(-LN(2)/25)*AA18+(1-EXP(-LN(2)/25))/(LN(2)/25)*Calculateur!V19*Calculateur!X19*VLOOKUP('Données projet'!$B$9,Paramètres!$A$1:$I$88,3,0)*0.475*44/12</f>
        <v>0</v>
      </c>
      <c r="AB19" s="23">
        <f>EXP(-LN(2)/2)*AB18+(1-EXP(-LN(2)/2))/(LN(2)/2)*V19*Y19*VLOOKUP('Données projet'!$B$9,Paramètres!$A$1:$I$88,3,0)*0.475*44/12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projet'!$B$10,Paramètres!$A$1:$I$88,3,0)*VLOOKUP('Données projet'!$B$10,Paramètres!$A$1:$I$88,5,0)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projet'!$B$10,Paramètres!$A$1:$I$88,7,0))</f>
        <v>0</v>
      </c>
      <c r="AS19" s="17">
        <f>IF(ISNA(VLOOKUP(A19,'Données projet'!$A$61:$I$81,6,0)),0%,VLOOKUP(A19,'Données projet'!$A$61:$I$81,6,0)*VLOOKUP('Données projet'!$B$10,Paramètres!$A$1:$I$88,7,0))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projet'!$B$10,Paramètres!$A$1:$I$88,3,0)*0.475*44/12</f>
        <v>#N/A</v>
      </c>
      <c r="AV19" s="23" t="e">
        <f>EXP(-LN(2)/25)*AV18+(1-EXP(-LN(2)/25))/(LN(2)/25)*Calculateur!AQ19*Calculateur!AS19*VLOOKUP('Données projet'!$B$10,Paramètres!$A$1:$I$88,3,0)*0.475*44/12</f>
        <v>#N/A</v>
      </c>
      <c r="AW19" s="23" t="e">
        <f>EXP(-LN(2)/2)*AW18+(1-EXP(-LN(2)/2))/(LN(2)/2)*AQ19*AT19*VLOOKUP('Données projet'!$B$10,Paramètres!$A$1:$I$88,3,0)*0.475*44/12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projet'!$B$11,Paramètres!$A$1:$I$88,3,0)*VLOOKUP('Données projet'!$B$11,Paramètres!$A$1:$I$88,5,0)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projet'!$B$11,Paramètres!$A$1:$I$88,7,0))</f>
        <v>0</v>
      </c>
      <c r="BN19" s="17">
        <f>IF(ISNA(VLOOKUP(A19,'Données projet'!$A$87:$I$107,6,0)),0%,VLOOKUP(A19,'Données projet'!$A$87:$I$107,6,0)*VLOOKUP('Données projet'!$B$11,Paramètres!$A$1:$I$88,7,0))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projet'!$B$11,Paramètres!$A$1:$I$88,3,0)*0.475*44/12</f>
        <v>#N/A</v>
      </c>
      <c r="BQ19" s="23" t="e">
        <f>EXP(-LN(2)/25)*BQ18+(1-EXP(-LN(2)/25))/(LN(2)/25)*Calculateur!BL19*Calculateur!BN19*VLOOKUP('Données projet'!$B$11,Paramètres!$A$1:$I$88,3,0)*0.475*44/12</f>
        <v>#N/A</v>
      </c>
      <c r="BR19" s="23" t="e">
        <f>EXP(-LN(2)/2)*BR18+(1-EXP(-LN(2)/2))/(LN(2)/2)*BL19*BO19*VLOOKUP('Données projet'!$B$11,Paramètres!$A$1:$I$88,3,0)*0.475*44/12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projet'!$B$12,Paramètres!$A$1:$I$88,3,0)*VLOOKUP('Données projet'!$B$12,Paramètres!$A$1:$I$88,5,0)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projet'!$B$12,Paramètres!$A$1:$I$88,7,0))</f>
        <v>0</v>
      </c>
      <c r="CI19" s="17">
        <f>IF(ISNA(VLOOKUP(A19,'Données projet'!$A$113:$I$133,6,0)),0%,VLOOKUP(A19,'Données projet'!$A$113:$I$133,6,0)*VLOOKUP('Données projet'!$B$12,Paramètres!$A$1:$I$88,7,0))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projet'!$B$12,Paramètres!$A$1:$I$88,3,0)*0.475*44/12</f>
        <v>#N/A</v>
      </c>
      <c r="CL19" s="23" t="e">
        <f>EXP(-LN(2)/25)*CL18+(1-EXP(-LN(2)/25))/(LN(2)/25)*Calculateur!CG19*Calculateur!CI19*VLOOKUP('Données projet'!$B$12,Paramètres!$A$1:$I$88,3,0)*0.475*44/12</f>
        <v>#N/A</v>
      </c>
      <c r="CM19" s="23" t="e">
        <f>EXP(-LN(2)/2)*CM18+(1-EXP(-LN(2)/2))/(LN(2)/2)*CG19*CJ19*VLOOKUP('Données projet'!$B$12,Paramètres!$A$1:$I$88,3,0)*0.475*44/12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projet'!$B$13,Paramètres!$A$1:$I$88,3,0)*VLOOKUP('Données projet'!$B$13,Paramètres!$A$1:$I$88,5,0)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projet'!$B$13,Paramètres!$A$1:$I$88,7,0))</f>
        <v>0</v>
      </c>
      <c r="DD19" s="17">
        <f>IF(ISNA(VLOOKUP(A19,'Données projet'!$A$139:$I$159,6,0)),0%,VLOOKUP(A19,'Données projet'!$A$139:$I$159,6,0)*VLOOKUP('Données projet'!$B$13,Paramètres!$A$1:$I$88,7,0))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projet'!$B$13,Paramètres!$A$1:$I$88,3,0)*0.475*44/12</f>
        <v>#N/A</v>
      </c>
      <c r="DG19" s="23" t="e">
        <f>EXP(-LN(2)/25)*DG18+(1-EXP(-LN(2)/25))/(LN(2)/25)*Calculateur!DB19*Calculateur!DD19*VLOOKUP('Données projet'!$B$13,Paramètres!$A$1:$I$88,3,0)*0.475*44/12</f>
        <v>#N/A</v>
      </c>
      <c r="DH19" s="23" t="e">
        <f>EXP(-LN(2)/2)*DH18+(1-EXP(-LN(2)/2))/(LN(2)/2)*DB19*DE19*VLOOKUP('Données projet'!$B$13,Paramètres!$A$1:$I$88,3,0)*0.475*44/12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projet'!$B$14,Paramètres!$A$1:$I$88,3,0)*VLOOKUP('Données projet'!$B$14,Paramètres!$A$1:$I$88,5,0)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projet'!$B$14,Paramètres!$A$1:$I$88,7,0))</f>
        <v>0</v>
      </c>
      <c r="DY19" s="17">
        <f>IF(ISNA(VLOOKUP(A19,'Données projet'!$A$165:$I$185,6,0)),0%,VLOOKUP(A19,'Données projet'!$A$165:$I$185,6,0)*VLOOKUP('Données projet'!$B$14,Paramètres!$A$1:$I$88,7,0))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projet'!$B$14,Paramètres!$A$1:$I$88,3,0)*0.475*44/12</f>
        <v>#N/A</v>
      </c>
      <c r="EB19" s="23" t="e">
        <f>EXP(-LN(2)/25)*EB18+(1-EXP(-LN(2)/25))/(LN(2)/25)*Calculateur!DW19*Calculateur!DY19*VLOOKUP('Données projet'!$B$14,Paramètres!$A$1:$I$88,3,0)*0.475*44/12</f>
        <v>#N/A</v>
      </c>
      <c r="EC19" s="23" t="e">
        <f>EXP(-LN(2)/2)*EC18+(1-EXP(-LN(2)/2))/(LN(2)/2)*DW19*DZ19*VLOOKUP('Données projet'!$B$14,Paramètres!$A$1:$I$88,3,0)*0.475*44/12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projet'!$B$15,Paramètres!$A$1:$I$88,3,0)*VLOOKUP('Données projet'!$B$15,Paramètres!$A$1:$I$88,5,0)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projet'!$B$15,Paramètres!$A$1:$I$88,7,0))</f>
        <v>0</v>
      </c>
      <c r="ET19" s="17">
        <f>IF(ISNA(VLOOKUP(A19,'Données projet'!$A$191:$I$211,6,0)),0%,VLOOKUP(A19,'Données projet'!$A$191:$I$211,6,0)*VLOOKUP('Données projet'!$B$15,Paramètres!$A$1:$I$88,7,0))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projet'!$B$15,Paramètres!$A$1:$I$88,3,0)*0.475*44/12</f>
        <v>#N/A</v>
      </c>
      <c r="EW19" s="23" t="e">
        <f>EXP(-LN(2)/25)*EW18+(1-EXP(-LN(2)/25))/(LN(2)/25)*Calculateur!ER19*Calculateur!ET19*VLOOKUP('Données projet'!$B$15,Paramètres!$A$1:$I$88,3,0)*0.475*44/12</f>
        <v>#N/A</v>
      </c>
      <c r="EX19" s="23" t="e">
        <f>EXP(-LN(2)/2)*EX18+(1-EXP(-LN(2)/2))/(LN(2)/2)*ER19*EU19*VLOOKUP('Données projet'!$B$15,Paramètres!$A$1:$I$88,3,0)*0.475*44/12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projet'!$B$16,Paramètres!$A$1:$I$88,3,0)*VLOOKUP('Données projet'!$B$16,Paramètres!$A$1:$I$88,5,0)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projet'!$B$16,Paramètres!$A$1:$I$88,7,0))</f>
        <v>0</v>
      </c>
      <c r="FO19" s="17">
        <f>IF(ISNA(VLOOKUP(A19,'Données projet'!$A$217:$I$237,6,0)),0%,VLOOKUP(A19,'Données projet'!$A$217:$I$237,6,0)*VLOOKUP('Données projet'!$B$16,Paramètres!$A$1:$I$88,7,0))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projet'!$B$16,Paramètres!$A$1:$I$88,3,0)*0.475*44/12</f>
        <v>#N/A</v>
      </c>
      <c r="FR19" s="23" t="e">
        <f>EXP(-LN(2)/25)*FR18+(1-EXP(-LN(2)/25))/(LN(2)/25)*Calculateur!FM19*Calculateur!FO19*VLOOKUP('Données projet'!$B$16,Paramètres!$A$1:$I$88,3,0)*0.475*44/12</f>
        <v>#N/A</v>
      </c>
      <c r="FS19" s="23" t="e">
        <f>EXP(-LN(2)/2)*FS18+(1-EXP(-LN(2)/2))/(LN(2)/2)*FM19*FP19*VLOOKUP('Données projet'!$B$16,Paramètres!$A$1:$I$88,3,0)*0.475*44/12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projet'!$B$17,Paramètres!$A$1:$I$88,3,0)*VLOOKUP('Données projet'!$B$17,Paramètres!$A$1:$I$88,5,0)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projet'!$B$17,Paramètres!$A$1:$I$88,7,0))</f>
        <v>0</v>
      </c>
      <c r="GJ19" s="17">
        <f>IF(ISNA(VLOOKUP(A19,'Données projet'!$A$243:$I$263,6,0)),0%,VLOOKUP(A19,'Données projet'!$A$243:$I$263,6,0)*VLOOKUP('Données projet'!$B$17,Paramètres!$A$1:$I$88,7,0))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projet'!$B$17,Paramètres!$A$1:$I$88,3,0)*0.475*44/12</f>
        <v>#N/A</v>
      </c>
      <c r="GM19" s="23" t="e">
        <f>EXP(-LN(2)/25)*GM18+(1-EXP(-LN(2)/25))/(LN(2)/25)*Calculateur!GH19*Calculateur!GJ19*VLOOKUP('Données projet'!$B$17,Paramètres!$A$1:$I$88,3,0)*0.475*44/12</f>
        <v>#N/A</v>
      </c>
      <c r="GN19" s="23" t="e">
        <f>EXP(-LN(2)/2)*GN18+(1-EXP(-LN(2)/2))/(LN(2)/2)*GH19*GK19*VLOOKUP('Données projet'!$B$17,Paramètres!$A$1:$I$88,3,0)*0.475*44/12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projet'!$B$18,Paramètres!$A$1:$I$88,3,0)*VLOOKUP('Données projet'!$B$18,Paramètres!$A$1:$I$88,5,0)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projet'!$B$18,Paramètres!$A$1:$I$88,7,0))</f>
        <v>0</v>
      </c>
      <c r="HE19" s="17">
        <f>IF(ISNA(VLOOKUP(A19,'Données projet'!$A$269:$I$289,6,0)),0%,VLOOKUP(A19,'Données projet'!$A$269:$I$289,6,0)*VLOOKUP('Données projet'!$B$18,Paramètres!$A$1:$I$88,7,0))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projet'!$B$18,Paramètres!$A$1:$I$88,3,0)*0.475*44/12</f>
        <v>#N/A</v>
      </c>
      <c r="HH19" s="23" t="e">
        <f>EXP(-LN(2)/25)*HH18+(1-EXP(-LN(2)/25))/(LN(2)/25)*Calculateur!HC19*Calculateur!HE19*VLOOKUP('Données projet'!$B$18,Paramètres!$A$1:$I$88,3,0)*0.475*44/12</f>
        <v>#N/A</v>
      </c>
      <c r="HI19" s="23" t="e">
        <f>EXP(-LN(2)/2)*HI18+(1-EXP(-LN(2)/2))/(LN(2)/2)*HC19*HF19*VLOOKUP('Données projet'!$B$18,Paramètres!$A$1:$I$88,3,0)*0.475*44/12</f>
        <v>#N/A</v>
      </c>
      <c r="HJ19" s="24" t="e">
        <f t="shared" si="30"/>
        <v>#N/A</v>
      </c>
    </row>
    <row r="20" spans="1:218" s="5" customFormat="1" x14ac:dyDescent="0.3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10.119999999999999</v>
      </c>
      <c r="N20" s="14">
        <f>IF('Données projet'!$A$36&gt;35,N19+M20-V19,IF(A20&lt;'Données projet'!$A$36,$K$205^A20,IF(A20='Données projet'!$A$36,'Données projet'!$B$36,N19+M20-V19)))</f>
        <v>43.06475238099182</v>
      </c>
      <c r="O20" s="14">
        <f>N20*VLOOKUP('Données projet'!$B$9,Paramètres!$A$1:$I$88,3,0)*VLOOKUP('Données projet'!$B$9,Paramètres!$A$1:$I$88,5,0)</f>
        <v>24.073196580974429</v>
      </c>
      <c r="P20" s="14">
        <f t="shared" si="33"/>
        <v>7.6608206884222216</v>
      </c>
      <c r="Q20" s="22">
        <f t="shared" si="2"/>
        <v>55.270080077532498</v>
      </c>
      <c r="R20" s="62">
        <f t="shared" si="0"/>
        <v>264.63620439340525</v>
      </c>
      <c r="S20" s="62">
        <f ca="1">AVERAGE(OFFSET($R$3,0,0,'Données projet'!$E$9+1,1))-AVERAGE(OFFSET($H$3,0,0,'Données projet'!$E$9+1,1))</f>
        <v>367.03450586441784</v>
      </c>
      <c r="T20" s="62">
        <f t="shared" si="34"/>
        <v>413.14502442862897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projet'!$B$9,Paramètres!$A$1:$I$88,7,0))</f>
        <v>0</v>
      </c>
      <c r="X20" s="17">
        <f>IF(ISNA(VLOOKUP(A20,'Données projet'!$A$35:$I$55,6,0)),0%,VLOOKUP(A20,'Données projet'!$A$35:$I$55,6,0)*VLOOKUP('Données projet'!$B$9,Paramètres!$A$1:$I$88,7,0))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projet'!$B$9,Paramètres!$A$1:$I$88,3,0)*0.475*44/12</f>
        <v>0</v>
      </c>
      <c r="AA20" s="23">
        <f>EXP(-LN(2)/25)*AA19+(1-EXP(-LN(2)/25))/(LN(2)/25)*Calculateur!V20*Calculateur!X20*VLOOKUP('Données projet'!$B$9,Paramètres!$A$1:$I$88,3,0)*0.475*44/12</f>
        <v>0</v>
      </c>
      <c r="AB20" s="23">
        <f>EXP(-LN(2)/2)*AB19+(1-EXP(-LN(2)/2))/(LN(2)/2)*V20*Y20*VLOOKUP('Données projet'!$B$9,Paramètres!$A$1:$I$88,3,0)*0.475*44/12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projet'!$B$10,Paramètres!$A$1:$I$88,3,0)*VLOOKUP('Données projet'!$B$10,Paramètres!$A$1:$I$88,5,0)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projet'!$B$10,Paramètres!$A$1:$I$88,7,0))</f>
        <v>0</v>
      </c>
      <c r="AS20" s="17">
        <f>IF(ISNA(VLOOKUP(A20,'Données projet'!$A$61:$I$81,6,0)),0%,VLOOKUP(A20,'Données projet'!$A$61:$I$81,6,0)*VLOOKUP('Données projet'!$B$10,Paramètres!$A$1:$I$88,7,0))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projet'!$B$10,Paramètres!$A$1:$I$88,3,0)*0.475*44/12</f>
        <v>#N/A</v>
      </c>
      <c r="AV20" s="23" t="e">
        <f>EXP(-LN(2)/25)*AV19+(1-EXP(-LN(2)/25))/(LN(2)/25)*Calculateur!AQ20*Calculateur!AS20*VLOOKUP('Données projet'!$B$10,Paramètres!$A$1:$I$88,3,0)*0.475*44/12</f>
        <v>#N/A</v>
      </c>
      <c r="AW20" s="23" t="e">
        <f>EXP(-LN(2)/2)*AW19+(1-EXP(-LN(2)/2))/(LN(2)/2)*AQ20*AT20*VLOOKUP('Données projet'!$B$10,Paramètres!$A$1:$I$88,3,0)*0.475*44/12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projet'!$B$11,Paramètres!$A$1:$I$88,3,0)*VLOOKUP('Données projet'!$B$11,Paramètres!$A$1:$I$88,5,0)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projet'!$B$11,Paramètres!$A$1:$I$88,7,0))</f>
        <v>0</v>
      </c>
      <c r="BN20" s="17">
        <f>IF(ISNA(VLOOKUP(A20,'Données projet'!$A$87:$I$107,6,0)),0%,VLOOKUP(A20,'Données projet'!$A$87:$I$107,6,0)*VLOOKUP('Données projet'!$B$11,Paramètres!$A$1:$I$88,7,0))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projet'!$B$11,Paramètres!$A$1:$I$88,3,0)*0.475*44/12</f>
        <v>#N/A</v>
      </c>
      <c r="BQ20" s="23" t="e">
        <f>EXP(-LN(2)/25)*BQ19+(1-EXP(-LN(2)/25))/(LN(2)/25)*Calculateur!BL20*Calculateur!BN20*VLOOKUP('Données projet'!$B$11,Paramètres!$A$1:$I$88,3,0)*0.475*44/12</f>
        <v>#N/A</v>
      </c>
      <c r="BR20" s="23" t="e">
        <f>EXP(-LN(2)/2)*BR19+(1-EXP(-LN(2)/2))/(LN(2)/2)*BL20*BO20*VLOOKUP('Données projet'!$B$11,Paramètres!$A$1:$I$88,3,0)*0.475*44/12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projet'!$B$12,Paramètres!$A$1:$I$88,3,0)*VLOOKUP('Données projet'!$B$12,Paramètres!$A$1:$I$88,5,0)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projet'!$B$12,Paramètres!$A$1:$I$88,7,0))</f>
        <v>0</v>
      </c>
      <c r="CI20" s="17">
        <f>IF(ISNA(VLOOKUP(A20,'Données projet'!$A$113:$I$133,6,0)),0%,VLOOKUP(A20,'Données projet'!$A$113:$I$133,6,0)*VLOOKUP('Données projet'!$B$12,Paramètres!$A$1:$I$88,7,0))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projet'!$B$12,Paramètres!$A$1:$I$88,3,0)*0.475*44/12</f>
        <v>#N/A</v>
      </c>
      <c r="CL20" s="23" t="e">
        <f>EXP(-LN(2)/25)*CL19+(1-EXP(-LN(2)/25))/(LN(2)/25)*Calculateur!CG20*Calculateur!CI20*VLOOKUP('Données projet'!$B$12,Paramètres!$A$1:$I$88,3,0)*0.475*44/12</f>
        <v>#N/A</v>
      </c>
      <c r="CM20" s="23" t="e">
        <f>EXP(-LN(2)/2)*CM19+(1-EXP(-LN(2)/2))/(LN(2)/2)*CG20*CJ20*VLOOKUP('Données projet'!$B$12,Paramètres!$A$1:$I$88,3,0)*0.475*44/12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projet'!$B$13,Paramètres!$A$1:$I$88,3,0)*VLOOKUP('Données projet'!$B$13,Paramètres!$A$1:$I$88,5,0)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projet'!$B$13,Paramètres!$A$1:$I$88,7,0))</f>
        <v>0</v>
      </c>
      <c r="DD20" s="17">
        <f>IF(ISNA(VLOOKUP(A20,'Données projet'!$A$139:$I$159,6,0)),0%,VLOOKUP(A20,'Données projet'!$A$139:$I$159,6,0)*VLOOKUP('Données projet'!$B$13,Paramètres!$A$1:$I$88,7,0))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projet'!$B$13,Paramètres!$A$1:$I$88,3,0)*0.475*44/12</f>
        <v>#N/A</v>
      </c>
      <c r="DG20" s="23" t="e">
        <f>EXP(-LN(2)/25)*DG19+(1-EXP(-LN(2)/25))/(LN(2)/25)*Calculateur!DB20*Calculateur!DD20*VLOOKUP('Données projet'!$B$13,Paramètres!$A$1:$I$88,3,0)*0.475*44/12</f>
        <v>#N/A</v>
      </c>
      <c r="DH20" s="23" t="e">
        <f>EXP(-LN(2)/2)*DH19+(1-EXP(-LN(2)/2))/(LN(2)/2)*DB20*DE20*VLOOKUP('Données projet'!$B$13,Paramètres!$A$1:$I$88,3,0)*0.475*44/12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projet'!$B$14,Paramètres!$A$1:$I$88,3,0)*VLOOKUP('Données projet'!$B$14,Paramètres!$A$1:$I$88,5,0)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projet'!$B$14,Paramètres!$A$1:$I$88,7,0))</f>
        <v>0</v>
      </c>
      <c r="DY20" s="17">
        <f>IF(ISNA(VLOOKUP(A20,'Données projet'!$A$165:$I$185,6,0)),0%,VLOOKUP(A20,'Données projet'!$A$165:$I$185,6,0)*VLOOKUP('Données projet'!$B$14,Paramètres!$A$1:$I$88,7,0))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projet'!$B$14,Paramètres!$A$1:$I$88,3,0)*0.475*44/12</f>
        <v>#N/A</v>
      </c>
      <c r="EB20" s="23" t="e">
        <f>EXP(-LN(2)/25)*EB19+(1-EXP(-LN(2)/25))/(LN(2)/25)*Calculateur!DW20*Calculateur!DY20*VLOOKUP('Données projet'!$B$14,Paramètres!$A$1:$I$88,3,0)*0.475*44/12</f>
        <v>#N/A</v>
      </c>
      <c r="EC20" s="23" t="e">
        <f>EXP(-LN(2)/2)*EC19+(1-EXP(-LN(2)/2))/(LN(2)/2)*DW20*DZ20*VLOOKUP('Données projet'!$B$14,Paramètres!$A$1:$I$88,3,0)*0.475*44/12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projet'!$B$15,Paramètres!$A$1:$I$88,3,0)*VLOOKUP('Données projet'!$B$15,Paramètres!$A$1:$I$88,5,0)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projet'!$B$15,Paramètres!$A$1:$I$88,7,0))</f>
        <v>0</v>
      </c>
      <c r="ET20" s="17">
        <f>IF(ISNA(VLOOKUP(A20,'Données projet'!$A$191:$I$211,6,0)),0%,VLOOKUP(A20,'Données projet'!$A$191:$I$211,6,0)*VLOOKUP('Données projet'!$B$15,Paramètres!$A$1:$I$88,7,0))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projet'!$B$15,Paramètres!$A$1:$I$88,3,0)*0.475*44/12</f>
        <v>#N/A</v>
      </c>
      <c r="EW20" s="23" t="e">
        <f>EXP(-LN(2)/25)*EW19+(1-EXP(-LN(2)/25))/(LN(2)/25)*Calculateur!ER20*Calculateur!ET20*VLOOKUP('Données projet'!$B$15,Paramètres!$A$1:$I$88,3,0)*0.475*44/12</f>
        <v>#N/A</v>
      </c>
      <c r="EX20" s="23" t="e">
        <f>EXP(-LN(2)/2)*EX19+(1-EXP(-LN(2)/2))/(LN(2)/2)*ER20*EU20*VLOOKUP('Données projet'!$B$15,Paramètres!$A$1:$I$88,3,0)*0.475*44/12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projet'!$B$16,Paramètres!$A$1:$I$88,3,0)*VLOOKUP('Données projet'!$B$16,Paramètres!$A$1:$I$88,5,0)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projet'!$B$16,Paramètres!$A$1:$I$88,7,0))</f>
        <v>0</v>
      </c>
      <c r="FO20" s="17">
        <f>IF(ISNA(VLOOKUP(A20,'Données projet'!$A$217:$I$237,6,0)),0%,VLOOKUP(A20,'Données projet'!$A$217:$I$237,6,0)*VLOOKUP('Données projet'!$B$16,Paramètres!$A$1:$I$88,7,0))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projet'!$B$16,Paramètres!$A$1:$I$88,3,0)*0.475*44/12</f>
        <v>#N/A</v>
      </c>
      <c r="FR20" s="23" t="e">
        <f>EXP(-LN(2)/25)*FR19+(1-EXP(-LN(2)/25))/(LN(2)/25)*Calculateur!FM20*Calculateur!FO20*VLOOKUP('Données projet'!$B$16,Paramètres!$A$1:$I$88,3,0)*0.475*44/12</f>
        <v>#N/A</v>
      </c>
      <c r="FS20" s="23" t="e">
        <f>EXP(-LN(2)/2)*FS19+(1-EXP(-LN(2)/2))/(LN(2)/2)*FM20*FP20*VLOOKUP('Données projet'!$B$16,Paramètres!$A$1:$I$88,3,0)*0.475*44/12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projet'!$B$17,Paramètres!$A$1:$I$88,3,0)*VLOOKUP('Données projet'!$B$17,Paramètres!$A$1:$I$88,5,0)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projet'!$B$17,Paramètres!$A$1:$I$88,7,0))</f>
        <v>0</v>
      </c>
      <c r="GJ20" s="17">
        <f>IF(ISNA(VLOOKUP(A20,'Données projet'!$A$243:$I$263,6,0)),0%,VLOOKUP(A20,'Données projet'!$A$243:$I$263,6,0)*VLOOKUP('Données projet'!$B$17,Paramètres!$A$1:$I$88,7,0))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projet'!$B$17,Paramètres!$A$1:$I$88,3,0)*0.475*44/12</f>
        <v>#N/A</v>
      </c>
      <c r="GM20" s="23" t="e">
        <f>EXP(-LN(2)/25)*GM19+(1-EXP(-LN(2)/25))/(LN(2)/25)*Calculateur!GH20*Calculateur!GJ20*VLOOKUP('Données projet'!$B$17,Paramètres!$A$1:$I$88,3,0)*0.475*44/12</f>
        <v>#N/A</v>
      </c>
      <c r="GN20" s="23" t="e">
        <f>EXP(-LN(2)/2)*GN19+(1-EXP(-LN(2)/2))/(LN(2)/2)*GH20*GK20*VLOOKUP('Données projet'!$B$17,Paramètres!$A$1:$I$88,3,0)*0.475*44/12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projet'!$B$18,Paramètres!$A$1:$I$88,3,0)*VLOOKUP('Données projet'!$B$18,Paramètres!$A$1:$I$88,5,0)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projet'!$B$18,Paramètres!$A$1:$I$88,7,0))</f>
        <v>0</v>
      </c>
      <c r="HE20" s="17">
        <f>IF(ISNA(VLOOKUP(A20,'Données projet'!$A$269:$I$289,6,0)),0%,VLOOKUP(A20,'Données projet'!$A$269:$I$289,6,0)*VLOOKUP('Données projet'!$B$18,Paramètres!$A$1:$I$88,7,0))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projet'!$B$18,Paramètres!$A$1:$I$88,3,0)*0.475*44/12</f>
        <v>#N/A</v>
      </c>
      <c r="HH20" s="23" t="e">
        <f>EXP(-LN(2)/25)*HH19+(1-EXP(-LN(2)/25))/(LN(2)/25)*Calculateur!HC20*Calculateur!HE20*VLOOKUP('Données projet'!$B$18,Paramètres!$A$1:$I$88,3,0)*0.475*44/12</f>
        <v>#N/A</v>
      </c>
      <c r="HI20" s="23" t="e">
        <f>EXP(-LN(2)/2)*HI19+(1-EXP(-LN(2)/2))/(LN(2)/2)*HC20*HF20*VLOOKUP('Données projet'!$B$18,Paramètres!$A$1:$I$88,3,0)*0.475*44/12</f>
        <v>#N/A</v>
      </c>
      <c r="HJ20" s="24" t="e">
        <f t="shared" si="30"/>
        <v>#N/A</v>
      </c>
    </row>
    <row r="21" spans="1:218" s="5" customFormat="1" x14ac:dyDescent="0.3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10.119999999999999</v>
      </c>
      <c r="N21" s="14">
        <f>IF('Données projet'!$A$36&gt;35,N20+M21-V20,IF(A21&lt;'Données projet'!$A$36,$K$205^A21,IF(A21='Données projet'!$A$36,'Données projet'!$B$36,N20+M21-V20)))</f>
        <v>53.733703583035215</v>
      </c>
      <c r="O21" s="14">
        <f>N21*VLOOKUP('Données projet'!$B$9,Paramètres!$A$1:$I$88,3,0)*VLOOKUP('Données projet'!$B$9,Paramètres!$A$1:$I$88,5,0)</f>
        <v>30.037140302916686</v>
      </c>
      <c r="P21" s="14">
        <f t="shared" si="33"/>
        <v>9.315607651522777</v>
      </c>
      <c r="Q21" s="22">
        <f t="shared" si="2"/>
        <v>68.539369353982067</v>
      </c>
      <c r="R21" s="62">
        <f t="shared" si="0"/>
        <v>280.30872254598518</v>
      </c>
      <c r="S21" s="62">
        <f ca="1">AVERAGE(OFFSET($R$3,0,0,'Données projet'!$E$9+1,1))-AVERAGE(OFFSET($H$3,0,0,'Données projet'!$E$9+1,1))</f>
        <v>367.03450586441784</v>
      </c>
      <c r="T21" s="62">
        <f t="shared" si="34"/>
        <v>413.14502442862897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projet'!$B$9,Paramètres!$A$1:$I$88,7,0))</f>
        <v>0</v>
      </c>
      <c r="X21" s="17">
        <f>IF(ISNA(VLOOKUP(A21,'Données projet'!$A$35:$I$55,6,0)),0%,VLOOKUP(A21,'Données projet'!$A$35:$I$55,6,0)*VLOOKUP('Données projet'!$B$9,Paramètres!$A$1:$I$88,7,0))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projet'!$B$9,Paramètres!$A$1:$I$88,3,0)*0.475*44/12</f>
        <v>0</v>
      </c>
      <c r="AA21" s="23">
        <f>EXP(-LN(2)/25)*AA20+(1-EXP(-LN(2)/25))/(LN(2)/25)*Calculateur!V21*Calculateur!X21*VLOOKUP('Données projet'!$B$9,Paramètres!$A$1:$I$88,3,0)*0.475*44/12</f>
        <v>0</v>
      </c>
      <c r="AB21" s="23">
        <f>EXP(-LN(2)/2)*AB20+(1-EXP(-LN(2)/2))/(LN(2)/2)*V21*Y21*VLOOKUP('Données projet'!$B$9,Paramètres!$A$1:$I$88,3,0)*0.475*44/12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projet'!$B$10,Paramètres!$A$1:$I$88,3,0)*VLOOKUP('Données projet'!$B$10,Paramètres!$A$1:$I$88,5,0)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projet'!$B$10,Paramètres!$A$1:$I$88,7,0))</f>
        <v>0</v>
      </c>
      <c r="AS21" s="17">
        <f>IF(ISNA(VLOOKUP(A21,'Données projet'!$A$61:$I$81,6,0)),0%,VLOOKUP(A21,'Données projet'!$A$61:$I$81,6,0)*VLOOKUP('Données projet'!$B$10,Paramètres!$A$1:$I$88,7,0))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projet'!$B$10,Paramètres!$A$1:$I$88,3,0)*0.475*44/12</f>
        <v>#N/A</v>
      </c>
      <c r="AV21" s="23" t="e">
        <f>EXP(-LN(2)/25)*AV20+(1-EXP(-LN(2)/25))/(LN(2)/25)*Calculateur!AQ21*Calculateur!AS21*VLOOKUP('Données projet'!$B$10,Paramètres!$A$1:$I$88,3,0)*0.475*44/12</f>
        <v>#N/A</v>
      </c>
      <c r="AW21" s="23" t="e">
        <f>EXP(-LN(2)/2)*AW20+(1-EXP(-LN(2)/2))/(LN(2)/2)*AQ21*AT21*VLOOKUP('Données projet'!$B$10,Paramètres!$A$1:$I$88,3,0)*0.475*44/12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projet'!$B$11,Paramètres!$A$1:$I$88,3,0)*VLOOKUP('Données projet'!$B$11,Paramètres!$A$1:$I$88,5,0)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projet'!$B$11,Paramètres!$A$1:$I$88,7,0))</f>
        <v>0</v>
      </c>
      <c r="BN21" s="17">
        <f>IF(ISNA(VLOOKUP(A21,'Données projet'!$A$87:$I$107,6,0)),0%,VLOOKUP(A21,'Données projet'!$A$87:$I$107,6,0)*VLOOKUP('Données projet'!$B$11,Paramètres!$A$1:$I$88,7,0))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projet'!$B$11,Paramètres!$A$1:$I$88,3,0)*0.475*44/12</f>
        <v>#N/A</v>
      </c>
      <c r="BQ21" s="23" t="e">
        <f>EXP(-LN(2)/25)*BQ20+(1-EXP(-LN(2)/25))/(LN(2)/25)*Calculateur!BL21*Calculateur!BN21*VLOOKUP('Données projet'!$B$11,Paramètres!$A$1:$I$88,3,0)*0.475*44/12</f>
        <v>#N/A</v>
      </c>
      <c r="BR21" s="23" t="e">
        <f>EXP(-LN(2)/2)*BR20+(1-EXP(-LN(2)/2))/(LN(2)/2)*BL21*BO21*VLOOKUP('Données projet'!$B$11,Paramètres!$A$1:$I$88,3,0)*0.475*44/12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projet'!$B$12,Paramètres!$A$1:$I$88,3,0)*VLOOKUP('Données projet'!$B$12,Paramètres!$A$1:$I$88,5,0)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projet'!$B$12,Paramètres!$A$1:$I$88,7,0))</f>
        <v>0</v>
      </c>
      <c r="CI21" s="17">
        <f>IF(ISNA(VLOOKUP(A21,'Données projet'!$A$113:$I$133,6,0)),0%,VLOOKUP(A21,'Données projet'!$A$113:$I$133,6,0)*VLOOKUP('Données projet'!$B$12,Paramètres!$A$1:$I$88,7,0))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projet'!$B$12,Paramètres!$A$1:$I$88,3,0)*0.475*44/12</f>
        <v>#N/A</v>
      </c>
      <c r="CL21" s="23" t="e">
        <f>EXP(-LN(2)/25)*CL20+(1-EXP(-LN(2)/25))/(LN(2)/25)*Calculateur!CG21*Calculateur!CI21*VLOOKUP('Données projet'!$B$12,Paramètres!$A$1:$I$88,3,0)*0.475*44/12</f>
        <v>#N/A</v>
      </c>
      <c r="CM21" s="23" t="e">
        <f>EXP(-LN(2)/2)*CM20+(1-EXP(-LN(2)/2))/(LN(2)/2)*CG21*CJ21*VLOOKUP('Données projet'!$B$12,Paramètres!$A$1:$I$88,3,0)*0.475*44/12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projet'!$B$13,Paramètres!$A$1:$I$88,3,0)*VLOOKUP('Données projet'!$B$13,Paramètres!$A$1:$I$88,5,0)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projet'!$B$13,Paramètres!$A$1:$I$88,7,0))</f>
        <v>0</v>
      </c>
      <c r="DD21" s="17">
        <f>IF(ISNA(VLOOKUP(A21,'Données projet'!$A$139:$I$159,6,0)),0%,VLOOKUP(A21,'Données projet'!$A$139:$I$159,6,0)*VLOOKUP('Données projet'!$B$13,Paramètres!$A$1:$I$88,7,0))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projet'!$B$13,Paramètres!$A$1:$I$88,3,0)*0.475*44/12</f>
        <v>#N/A</v>
      </c>
      <c r="DG21" s="23" t="e">
        <f>EXP(-LN(2)/25)*DG20+(1-EXP(-LN(2)/25))/(LN(2)/25)*Calculateur!DB21*Calculateur!DD21*VLOOKUP('Données projet'!$B$13,Paramètres!$A$1:$I$88,3,0)*0.475*44/12</f>
        <v>#N/A</v>
      </c>
      <c r="DH21" s="23" t="e">
        <f>EXP(-LN(2)/2)*DH20+(1-EXP(-LN(2)/2))/(LN(2)/2)*DB21*DE21*VLOOKUP('Données projet'!$B$13,Paramètres!$A$1:$I$88,3,0)*0.475*44/12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projet'!$B$14,Paramètres!$A$1:$I$88,3,0)*VLOOKUP('Données projet'!$B$14,Paramètres!$A$1:$I$88,5,0)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projet'!$B$14,Paramètres!$A$1:$I$88,7,0))</f>
        <v>0</v>
      </c>
      <c r="DY21" s="17">
        <f>IF(ISNA(VLOOKUP(A21,'Données projet'!$A$165:$I$185,6,0)),0%,VLOOKUP(A21,'Données projet'!$A$165:$I$185,6,0)*VLOOKUP('Données projet'!$B$14,Paramètres!$A$1:$I$88,7,0))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projet'!$B$14,Paramètres!$A$1:$I$88,3,0)*0.475*44/12</f>
        <v>#N/A</v>
      </c>
      <c r="EB21" s="23" t="e">
        <f>EXP(-LN(2)/25)*EB20+(1-EXP(-LN(2)/25))/(LN(2)/25)*Calculateur!DW21*Calculateur!DY21*VLOOKUP('Données projet'!$B$14,Paramètres!$A$1:$I$88,3,0)*0.475*44/12</f>
        <v>#N/A</v>
      </c>
      <c r="EC21" s="23" t="e">
        <f>EXP(-LN(2)/2)*EC20+(1-EXP(-LN(2)/2))/(LN(2)/2)*DW21*DZ21*VLOOKUP('Données projet'!$B$14,Paramètres!$A$1:$I$88,3,0)*0.475*44/12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projet'!$B$15,Paramètres!$A$1:$I$88,3,0)*VLOOKUP('Données projet'!$B$15,Paramètres!$A$1:$I$88,5,0)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projet'!$B$15,Paramètres!$A$1:$I$88,7,0))</f>
        <v>0</v>
      </c>
      <c r="ET21" s="17">
        <f>IF(ISNA(VLOOKUP(A21,'Données projet'!$A$191:$I$211,6,0)),0%,VLOOKUP(A21,'Données projet'!$A$191:$I$211,6,0)*VLOOKUP('Données projet'!$B$15,Paramètres!$A$1:$I$88,7,0))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projet'!$B$15,Paramètres!$A$1:$I$88,3,0)*0.475*44/12</f>
        <v>#N/A</v>
      </c>
      <c r="EW21" s="23" t="e">
        <f>EXP(-LN(2)/25)*EW20+(1-EXP(-LN(2)/25))/(LN(2)/25)*Calculateur!ER21*Calculateur!ET21*VLOOKUP('Données projet'!$B$15,Paramètres!$A$1:$I$88,3,0)*0.475*44/12</f>
        <v>#N/A</v>
      </c>
      <c r="EX21" s="23" t="e">
        <f>EXP(-LN(2)/2)*EX20+(1-EXP(-LN(2)/2))/(LN(2)/2)*ER21*EU21*VLOOKUP('Données projet'!$B$15,Paramètres!$A$1:$I$88,3,0)*0.475*44/12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projet'!$B$16,Paramètres!$A$1:$I$88,3,0)*VLOOKUP('Données projet'!$B$16,Paramètres!$A$1:$I$88,5,0)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projet'!$B$16,Paramètres!$A$1:$I$88,7,0))</f>
        <v>0</v>
      </c>
      <c r="FO21" s="17">
        <f>IF(ISNA(VLOOKUP(A21,'Données projet'!$A$217:$I$237,6,0)),0%,VLOOKUP(A21,'Données projet'!$A$217:$I$237,6,0)*VLOOKUP('Données projet'!$B$16,Paramètres!$A$1:$I$88,7,0))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projet'!$B$16,Paramètres!$A$1:$I$88,3,0)*0.475*44/12</f>
        <v>#N/A</v>
      </c>
      <c r="FR21" s="23" t="e">
        <f>EXP(-LN(2)/25)*FR20+(1-EXP(-LN(2)/25))/(LN(2)/25)*Calculateur!FM21*Calculateur!FO21*VLOOKUP('Données projet'!$B$16,Paramètres!$A$1:$I$88,3,0)*0.475*44/12</f>
        <v>#N/A</v>
      </c>
      <c r="FS21" s="23" t="e">
        <f>EXP(-LN(2)/2)*FS20+(1-EXP(-LN(2)/2))/(LN(2)/2)*FM21*FP21*VLOOKUP('Données projet'!$B$16,Paramètres!$A$1:$I$88,3,0)*0.475*44/12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projet'!$B$17,Paramètres!$A$1:$I$88,3,0)*VLOOKUP('Données projet'!$B$17,Paramètres!$A$1:$I$88,5,0)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projet'!$B$17,Paramètres!$A$1:$I$88,7,0))</f>
        <v>0</v>
      </c>
      <c r="GJ21" s="17">
        <f>IF(ISNA(VLOOKUP(A21,'Données projet'!$A$243:$I$263,6,0)),0%,VLOOKUP(A21,'Données projet'!$A$243:$I$263,6,0)*VLOOKUP('Données projet'!$B$17,Paramètres!$A$1:$I$88,7,0))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projet'!$B$17,Paramètres!$A$1:$I$88,3,0)*0.475*44/12</f>
        <v>#N/A</v>
      </c>
      <c r="GM21" s="23" t="e">
        <f>EXP(-LN(2)/25)*GM20+(1-EXP(-LN(2)/25))/(LN(2)/25)*Calculateur!GH21*Calculateur!GJ21*VLOOKUP('Données projet'!$B$17,Paramètres!$A$1:$I$88,3,0)*0.475*44/12</f>
        <v>#N/A</v>
      </c>
      <c r="GN21" s="23" t="e">
        <f>EXP(-LN(2)/2)*GN20+(1-EXP(-LN(2)/2))/(LN(2)/2)*GH21*GK21*VLOOKUP('Données projet'!$B$17,Paramètres!$A$1:$I$88,3,0)*0.475*44/12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projet'!$B$18,Paramètres!$A$1:$I$88,3,0)*VLOOKUP('Données projet'!$B$18,Paramètres!$A$1:$I$88,5,0)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projet'!$B$18,Paramètres!$A$1:$I$88,7,0))</f>
        <v>0</v>
      </c>
      <c r="HE21" s="17">
        <f>IF(ISNA(VLOOKUP(A21,'Données projet'!$A$269:$I$289,6,0)),0%,VLOOKUP(A21,'Données projet'!$A$269:$I$289,6,0)*VLOOKUP('Données projet'!$B$18,Paramètres!$A$1:$I$88,7,0))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projet'!$B$18,Paramètres!$A$1:$I$88,3,0)*0.475*44/12</f>
        <v>#N/A</v>
      </c>
      <c r="HH21" s="23" t="e">
        <f>EXP(-LN(2)/25)*HH20+(1-EXP(-LN(2)/25))/(LN(2)/25)*Calculateur!HC21*Calculateur!HE21*VLOOKUP('Données projet'!$B$18,Paramètres!$A$1:$I$88,3,0)*0.475*44/12</f>
        <v>#N/A</v>
      </c>
      <c r="HI21" s="23" t="e">
        <f>EXP(-LN(2)/2)*HI20+(1-EXP(-LN(2)/2))/(LN(2)/2)*HC21*HF21*VLOOKUP('Données projet'!$B$18,Paramètres!$A$1:$I$88,3,0)*0.475*44/12</f>
        <v>#N/A</v>
      </c>
      <c r="HJ21" s="24" t="e">
        <f t="shared" si="30"/>
        <v>#N/A</v>
      </c>
    </row>
    <row r="22" spans="1:218" s="5" customFormat="1" x14ac:dyDescent="0.3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10.119999999999999</v>
      </c>
      <c r="N22" s="14">
        <f>IF('Données projet'!$A$36&gt;35,N21+M22-V21,IF(A22&lt;'Données projet'!$A$36,$K$205^A22,IF(A22='Données projet'!$A$36,'Données projet'!$B$36,N21+M22-V21)))</f>
        <v>67.045802915702126</v>
      </c>
      <c r="O22" s="14">
        <f>N22*VLOOKUP('Données projet'!$B$9,Paramètres!$A$1:$I$88,3,0)*VLOOKUP('Données projet'!$B$9,Paramètres!$A$1:$I$88,5,0)</f>
        <v>37.478603829877493</v>
      </c>
      <c r="P22" s="14">
        <f t="shared" si="33"/>
        <v>11.3278393329661</v>
      </c>
      <c r="Q22" s="22">
        <f t="shared" si="2"/>
        <v>85.004555175285915</v>
      </c>
      <c r="R22" s="62">
        <f t="shared" si="0"/>
        <v>299.15664941830943</v>
      </c>
      <c r="S22" s="62">
        <f ca="1">AVERAGE(OFFSET($R$3,0,0,'Données projet'!$E$9+1,1))-AVERAGE(OFFSET($H$3,0,0,'Données projet'!$E$9+1,1))</f>
        <v>367.03450586441784</v>
      </c>
      <c r="T22" s="62">
        <f t="shared" si="34"/>
        <v>413.14502442862897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projet'!$B$9,Paramètres!$A$1:$I$88,7,0))</f>
        <v>0</v>
      </c>
      <c r="X22" s="17">
        <f>IF(ISNA(VLOOKUP(A22,'Données projet'!$A$35:$I$55,6,0)),0%,VLOOKUP(A22,'Données projet'!$A$35:$I$55,6,0)*VLOOKUP('Données projet'!$B$9,Paramètres!$A$1:$I$88,7,0))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projet'!$B$9,Paramètres!$A$1:$I$88,3,0)*0.475*44/12</f>
        <v>0</v>
      </c>
      <c r="AA22" s="23">
        <f>EXP(-LN(2)/25)*AA21+(1-EXP(-LN(2)/25))/(LN(2)/25)*Calculateur!V22*Calculateur!X22*VLOOKUP('Données projet'!$B$9,Paramètres!$A$1:$I$88,3,0)*0.475*44/12</f>
        <v>0</v>
      </c>
      <c r="AB22" s="23">
        <f>EXP(-LN(2)/2)*AB21+(1-EXP(-LN(2)/2))/(LN(2)/2)*V22*Y22*VLOOKUP('Données projet'!$B$9,Paramètres!$A$1:$I$88,3,0)*0.475*44/12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projet'!$B$10,Paramètres!$A$1:$I$88,3,0)*VLOOKUP('Données projet'!$B$10,Paramètres!$A$1:$I$88,5,0)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projet'!$B$10,Paramètres!$A$1:$I$88,7,0))</f>
        <v>0</v>
      </c>
      <c r="AS22" s="17">
        <f>IF(ISNA(VLOOKUP(A22,'Données projet'!$A$61:$I$81,6,0)),0%,VLOOKUP(A22,'Données projet'!$A$61:$I$81,6,0)*VLOOKUP('Données projet'!$B$10,Paramètres!$A$1:$I$88,7,0))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projet'!$B$10,Paramètres!$A$1:$I$88,3,0)*0.475*44/12</f>
        <v>#N/A</v>
      </c>
      <c r="AV22" s="23" t="e">
        <f>EXP(-LN(2)/25)*AV21+(1-EXP(-LN(2)/25))/(LN(2)/25)*Calculateur!AQ22*Calculateur!AS22*VLOOKUP('Données projet'!$B$10,Paramètres!$A$1:$I$88,3,0)*0.475*44/12</f>
        <v>#N/A</v>
      </c>
      <c r="AW22" s="23" t="e">
        <f>EXP(-LN(2)/2)*AW21+(1-EXP(-LN(2)/2))/(LN(2)/2)*AQ22*AT22*VLOOKUP('Données projet'!$B$10,Paramètres!$A$1:$I$88,3,0)*0.475*44/12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projet'!$B$11,Paramètres!$A$1:$I$88,3,0)*VLOOKUP('Données projet'!$B$11,Paramètres!$A$1:$I$88,5,0)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projet'!$B$11,Paramètres!$A$1:$I$88,7,0))</f>
        <v>0</v>
      </c>
      <c r="BN22" s="17">
        <f>IF(ISNA(VLOOKUP(A22,'Données projet'!$A$87:$I$107,6,0)),0%,VLOOKUP(A22,'Données projet'!$A$87:$I$107,6,0)*VLOOKUP('Données projet'!$B$11,Paramètres!$A$1:$I$88,7,0))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projet'!$B$11,Paramètres!$A$1:$I$88,3,0)*0.475*44/12</f>
        <v>#N/A</v>
      </c>
      <c r="BQ22" s="23" t="e">
        <f>EXP(-LN(2)/25)*BQ21+(1-EXP(-LN(2)/25))/(LN(2)/25)*Calculateur!BL22*Calculateur!BN22*VLOOKUP('Données projet'!$B$11,Paramètres!$A$1:$I$88,3,0)*0.475*44/12</f>
        <v>#N/A</v>
      </c>
      <c r="BR22" s="23" t="e">
        <f>EXP(-LN(2)/2)*BR21+(1-EXP(-LN(2)/2))/(LN(2)/2)*BL22*BO22*VLOOKUP('Données projet'!$B$11,Paramètres!$A$1:$I$88,3,0)*0.475*44/12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projet'!$B$12,Paramètres!$A$1:$I$88,3,0)*VLOOKUP('Données projet'!$B$12,Paramètres!$A$1:$I$88,5,0)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projet'!$B$12,Paramètres!$A$1:$I$88,7,0))</f>
        <v>0</v>
      </c>
      <c r="CI22" s="17">
        <f>IF(ISNA(VLOOKUP(A22,'Données projet'!$A$113:$I$133,6,0)),0%,VLOOKUP(A22,'Données projet'!$A$113:$I$133,6,0)*VLOOKUP('Données projet'!$B$12,Paramètres!$A$1:$I$88,7,0))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projet'!$B$12,Paramètres!$A$1:$I$88,3,0)*0.475*44/12</f>
        <v>#N/A</v>
      </c>
      <c r="CL22" s="23" t="e">
        <f>EXP(-LN(2)/25)*CL21+(1-EXP(-LN(2)/25))/(LN(2)/25)*Calculateur!CG22*Calculateur!CI22*VLOOKUP('Données projet'!$B$12,Paramètres!$A$1:$I$88,3,0)*0.475*44/12</f>
        <v>#N/A</v>
      </c>
      <c r="CM22" s="23" t="e">
        <f>EXP(-LN(2)/2)*CM21+(1-EXP(-LN(2)/2))/(LN(2)/2)*CG22*CJ22*VLOOKUP('Données projet'!$B$12,Paramètres!$A$1:$I$88,3,0)*0.475*44/12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projet'!$B$13,Paramètres!$A$1:$I$88,3,0)*VLOOKUP('Données projet'!$B$13,Paramètres!$A$1:$I$88,5,0)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projet'!$B$13,Paramètres!$A$1:$I$88,7,0))</f>
        <v>0</v>
      </c>
      <c r="DD22" s="17">
        <f>IF(ISNA(VLOOKUP(A22,'Données projet'!$A$139:$I$159,6,0)),0%,VLOOKUP(A22,'Données projet'!$A$139:$I$159,6,0)*VLOOKUP('Données projet'!$B$13,Paramètres!$A$1:$I$88,7,0))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projet'!$B$13,Paramètres!$A$1:$I$88,3,0)*0.475*44/12</f>
        <v>#N/A</v>
      </c>
      <c r="DG22" s="23" t="e">
        <f>EXP(-LN(2)/25)*DG21+(1-EXP(-LN(2)/25))/(LN(2)/25)*Calculateur!DB22*Calculateur!DD22*VLOOKUP('Données projet'!$B$13,Paramètres!$A$1:$I$88,3,0)*0.475*44/12</f>
        <v>#N/A</v>
      </c>
      <c r="DH22" s="23" t="e">
        <f>EXP(-LN(2)/2)*DH21+(1-EXP(-LN(2)/2))/(LN(2)/2)*DB22*DE22*VLOOKUP('Données projet'!$B$13,Paramètres!$A$1:$I$88,3,0)*0.475*44/12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projet'!$B$14,Paramètres!$A$1:$I$88,3,0)*VLOOKUP('Données projet'!$B$14,Paramètres!$A$1:$I$88,5,0)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projet'!$B$14,Paramètres!$A$1:$I$88,7,0))</f>
        <v>0</v>
      </c>
      <c r="DY22" s="17">
        <f>IF(ISNA(VLOOKUP(A22,'Données projet'!$A$165:$I$185,6,0)),0%,VLOOKUP(A22,'Données projet'!$A$165:$I$185,6,0)*VLOOKUP('Données projet'!$B$14,Paramètres!$A$1:$I$88,7,0))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projet'!$B$14,Paramètres!$A$1:$I$88,3,0)*0.475*44/12</f>
        <v>#N/A</v>
      </c>
      <c r="EB22" s="23" t="e">
        <f>EXP(-LN(2)/25)*EB21+(1-EXP(-LN(2)/25))/(LN(2)/25)*Calculateur!DW22*Calculateur!DY22*VLOOKUP('Données projet'!$B$14,Paramètres!$A$1:$I$88,3,0)*0.475*44/12</f>
        <v>#N/A</v>
      </c>
      <c r="EC22" s="23" t="e">
        <f>EXP(-LN(2)/2)*EC21+(1-EXP(-LN(2)/2))/(LN(2)/2)*DW22*DZ22*VLOOKUP('Données projet'!$B$14,Paramètres!$A$1:$I$88,3,0)*0.475*44/12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projet'!$B$15,Paramètres!$A$1:$I$88,3,0)*VLOOKUP('Données projet'!$B$15,Paramètres!$A$1:$I$88,5,0)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projet'!$B$15,Paramètres!$A$1:$I$88,7,0))</f>
        <v>0</v>
      </c>
      <c r="ET22" s="17">
        <f>IF(ISNA(VLOOKUP(A22,'Données projet'!$A$191:$I$211,6,0)),0%,VLOOKUP(A22,'Données projet'!$A$191:$I$211,6,0)*VLOOKUP('Données projet'!$B$15,Paramètres!$A$1:$I$88,7,0))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projet'!$B$15,Paramètres!$A$1:$I$88,3,0)*0.475*44/12</f>
        <v>#N/A</v>
      </c>
      <c r="EW22" s="23" t="e">
        <f>EXP(-LN(2)/25)*EW21+(1-EXP(-LN(2)/25))/(LN(2)/25)*Calculateur!ER22*Calculateur!ET22*VLOOKUP('Données projet'!$B$15,Paramètres!$A$1:$I$88,3,0)*0.475*44/12</f>
        <v>#N/A</v>
      </c>
      <c r="EX22" s="23" t="e">
        <f>EXP(-LN(2)/2)*EX21+(1-EXP(-LN(2)/2))/(LN(2)/2)*ER22*EU22*VLOOKUP('Données projet'!$B$15,Paramètres!$A$1:$I$88,3,0)*0.475*44/12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projet'!$B$16,Paramètres!$A$1:$I$88,3,0)*VLOOKUP('Données projet'!$B$16,Paramètres!$A$1:$I$88,5,0)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projet'!$B$16,Paramètres!$A$1:$I$88,7,0))</f>
        <v>0</v>
      </c>
      <c r="FO22" s="17">
        <f>IF(ISNA(VLOOKUP(A22,'Données projet'!$A$217:$I$237,6,0)),0%,VLOOKUP(A22,'Données projet'!$A$217:$I$237,6,0)*VLOOKUP('Données projet'!$B$16,Paramètres!$A$1:$I$88,7,0))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projet'!$B$16,Paramètres!$A$1:$I$88,3,0)*0.475*44/12</f>
        <v>#N/A</v>
      </c>
      <c r="FR22" s="23" t="e">
        <f>EXP(-LN(2)/25)*FR21+(1-EXP(-LN(2)/25))/(LN(2)/25)*Calculateur!FM22*Calculateur!FO22*VLOOKUP('Données projet'!$B$16,Paramètres!$A$1:$I$88,3,0)*0.475*44/12</f>
        <v>#N/A</v>
      </c>
      <c r="FS22" s="23" t="e">
        <f>EXP(-LN(2)/2)*FS21+(1-EXP(-LN(2)/2))/(LN(2)/2)*FM22*FP22*VLOOKUP('Données projet'!$B$16,Paramètres!$A$1:$I$88,3,0)*0.475*44/12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projet'!$B$17,Paramètres!$A$1:$I$88,3,0)*VLOOKUP('Données projet'!$B$17,Paramètres!$A$1:$I$88,5,0)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projet'!$B$17,Paramètres!$A$1:$I$88,7,0))</f>
        <v>0</v>
      </c>
      <c r="GJ22" s="17">
        <f>IF(ISNA(VLOOKUP(A22,'Données projet'!$A$243:$I$263,6,0)),0%,VLOOKUP(A22,'Données projet'!$A$243:$I$263,6,0)*VLOOKUP('Données projet'!$B$17,Paramètres!$A$1:$I$88,7,0))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projet'!$B$17,Paramètres!$A$1:$I$88,3,0)*0.475*44/12</f>
        <v>#N/A</v>
      </c>
      <c r="GM22" s="23" t="e">
        <f>EXP(-LN(2)/25)*GM21+(1-EXP(-LN(2)/25))/(LN(2)/25)*Calculateur!GH22*Calculateur!GJ22*VLOOKUP('Données projet'!$B$17,Paramètres!$A$1:$I$88,3,0)*0.475*44/12</f>
        <v>#N/A</v>
      </c>
      <c r="GN22" s="23" t="e">
        <f>EXP(-LN(2)/2)*GN21+(1-EXP(-LN(2)/2))/(LN(2)/2)*GH22*GK22*VLOOKUP('Données projet'!$B$17,Paramètres!$A$1:$I$88,3,0)*0.475*44/12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projet'!$B$18,Paramètres!$A$1:$I$88,3,0)*VLOOKUP('Données projet'!$B$18,Paramètres!$A$1:$I$88,5,0)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projet'!$B$18,Paramètres!$A$1:$I$88,7,0))</f>
        <v>0</v>
      </c>
      <c r="HE22" s="17">
        <f>IF(ISNA(VLOOKUP(A22,'Données projet'!$A$269:$I$289,6,0)),0%,VLOOKUP(A22,'Données projet'!$A$269:$I$289,6,0)*VLOOKUP('Données projet'!$B$18,Paramètres!$A$1:$I$88,7,0))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projet'!$B$18,Paramètres!$A$1:$I$88,3,0)*0.475*44/12</f>
        <v>#N/A</v>
      </c>
      <c r="HH22" s="23" t="e">
        <f>EXP(-LN(2)/25)*HH21+(1-EXP(-LN(2)/25))/(LN(2)/25)*Calculateur!HC22*Calculateur!HE22*VLOOKUP('Données projet'!$B$18,Paramètres!$A$1:$I$88,3,0)*0.475*44/12</f>
        <v>#N/A</v>
      </c>
      <c r="HI22" s="23" t="e">
        <f>EXP(-LN(2)/2)*HI21+(1-EXP(-LN(2)/2))/(LN(2)/2)*HC22*HF22*VLOOKUP('Données projet'!$B$18,Paramètres!$A$1:$I$88,3,0)*0.475*44/12</f>
        <v>#N/A</v>
      </c>
      <c r="HJ22" s="24" t="e">
        <f t="shared" si="30"/>
        <v>#N/A</v>
      </c>
    </row>
    <row r="23" spans="1:218" s="5" customFormat="1" x14ac:dyDescent="0.3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10.119999999999999</v>
      </c>
      <c r="N23" s="14">
        <f>IF('Données projet'!$A$36&gt;35,N22+M23-V22,IF(A23&lt;'Données projet'!$A$36,$K$205^A23,IF(A23='Données projet'!$A$36,'Données projet'!$B$36,N22+M23-V22)))</f>
        <v>83.655869386795359</v>
      </c>
      <c r="O23" s="14">
        <f>N23*VLOOKUP('Données projet'!$B$9,Paramètres!$A$1:$I$88,3,0)*VLOOKUP('Données projet'!$B$9,Paramètres!$A$1:$I$88,5,0)</f>
        <v>46.763630987218605</v>
      </c>
      <c r="P23" s="14">
        <f t="shared" si="33"/>
        <v>13.774726110595493</v>
      </c>
      <c r="Q23" s="22">
        <f t="shared" si="2"/>
        <v>105.43763861202622</v>
      </c>
      <c r="R23" s="62">
        <f t="shared" si="0"/>
        <v>321.95234149892195</v>
      </c>
      <c r="S23" s="62">
        <f ca="1">AVERAGE(OFFSET($R$3,0,0,'Données projet'!$E$9+1,1))-AVERAGE(OFFSET($H$3,0,0,'Données projet'!$E$9+1,1))</f>
        <v>367.03450586441784</v>
      </c>
      <c r="T23" s="62">
        <f t="shared" si="34"/>
        <v>413.14502442862897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projet'!$B$9,Paramètres!$A$1:$I$88,7,0))</f>
        <v>0</v>
      </c>
      <c r="X23" s="78">
        <f>IF(ISNA(VLOOKUP(A23,'Données projet'!$A$35:$I$55,6,0)),0%,VLOOKUP(A23,'Données projet'!$A$35:$I$55,6,0)*VLOOKUP('Données projet'!$B$9,Paramètres!$A$1:$I$88,7,0))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projet'!$B$9,Paramètres!$A$1:$I$88,3,0)*0.475*44/12</f>
        <v>0</v>
      </c>
      <c r="AA23" s="23">
        <f>EXP(-LN(2)/25)*AA22+(1-EXP(-LN(2)/25))/(LN(2)/25)*Calculateur!V23*Calculateur!X23*VLOOKUP('Données projet'!$B$9,Paramètres!$A$1:$I$88,3,0)*0.475*44/12</f>
        <v>0</v>
      </c>
      <c r="AB23" s="23">
        <f>EXP(-LN(2)/2)*AB22+(1-EXP(-LN(2)/2))/(LN(2)/2)*V23*Y23*VLOOKUP('Données projet'!$B$9,Paramètres!$A$1:$I$88,3,0)*0.475*44/12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projet'!$B$10,Paramètres!$A$1:$I$88,3,0)*VLOOKUP('Données projet'!$B$10,Paramètres!$A$1:$I$88,5,0)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projet'!$B$10,Paramètres!$A$1:$I$88,7,0))</f>
        <v>0</v>
      </c>
      <c r="AS23" s="17">
        <f>IF(ISNA(VLOOKUP(A23,'Données projet'!$A$61:$I$81,6,0)),0%,VLOOKUP(A23,'Données projet'!$A$61:$I$81,6,0)*VLOOKUP('Données projet'!$B$10,Paramètres!$A$1:$I$88,7,0))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projet'!$B$10,Paramètres!$A$1:$I$88,3,0)*0.475*44/12</f>
        <v>#N/A</v>
      </c>
      <c r="AV23" s="23" t="e">
        <f>EXP(-LN(2)/25)*AV22+(1-EXP(-LN(2)/25))/(LN(2)/25)*Calculateur!AQ23*Calculateur!AS23*VLOOKUP('Données projet'!$B$10,Paramètres!$A$1:$I$88,3,0)*0.475*44/12</f>
        <v>#N/A</v>
      </c>
      <c r="AW23" s="23" t="e">
        <f>EXP(-LN(2)/2)*AW22+(1-EXP(-LN(2)/2))/(LN(2)/2)*AQ23*AT23*VLOOKUP('Données projet'!$B$10,Paramètres!$A$1:$I$88,3,0)*0.475*44/12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projet'!$B$11,Paramètres!$A$1:$I$88,3,0)*VLOOKUP('Données projet'!$B$11,Paramètres!$A$1:$I$88,5,0)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projet'!$B$11,Paramètres!$A$1:$I$88,7,0))</f>
        <v>0</v>
      </c>
      <c r="BN23" s="17">
        <f>IF(ISNA(VLOOKUP(A23,'Données projet'!$A$87:$I$107,6,0)),0%,VLOOKUP(A23,'Données projet'!$A$87:$I$107,6,0)*VLOOKUP('Données projet'!$B$11,Paramètres!$A$1:$I$88,7,0))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projet'!$B$11,Paramètres!$A$1:$I$88,3,0)*0.475*44/12</f>
        <v>#N/A</v>
      </c>
      <c r="BQ23" s="23" t="e">
        <f>EXP(-LN(2)/25)*BQ22+(1-EXP(-LN(2)/25))/(LN(2)/25)*Calculateur!BL23*Calculateur!BN23*VLOOKUP('Données projet'!$B$11,Paramètres!$A$1:$I$88,3,0)*0.475*44/12</f>
        <v>#N/A</v>
      </c>
      <c r="BR23" s="23" t="e">
        <f>EXP(-LN(2)/2)*BR22+(1-EXP(-LN(2)/2))/(LN(2)/2)*BL23*BO23*VLOOKUP('Données projet'!$B$11,Paramètres!$A$1:$I$88,3,0)*0.475*44/12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projet'!$B$12,Paramètres!$A$1:$I$88,3,0)*VLOOKUP('Données projet'!$B$12,Paramètres!$A$1:$I$88,5,0)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projet'!$B$12,Paramètres!$A$1:$I$88,7,0))</f>
        <v>0</v>
      </c>
      <c r="CI23" s="17">
        <f>IF(ISNA(VLOOKUP(A23,'Données projet'!$A$113:$I$133,6,0)),0%,VLOOKUP(A23,'Données projet'!$A$113:$I$133,6,0)*VLOOKUP('Données projet'!$B$12,Paramètres!$A$1:$I$88,7,0))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projet'!$B$12,Paramètres!$A$1:$I$88,3,0)*0.475*44/12</f>
        <v>#N/A</v>
      </c>
      <c r="CL23" s="23" t="e">
        <f>EXP(-LN(2)/25)*CL22+(1-EXP(-LN(2)/25))/(LN(2)/25)*Calculateur!CG23*Calculateur!CI23*VLOOKUP('Données projet'!$B$12,Paramètres!$A$1:$I$88,3,0)*0.475*44/12</f>
        <v>#N/A</v>
      </c>
      <c r="CM23" s="23" t="e">
        <f>EXP(-LN(2)/2)*CM22+(1-EXP(-LN(2)/2))/(LN(2)/2)*CG23*CJ23*VLOOKUP('Données projet'!$B$12,Paramètres!$A$1:$I$88,3,0)*0.475*44/12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projet'!$B$13,Paramètres!$A$1:$I$88,3,0)*VLOOKUP('Données projet'!$B$13,Paramètres!$A$1:$I$88,5,0)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projet'!$B$13,Paramètres!$A$1:$I$88,7,0))</f>
        <v>0</v>
      </c>
      <c r="DD23" s="17">
        <f>IF(ISNA(VLOOKUP(A23,'Données projet'!$A$139:$I$159,6,0)),0%,VLOOKUP(A23,'Données projet'!$A$139:$I$159,6,0)*VLOOKUP('Données projet'!$B$13,Paramètres!$A$1:$I$88,7,0))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projet'!$B$13,Paramètres!$A$1:$I$88,3,0)*0.475*44/12</f>
        <v>#N/A</v>
      </c>
      <c r="DG23" s="23" t="e">
        <f>EXP(-LN(2)/25)*DG22+(1-EXP(-LN(2)/25))/(LN(2)/25)*Calculateur!DB23*Calculateur!DD23*VLOOKUP('Données projet'!$B$13,Paramètres!$A$1:$I$88,3,0)*0.475*44/12</f>
        <v>#N/A</v>
      </c>
      <c r="DH23" s="23" t="e">
        <f>EXP(-LN(2)/2)*DH22+(1-EXP(-LN(2)/2))/(LN(2)/2)*DB23*DE23*VLOOKUP('Données projet'!$B$13,Paramètres!$A$1:$I$88,3,0)*0.475*44/12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projet'!$B$14,Paramètres!$A$1:$I$88,3,0)*VLOOKUP('Données projet'!$B$14,Paramètres!$A$1:$I$88,5,0)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projet'!$B$14,Paramètres!$A$1:$I$88,7,0))</f>
        <v>0</v>
      </c>
      <c r="DY23" s="17">
        <f>IF(ISNA(VLOOKUP(A23,'Données projet'!$A$165:$I$185,6,0)),0%,VLOOKUP(A23,'Données projet'!$A$165:$I$185,6,0)*VLOOKUP('Données projet'!$B$14,Paramètres!$A$1:$I$88,7,0))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projet'!$B$14,Paramètres!$A$1:$I$88,3,0)*0.475*44/12</f>
        <v>#N/A</v>
      </c>
      <c r="EB23" s="23" t="e">
        <f>EXP(-LN(2)/25)*EB22+(1-EXP(-LN(2)/25))/(LN(2)/25)*Calculateur!DW23*Calculateur!DY23*VLOOKUP('Données projet'!$B$14,Paramètres!$A$1:$I$88,3,0)*0.475*44/12</f>
        <v>#N/A</v>
      </c>
      <c r="EC23" s="23" t="e">
        <f>EXP(-LN(2)/2)*EC22+(1-EXP(-LN(2)/2))/(LN(2)/2)*DW23*DZ23*VLOOKUP('Données projet'!$B$14,Paramètres!$A$1:$I$88,3,0)*0.475*44/12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projet'!$B$15,Paramètres!$A$1:$I$88,3,0)*VLOOKUP('Données projet'!$B$15,Paramètres!$A$1:$I$88,5,0)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projet'!$B$15,Paramètres!$A$1:$I$88,7,0))</f>
        <v>0</v>
      </c>
      <c r="ET23" s="17">
        <f>IF(ISNA(VLOOKUP(A23,'Données projet'!$A$191:$I$211,6,0)),0%,VLOOKUP(A23,'Données projet'!$A$191:$I$211,6,0)*VLOOKUP('Données projet'!$B$15,Paramètres!$A$1:$I$88,7,0))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projet'!$B$15,Paramètres!$A$1:$I$88,3,0)*0.475*44/12</f>
        <v>#N/A</v>
      </c>
      <c r="EW23" s="23" t="e">
        <f>EXP(-LN(2)/25)*EW22+(1-EXP(-LN(2)/25))/(LN(2)/25)*Calculateur!ER23*Calculateur!ET23*VLOOKUP('Données projet'!$B$15,Paramètres!$A$1:$I$88,3,0)*0.475*44/12</f>
        <v>#N/A</v>
      </c>
      <c r="EX23" s="23" t="e">
        <f>EXP(-LN(2)/2)*EX22+(1-EXP(-LN(2)/2))/(LN(2)/2)*ER23*EU23*VLOOKUP('Données projet'!$B$15,Paramètres!$A$1:$I$88,3,0)*0.475*44/12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projet'!$B$16,Paramètres!$A$1:$I$88,3,0)*VLOOKUP('Données projet'!$B$16,Paramètres!$A$1:$I$88,5,0)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projet'!$B$16,Paramètres!$A$1:$I$88,7,0))</f>
        <v>0</v>
      </c>
      <c r="FO23" s="17">
        <f>IF(ISNA(VLOOKUP(A23,'Données projet'!$A$217:$I$237,6,0)),0%,VLOOKUP(A23,'Données projet'!$A$217:$I$237,6,0)*VLOOKUP('Données projet'!$B$16,Paramètres!$A$1:$I$88,7,0))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projet'!$B$16,Paramètres!$A$1:$I$88,3,0)*0.475*44/12</f>
        <v>#N/A</v>
      </c>
      <c r="FR23" s="23" t="e">
        <f>EXP(-LN(2)/25)*FR22+(1-EXP(-LN(2)/25))/(LN(2)/25)*Calculateur!FM23*Calculateur!FO23*VLOOKUP('Données projet'!$B$16,Paramètres!$A$1:$I$88,3,0)*0.475*44/12</f>
        <v>#N/A</v>
      </c>
      <c r="FS23" s="23" t="e">
        <f>EXP(-LN(2)/2)*FS22+(1-EXP(-LN(2)/2))/(LN(2)/2)*FM23*FP23*VLOOKUP('Données projet'!$B$16,Paramètres!$A$1:$I$88,3,0)*0.475*44/12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projet'!$B$17,Paramètres!$A$1:$I$88,3,0)*VLOOKUP('Données projet'!$B$17,Paramètres!$A$1:$I$88,5,0)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projet'!$B$17,Paramètres!$A$1:$I$88,7,0))</f>
        <v>0</v>
      </c>
      <c r="GJ23" s="17">
        <f>IF(ISNA(VLOOKUP(A23,'Données projet'!$A$243:$I$263,6,0)),0%,VLOOKUP(A23,'Données projet'!$A$243:$I$263,6,0)*VLOOKUP('Données projet'!$B$17,Paramètres!$A$1:$I$88,7,0))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projet'!$B$17,Paramètres!$A$1:$I$88,3,0)*0.475*44/12</f>
        <v>#N/A</v>
      </c>
      <c r="GM23" s="23" t="e">
        <f>EXP(-LN(2)/25)*GM22+(1-EXP(-LN(2)/25))/(LN(2)/25)*Calculateur!GH23*Calculateur!GJ23*VLOOKUP('Données projet'!$B$17,Paramètres!$A$1:$I$88,3,0)*0.475*44/12</f>
        <v>#N/A</v>
      </c>
      <c r="GN23" s="23" t="e">
        <f>EXP(-LN(2)/2)*GN22+(1-EXP(-LN(2)/2))/(LN(2)/2)*GH23*GK23*VLOOKUP('Données projet'!$B$17,Paramètres!$A$1:$I$88,3,0)*0.475*44/12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projet'!$B$18,Paramètres!$A$1:$I$88,3,0)*VLOOKUP('Données projet'!$B$18,Paramètres!$A$1:$I$88,5,0)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projet'!$B$18,Paramètres!$A$1:$I$88,7,0))</f>
        <v>0</v>
      </c>
      <c r="HE23" s="17">
        <f>IF(ISNA(VLOOKUP(A23,'Données projet'!$A$269:$I$289,6,0)),0%,VLOOKUP(A23,'Données projet'!$A$269:$I$289,6,0)*VLOOKUP('Données projet'!$B$18,Paramètres!$A$1:$I$88,7,0))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projet'!$B$18,Paramètres!$A$1:$I$88,3,0)*0.475*44/12</f>
        <v>#N/A</v>
      </c>
      <c r="HH23" s="23" t="e">
        <f>EXP(-LN(2)/25)*HH22+(1-EXP(-LN(2)/25))/(LN(2)/25)*Calculateur!HC23*Calculateur!HE23*VLOOKUP('Données projet'!$B$18,Paramètres!$A$1:$I$88,3,0)*0.475*44/12</f>
        <v>#N/A</v>
      </c>
      <c r="HI23" s="23" t="e">
        <f>EXP(-LN(2)/2)*HI22+(1-EXP(-LN(2)/2))/(LN(2)/2)*HC23*HF23*VLOOKUP('Données projet'!$B$18,Paramètres!$A$1:$I$88,3,0)*0.475*44/12</f>
        <v>#N/A</v>
      </c>
      <c r="HJ23" s="24" t="e">
        <f t="shared" si="30"/>
        <v>#N/A</v>
      </c>
    </row>
    <row r="24" spans="1:218" s="5" customFormat="1" x14ac:dyDescent="0.3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10.119999999999999</v>
      </c>
      <c r="N24" s="14">
        <f>IF('Données projet'!$A$36&gt;35,N23+M24-V23,IF(A24&lt;'Données projet'!$A$36,$K$205^A24,IF(A24='Données projet'!$A$36,'Données projet'!$B$36,N23+M24-V23)))</f>
        <v>104.38094822519551</v>
      </c>
      <c r="O24" s="14">
        <f>N24*VLOOKUP('Données projet'!$B$9,Paramètres!$A$1:$I$88,3,0)*VLOOKUP('Données projet'!$B$9,Paramètres!$A$1:$I$88,5,0)</f>
        <v>58.348950057884295</v>
      </c>
      <c r="P24" s="14">
        <f t="shared" si="33"/>
        <v>16.750156304718573</v>
      </c>
      <c r="Q24" s="22">
        <f t="shared" si="2"/>
        <v>130.79761024819999</v>
      </c>
      <c r="R24" s="62">
        <f t="shared" si="0"/>
        <v>349.65513862407437</v>
      </c>
      <c r="S24" s="62">
        <f ca="1">AVERAGE(OFFSET($R$3,0,0,'Données projet'!$E$9+1,1))-AVERAGE(OFFSET($H$3,0,0,'Données projet'!$E$9+1,1))</f>
        <v>367.03450586441784</v>
      </c>
      <c r="T24" s="62">
        <f t="shared" si="34"/>
        <v>413.14502442862897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projet'!$B$9,Paramètres!$A$1:$I$88,7,0))</f>
        <v>0</v>
      </c>
      <c r="X24" s="17">
        <f>IF(ISNA(VLOOKUP(A24,'Données projet'!$A$35:$I$55,6,0)),0%,VLOOKUP(A24,'Données projet'!$A$35:$I$55,6,0)*VLOOKUP('Données projet'!$B$9,Paramètres!$A$1:$I$88,7,0))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projet'!$B$9,Paramètres!$A$1:$I$88,3,0)*0.475*44/12</f>
        <v>0</v>
      </c>
      <c r="AA24" s="23">
        <f>EXP(-LN(2)/25)*AA23+(1-EXP(-LN(2)/25))/(LN(2)/25)*Calculateur!V24*Calculateur!X24*VLOOKUP('Données projet'!$B$9,Paramètres!$A$1:$I$88,3,0)*0.475*44/12</f>
        <v>0</v>
      </c>
      <c r="AB24" s="23">
        <f>EXP(-LN(2)/2)*AB23+(1-EXP(-LN(2)/2))/(LN(2)/2)*V24*Y24*VLOOKUP('Données projet'!$B$9,Paramètres!$A$1:$I$88,3,0)*0.475*44/12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projet'!$B$10,Paramètres!$A$1:$I$88,3,0)*VLOOKUP('Données projet'!$B$10,Paramètres!$A$1:$I$88,5,0)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projet'!$B$10,Paramètres!$A$1:$I$88,7,0))</f>
        <v>0</v>
      </c>
      <c r="AS24" s="17">
        <f>IF(ISNA(VLOOKUP(A24,'Données projet'!$A$61:$I$81,6,0)),0%,VLOOKUP(A24,'Données projet'!$A$61:$I$81,6,0)*VLOOKUP('Données projet'!$B$10,Paramètres!$A$1:$I$88,7,0))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projet'!$B$10,Paramètres!$A$1:$I$88,3,0)*0.475*44/12</f>
        <v>#N/A</v>
      </c>
      <c r="AV24" s="23" t="e">
        <f>EXP(-LN(2)/25)*AV23+(1-EXP(-LN(2)/25))/(LN(2)/25)*Calculateur!AQ24*Calculateur!AS24*VLOOKUP('Données projet'!$B$10,Paramètres!$A$1:$I$88,3,0)*0.475*44/12</f>
        <v>#N/A</v>
      </c>
      <c r="AW24" s="23" t="e">
        <f>EXP(-LN(2)/2)*AW23+(1-EXP(-LN(2)/2))/(LN(2)/2)*AQ24*AT24*VLOOKUP('Données projet'!$B$10,Paramètres!$A$1:$I$88,3,0)*0.475*44/12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projet'!$B$11,Paramètres!$A$1:$I$88,3,0)*VLOOKUP('Données projet'!$B$11,Paramètres!$A$1:$I$88,5,0)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projet'!$B$11,Paramètres!$A$1:$I$88,7,0))</f>
        <v>0</v>
      </c>
      <c r="BN24" s="17">
        <f>IF(ISNA(VLOOKUP(A24,'Données projet'!$A$87:$I$107,6,0)),0%,VLOOKUP(A24,'Données projet'!$A$87:$I$107,6,0)*VLOOKUP('Données projet'!$B$11,Paramètres!$A$1:$I$88,7,0))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projet'!$B$11,Paramètres!$A$1:$I$88,3,0)*0.475*44/12</f>
        <v>#N/A</v>
      </c>
      <c r="BQ24" s="23" t="e">
        <f>EXP(-LN(2)/25)*BQ23+(1-EXP(-LN(2)/25))/(LN(2)/25)*Calculateur!BL24*Calculateur!BN24*VLOOKUP('Données projet'!$B$11,Paramètres!$A$1:$I$88,3,0)*0.475*44/12</f>
        <v>#N/A</v>
      </c>
      <c r="BR24" s="23" t="e">
        <f>EXP(-LN(2)/2)*BR23+(1-EXP(-LN(2)/2))/(LN(2)/2)*BL24*BO24*VLOOKUP('Données projet'!$B$11,Paramètres!$A$1:$I$88,3,0)*0.475*44/12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projet'!$B$12,Paramètres!$A$1:$I$88,3,0)*VLOOKUP('Données projet'!$B$12,Paramètres!$A$1:$I$88,5,0)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projet'!$B$12,Paramètres!$A$1:$I$88,7,0))</f>
        <v>0</v>
      </c>
      <c r="CI24" s="17">
        <f>IF(ISNA(VLOOKUP(A24,'Données projet'!$A$113:$I$133,6,0)),0%,VLOOKUP(A24,'Données projet'!$A$113:$I$133,6,0)*VLOOKUP('Données projet'!$B$12,Paramètres!$A$1:$I$88,7,0))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projet'!$B$12,Paramètres!$A$1:$I$88,3,0)*0.475*44/12</f>
        <v>#N/A</v>
      </c>
      <c r="CL24" s="23" t="e">
        <f>EXP(-LN(2)/25)*CL23+(1-EXP(-LN(2)/25))/(LN(2)/25)*Calculateur!CG24*Calculateur!CI24*VLOOKUP('Données projet'!$B$12,Paramètres!$A$1:$I$88,3,0)*0.475*44/12</f>
        <v>#N/A</v>
      </c>
      <c r="CM24" s="23" t="e">
        <f>EXP(-LN(2)/2)*CM23+(1-EXP(-LN(2)/2))/(LN(2)/2)*CG24*CJ24*VLOOKUP('Données projet'!$B$12,Paramètres!$A$1:$I$88,3,0)*0.475*44/12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projet'!$B$13,Paramètres!$A$1:$I$88,3,0)*VLOOKUP('Données projet'!$B$13,Paramètres!$A$1:$I$88,5,0)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projet'!$B$13,Paramètres!$A$1:$I$88,7,0))</f>
        <v>0</v>
      </c>
      <c r="DD24" s="17">
        <f>IF(ISNA(VLOOKUP(A24,'Données projet'!$A$139:$I$159,6,0)),0%,VLOOKUP(A24,'Données projet'!$A$139:$I$159,6,0)*VLOOKUP('Données projet'!$B$13,Paramètres!$A$1:$I$88,7,0))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projet'!$B$13,Paramètres!$A$1:$I$88,3,0)*0.475*44/12</f>
        <v>#N/A</v>
      </c>
      <c r="DG24" s="23" t="e">
        <f>EXP(-LN(2)/25)*DG23+(1-EXP(-LN(2)/25))/(LN(2)/25)*Calculateur!DB24*Calculateur!DD24*VLOOKUP('Données projet'!$B$13,Paramètres!$A$1:$I$88,3,0)*0.475*44/12</f>
        <v>#N/A</v>
      </c>
      <c r="DH24" s="23" t="e">
        <f>EXP(-LN(2)/2)*DH23+(1-EXP(-LN(2)/2))/(LN(2)/2)*DB24*DE24*VLOOKUP('Données projet'!$B$13,Paramètres!$A$1:$I$88,3,0)*0.475*44/12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projet'!$B$14,Paramètres!$A$1:$I$88,3,0)*VLOOKUP('Données projet'!$B$14,Paramètres!$A$1:$I$88,5,0)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projet'!$B$14,Paramètres!$A$1:$I$88,7,0))</f>
        <v>0</v>
      </c>
      <c r="DY24" s="17">
        <f>IF(ISNA(VLOOKUP(A24,'Données projet'!$A$165:$I$185,6,0)),0%,VLOOKUP(A24,'Données projet'!$A$165:$I$185,6,0)*VLOOKUP('Données projet'!$B$14,Paramètres!$A$1:$I$88,7,0))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projet'!$B$14,Paramètres!$A$1:$I$88,3,0)*0.475*44/12</f>
        <v>#N/A</v>
      </c>
      <c r="EB24" s="23" t="e">
        <f>EXP(-LN(2)/25)*EB23+(1-EXP(-LN(2)/25))/(LN(2)/25)*Calculateur!DW24*Calculateur!DY24*VLOOKUP('Données projet'!$B$14,Paramètres!$A$1:$I$88,3,0)*0.475*44/12</f>
        <v>#N/A</v>
      </c>
      <c r="EC24" s="23" t="e">
        <f>EXP(-LN(2)/2)*EC23+(1-EXP(-LN(2)/2))/(LN(2)/2)*DW24*DZ24*VLOOKUP('Données projet'!$B$14,Paramètres!$A$1:$I$88,3,0)*0.475*44/12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projet'!$B$15,Paramètres!$A$1:$I$88,3,0)*VLOOKUP('Données projet'!$B$15,Paramètres!$A$1:$I$88,5,0)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projet'!$B$15,Paramètres!$A$1:$I$88,7,0))</f>
        <v>0</v>
      </c>
      <c r="ET24" s="17">
        <f>IF(ISNA(VLOOKUP(A24,'Données projet'!$A$191:$I$211,6,0)),0%,VLOOKUP(A24,'Données projet'!$A$191:$I$211,6,0)*VLOOKUP('Données projet'!$B$15,Paramètres!$A$1:$I$88,7,0))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projet'!$B$15,Paramètres!$A$1:$I$88,3,0)*0.475*44/12</f>
        <v>#N/A</v>
      </c>
      <c r="EW24" s="23" t="e">
        <f>EXP(-LN(2)/25)*EW23+(1-EXP(-LN(2)/25))/(LN(2)/25)*Calculateur!ER24*Calculateur!ET24*VLOOKUP('Données projet'!$B$15,Paramètres!$A$1:$I$88,3,0)*0.475*44/12</f>
        <v>#N/A</v>
      </c>
      <c r="EX24" s="23" t="e">
        <f>EXP(-LN(2)/2)*EX23+(1-EXP(-LN(2)/2))/(LN(2)/2)*ER24*EU24*VLOOKUP('Données projet'!$B$15,Paramètres!$A$1:$I$88,3,0)*0.475*44/12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projet'!$B$16,Paramètres!$A$1:$I$88,3,0)*VLOOKUP('Données projet'!$B$16,Paramètres!$A$1:$I$88,5,0)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projet'!$B$16,Paramètres!$A$1:$I$88,7,0))</f>
        <v>0</v>
      </c>
      <c r="FO24" s="17">
        <f>IF(ISNA(VLOOKUP(A24,'Données projet'!$A$217:$I$237,6,0)),0%,VLOOKUP(A24,'Données projet'!$A$217:$I$237,6,0)*VLOOKUP('Données projet'!$B$16,Paramètres!$A$1:$I$88,7,0))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projet'!$B$16,Paramètres!$A$1:$I$88,3,0)*0.475*44/12</f>
        <v>#N/A</v>
      </c>
      <c r="FR24" s="23" t="e">
        <f>EXP(-LN(2)/25)*FR23+(1-EXP(-LN(2)/25))/(LN(2)/25)*Calculateur!FM24*Calculateur!FO24*VLOOKUP('Données projet'!$B$16,Paramètres!$A$1:$I$88,3,0)*0.475*44/12</f>
        <v>#N/A</v>
      </c>
      <c r="FS24" s="23" t="e">
        <f>EXP(-LN(2)/2)*FS23+(1-EXP(-LN(2)/2))/(LN(2)/2)*FM24*FP24*VLOOKUP('Données projet'!$B$16,Paramètres!$A$1:$I$88,3,0)*0.475*44/12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projet'!$B$17,Paramètres!$A$1:$I$88,3,0)*VLOOKUP('Données projet'!$B$17,Paramètres!$A$1:$I$88,5,0)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projet'!$B$17,Paramètres!$A$1:$I$88,7,0))</f>
        <v>0</v>
      </c>
      <c r="GJ24" s="17">
        <f>IF(ISNA(VLOOKUP(A24,'Données projet'!$A$243:$I$263,6,0)),0%,VLOOKUP(A24,'Données projet'!$A$243:$I$263,6,0)*VLOOKUP('Données projet'!$B$17,Paramètres!$A$1:$I$88,7,0))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projet'!$B$17,Paramètres!$A$1:$I$88,3,0)*0.475*44/12</f>
        <v>#N/A</v>
      </c>
      <c r="GM24" s="23" t="e">
        <f>EXP(-LN(2)/25)*GM23+(1-EXP(-LN(2)/25))/(LN(2)/25)*Calculateur!GH24*Calculateur!GJ24*VLOOKUP('Données projet'!$B$17,Paramètres!$A$1:$I$88,3,0)*0.475*44/12</f>
        <v>#N/A</v>
      </c>
      <c r="GN24" s="23" t="e">
        <f>EXP(-LN(2)/2)*GN23+(1-EXP(-LN(2)/2))/(LN(2)/2)*GH24*GK24*VLOOKUP('Données projet'!$B$17,Paramètres!$A$1:$I$88,3,0)*0.475*44/12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projet'!$B$18,Paramètres!$A$1:$I$88,3,0)*VLOOKUP('Données projet'!$B$18,Paramètres!$A$1:$I$88,5,0)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projet'!$B$18,Paramètres!$A$1:$I$88,7,0))</f>
        <v>0</v>
      </c>
      <c r="HE24" s="17">
        <f>IF(ISNA(VLOOKUP(A24,'Données projet'!$A$269:$I$289,6,0)),0%,VLOOKUP(A24,'Données projet'!$A$269:$I$289,6,0)*VLOOKUP('Données projet'!$B$18,Paramètres!$A$1:$I$88,7,0))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projet'!$B$18,Paramètres!$A$1:$I$88,3,0)*0.475*44/12</f>
        <v>#N/A</v>
      </c>
      <c r="HH24" s="23" t="e">
        <f>EXP(-LN(2)/25)*HH23+(1-EXP(-LN(2)/25))/(LN(2)/25)*Calculateur!HC24*Calculateur!HE24*VLOOKUP('Données projet'!$B$18,Paramètres!$A$1:$I$88,3,0)*0.475*44/12</f>
        <v>#N/A</v>
      </c>
      <c r="HI24" s="23" t="e">
        <f>EXP(-LN(2)/2)*HI23+(1-EXP(-LN(2)/2))/(LN(2)/2)*HC24*HF24*VLOOKUP('Données projet'!$B$18,Paramètres!$A$1:$I$88,3,0)*0.475*44/12</f>
        <v>#N/A</v>
      </c>
      <c r="HJ24" s="24" t="e">
        <f t="shared" si="30"/>
        <v>#N/A</v>
      </c>
    </row>
    <row r="25" spans="1:218" s="5" customFormat="1" x14ac:dyDescent="0.3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10.119999999999999</v>
      </c>
      <c r="N25" s="14">
        <f>IF('Données projet'!$A$36&gt;35,N24+M25-V24,IF(A25&lt;'Données projet'!$A$36,$K$205^A25,IF(A25='Données projet'!$A$36,'Données projet'!$B$36,N24+M25-V24)))</f>
        <v>130.24050114182094</v>
      </c>
      <c r="O25" s="14">
        <f>N25*VLOOKUP('Données projet'!$B$9,Paramètres!$A$1:$I$88,3,0)*VLOOKUP('Données projet'!$B$9,Paramètres!$A$1:$I$88,5,0)</f>
        <v>72.804440138277911</v>
      </c>
      <c r="P25" s="14">
        <f t="shared" si="33"/>
        <v>20.368298721866509</v>
      </c>
      <c r="Q25" s="22">
        <f t="shared" si="2"/>
        <v>162.27585351475153</v>
      </c>
      <c r="R25" s="62">
        <f t="shared" si="0"/>
        <v>383.4567674182199</v>
      </c>
      <c r="S25" s="62">
        <f ca="1">AVERAGE(OFFSET($R$3,0,0,'Données projet'!$E$9+1,1))-AVERAGE(OFFSET($H$3,0,0,'Données projet'!$E$9+1,1))</f>
        <v>367.03450586441784</v>
      </c>
      <c r="T25" s="62">
        <f t="shared" si="34"/>
        <v>413.14502442862897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projet'!$B$9,Paramètres!$A$1:$I$88,7,0))</f>
        <v>0</v>
      </c>
      <c r="X25" s="17">
        <f>IF(ISNA(VLOOKUP(A25,'Données projet'!$A$35:$I$55,6,0)),0%,VLOOKUP(A25,'Données projet'!$A$35:$I$55,6,0)*VLOOKUP('Données projet'!$B$9,Paramètres!$A$1:$I$88,7,0))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projet'!$B$9,Paramètres!$A$1:$I$88,3,0)*0.475*44/12</f>
        <v>0</v>
      </c>
      <c r="AA25" s="23">
        <f>EXP(-LN(2)/25)*AA24+(1-EXP(-LN(2)/25))/(LN(2)/25)*Calculateur!V25*Calculateur!X25*VLOOKUP('Données projet'!$B$9,Paramètres!$A$1:$I$88,3,0)*0.475*44/12</f>
        <v>0</v>
      </c>
      <c r="AB25" s="23">
        <f>EXP(-LN(2)/2)*AB24+(1-EXP(-LN(2)/2))/(LN(2)/2)*V25*Y25*VLOOKUP('Données projet'!$B$9,Paramètres!$A$1:$I$88,3,0)*0.475*44/12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projet'!$B$10,Paramètres!$A$1:$I$88,3,0)*VLOOKUP('Données projet'!$B$10,Paramètres!$A$1:$I$88,5,0)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projet'!$B$10,Paramètres!$A$1:$I$88,7,0))</f>
        <v>0</v>
      </c>
      <c r="AS25" s="17">
        <f>IF(ISNA(VLOOKUP(A25,'Données projet'!$A$61:$I$81,6,0)),0%,VLOOKUP(A25,'Données projet'!$A$61:$I$81,6,0)*VLOOKUP('Données projet'!$B$10,Paramètres!$A$1:$I$88,7,0))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projet'!$B$10,Paramètres!$A$1:$I$88,3,0)*0.475*44/12</f>
        <v>#N/A</v>
      </c>
      <c r="AV25" s="23" t="e">
        <f>EXP(-LN(2)/25)*AV24+(1-EXP(-LN(2)/25))/(LN(2)/25)*Calculateur!AQ25*Calculateur!AS25*VLOOKUP('Données projet'!$B$10,Paramètres!$A$1:$I$88,3,0)*0.475*44/12</f>
        <v>#N/A</v>
      </c>
      <c r="AW25" s="23" t="e">
        <f>EXP(-LN(2)/2)*AW24+(1-EXP(-LN(2)/2))/(LN(2)/2)*AQ25*AT25*VLOOKUP('Données projet'!$B$10,Paramètres!$A$1:$I$88,3,0)*0.475*44/12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projet'!$B$11,Paramètres!$A$1:$I$88,3,0)*VLOOKUP('Données projet'!$B$11,Paramètres!$A$1:$I$88,5,0)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projet'!$B$11,Paramètres!$A$1:$I$88,7,0))</f>
        <v>0</v>
      </c>
      <c r="BN25" s="17">
        <f>IF(ISNA(VLOOKUP(A25,'Données projet'!$A$87:$I$107,6,0)),0%,VLOOKUP(A25,'Données projet'!$A$87:$I$107,6,0)*VLOOKUP('Données projet'!$B$11,Paramètres!$A$1:$I$88,7,0))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projet'!$B$11,Paramètres!$A$1:$I$88,3,0)*0.475*44/12</f>
        <v>#N/A</v>
      </c>
      <c r="BQ25" s="23" t="e">
        <f>EXP(-LN(2)/25)*BQ24+(1-EXP(-LN(2)/25))/(LN(2)/25)*Calculateur!BL25*Calculateur!BN25*VLOOKUP('Données projet'!$B$11,Paramètres!$A$1:$I$88,3,0)*0.475*44/12</f>
        <v>#N/A</v>
      </c>
      <c r="BR25" s="23" t="e">
        <f>EXP(-LN(2)/2)*BR24+(1-EXP(-LN(2)/2))/(LN(2)/2)*BL25*BO25*VLOOKUP('Données projet'!$B$11,Paramètres!$A$1:$I$88,3,0)*0.475*44/12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projet'!$B$12,Paramètres!$A$1:$I$88,3,0)*VLOOKUP('Données projet'!$B$12,Paramètres!$A$1:$I$88,5,0)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projet'!$B$12,Paramètres!$A$1:$I$88,7,0))</f>
        <v>0</v>
      </c>
      <c r="CI25" s="17">
        <f>IF(ISNA(VLOOKUP(A25,'Données projet'!$A$113:$I$133,6,0)),0%,VLOOKUP(A25,'Données projet'!$A$113:$I$133,6,0)*VLOOKUP('Données projet'!$B$12,Paramètres!$A$1:$I$88,7,0))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projet'!$B$12,Paramètres!$A$1:$I$88,3,0)*0.475*44/12</f>
        <v>#N/A</v>
      </c>
      <c r="CL25" s="23" t="e">
        <f>EXP(-LN(2)/25)*CL24+(1-EXP(-LN(2)/25))/(LN(2)/25)*Calculateur!CG25*Calculateur!CI25*VLOOKUP('Données projet'!$B$12,Paramètres!$A$1:$I$88,3,0)*0.475*44/12</f>
        <v>#N/A</v>
      </c>
      <c r="CM25" s="23" t="e">
        <f>EXP(-LN(2)/2)*CM24+(1-EXP(-LN(2)/2))/(LN(2)/2)*CG25*CJ25*VLOOKUP('Données projet'!$B$12,Paramètres!$A$1:$I$88,3,0)*0.475*44/12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projet'!$B$13,Paramètres!$A$1:$I$88,3,0)*VLOOKUP('Données projet'!$B$13,Paramètres!$A$1:$I$88,5,0)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projet'!$B$13,Paramètres!$A$1:$I$88,7,0))</f>
        <v>0</v>
      </c>
      <c r="DD25" s="17">
        <f>IF(ISNA(VLOOKUP(A25,'Données projet'!$A$139:$I$159,6,0)),0%,VLOOKUP(A25,'Données projet'!$A$139:$I$159,6,0)*VLOOKUP('Données projet'!$B$13,Paramètres!$A$1:$I$88,7,0))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projet'!$B$13,Paramètres!$A$1:$I$88,3,0)*0.475*44/12</f>
        <v>#N/A</v>
      </c>
      <c r="DG25" s="23" t="e">
        <f>EXP(-LN(2)/25)*DG24+(1-EXP(-LN(2)/25))/(LN(2)/25)*Calculateur!DB25*Calculateur!DD25*VLOOKUP('Données projet'!$B$13,Paramètres!$A$1:$I$88,3,0)*0.475*44/12</f>
        <v>#N/A</v>
      </c>
      <c r="DH25" s="23" t="e">
        <f>EXP(-LN(2)/2)*DH24+(1-EXP(-LN(2)/2))/(LN(2)/2)*DB25*DE25*VLOOKUP('Données projet'!$B$13,Paramètres!$A$1:$I$88,3,0)*0.475*44/12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projet'!$B$14,Paramètres!$A$1:$I$88,3,0)*VLOOKUP('Données projet'!$B$14,Paramètres!$A$1:$I$88,5,0)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projet'!$B$14,Paramètres!$A$1:$I$88,7,0))</f>
        <v>0</v>
      </c>
      <c r="DY25" s="17">
        <f>IF(ISNA(VLOOKUP(A25,'Données projet'!$A$165:$I$185,6,0)),0%,VLOOKUP(A25,'Données projet'!$A$165:$I$185,6,0)*VLOOKUP('Données projet'!$B$14,Paramètres!$A$1:$I$88,7,0))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projet'!$B$14,Paramètres!$A$1:$I$88,3,0)*0.475*44/12</f>
        <v>#N/A</v>
      </c>
      <c r="EB25" s="23" t="e">
        <f>EXP(-LN(2)/25)*EB24+(1-EXP(-LN(2)/25))/(LN(2)/25)*Calculateur!DW25*Calculateur!DY25*VLOOKUP('Données projet'!$B$14,Paramètres!$A$1:$I$88,3,0)*0.475*44/12</f>
        <v>#N/A</v>
      </c>
      <c r="EC25" s="23" t="e">
        <f>EXP(-LN(2)/2)*EC24+(1-EXP(-LN(2)/2))/(LN(2)/2)*DW25*DZ25*VLOOKUP('Données projet'!$B$14,Paramètres!$A$1:$I$88,3,0)*0.475*44/12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projet'!$B$15,Paramètres!$A$1:$I$88,3,0)*VLOOKUP('Données projet'!$B$15,Paramètres!$A$1:$I$88,5,0)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projet'!$B$15,Paramètres!$A$1:$I$88,7,0))</f>
        <v>0</v>
      </c>
      <c r="ET25" s="17">
        <f>IF(ISNA(VLOOKUP(A25,'Données projet'!$A$191:$I$211,6,0)),0%,VLOOKUP(A25,'Données projet'!$A$191:$I$211,6,0)*VLOOKUP('Données projet'!$B$15,Paramètres!$A$1:$I$88,7,0))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projet'!$B$15,Paramètres!$A$1:$I$88,3,0)*0.475*44/12</f>
        <v>#N/A</v>
      </c>
      <c r="EW25" s="23" t="e">
        <f>EXP(-LN(2)/25)*EW24+(1-EXP(-LN(2)/25))/(LN(2)/25)*Calculateur!ER25*Calculateur!ET25*VLOOKUP('Données projet'!$B$15,Paramètres!$A$1:$I$88,3,0)*0.475*44/12</f>
        <v>#N/A</v>
      </c>
      <c r="EX25" s="23" t="e">
        <f>EXP(-LN(2)/2)*EX24+(1-EXP(-LN(2)/2))/(LN(2)/2)*ER25*EU25*VLOOKUP('Données projet'!$B$15,Paramètres!$A$1:$I$88,3,0)*0.475*44/12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projet'!$B$16,Paramètres!$A$1:$I$88,3,0)*VLOOKUP('Données projet'!$B$16,Paramètres!$A$1:$I$88,5,0)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projet'!$B$16,Paramètres!$A$1:$I$88,7,0))</f>
        <v>0</v>
      </c>
      <c r="FO25" s="17">
        <f>IF(ISNA(VLOOKUP(A25,'Données projet'!$A$217:$I$237,6,0)),0%,VLOOKUP(A25,'Données projet'!$A$217:$I$237,6,0)*VLOOKUP('Données projet'!$B$16,Paramètres!$A$1:$I$88,7,0))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projet'!$B$16,Paramètres!$A$1:$I$88,3,0)*0.475*44/12</f>
        <v>#N/A</v>
      </c>
      <c r="FR25" s="23" t="e">
        <f>EXP(-LN(2)/25)*FR24+(1-EXP(-LN(2)/25))/(LN(2)/25)*Calculateur!FM25*Calculateur!FO25*VLOOKUP('Données projet'!$B$16,Paramètres!$A$1:$I$88,3,0)*0.475*44/12</f>
        <v>#N/A</v>
      </c>
      <c r="FS25" s="23" t="e">
        <f>EXP(-LN(2)/2)*FS24+(1-EXP(-LN(2)/2))/(LN(2)/2)*FM25*FP25*VLOOKUP('Données projet'!$B$16,Paramètres!$A$1:$I$88,3,0)*0.475*44/12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projet'!$B$17,Paramètres!$A$1:$I$88,3,0)*VLOOKUP('Données projet'!$B$17,Paramètres!$A$1:$I$88,5,0)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projet'!$B$17,Paramètres!$A$1:$I$88,7,0))</f>
        <v>0</v>
      </c>
      <c r="GJ25" s="17">
        <f>IF(ISNA(VLOOKUP(A25,'Données projet'!$A$243:$I$263,6,0)),0%,VLOOKUP(A25,'Données projet'!$A$243:$I$263,6,0)*VLOOKUP('Données projet'!$B$17,Paramètres!$A$1:$I$88,7,0))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projet'!$B$17,Paramètres!$A$1:$I$88,3,0)*0.475*44/12</f>
        <v>#N/A</v>
      </c>
      <c r="GM25" s="23" t="e">
        <f>EXP(-LN(2)/25)*GM24+(1-EXP(-LN(2)/25))/(LN(2)/25)*Calculateur!GH25*Calculateur!GJ25*VLOOKUP('Données projet'!$B$17,Paramètres!$A$1:$I$88,3,0)*0.475*44/12</f>
        <v>#N/A</v>
      </c>
      <c r="GN25" s="23" t="e">
        <f>EXP(-LN(2)/2)*GN24+(1-EXP(-LN(2)/2))/(LN(2)/2)*GH25*GK25*VLOOKUP('Données projet'!$B$17,Paramètres!$A$1:$I$88,3,0)*0.475*44/12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projet'!$B$18,Paramètres!$A$1:$I$88,3,0)*VLOOKUP('Données projet'!$B$18,Paramètres!$A$1:$I$88,5,0)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projet'!$B$18,Paramètres!$A$1:$I$88,7,0))</f>
        <v>0</v>
      </c>
      <c r="HE25" s="17">
        <f>IF(ISNA(VLOOKUP(A25,'Données projet'!$A$269:$I$289,6,0)),0%,VLOOKUP(A25,'Données projet'!$A$269:$I$289,6,0)*VLOOKUP('Données projet'!$B$18,Paramètres!$A$1:$I$88,7,0))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projet'!$B$18,Paramètres!$A$1:$I$88,3,0)*0.475*44/12</f>
        <v>#N/A</v>
      </c>
      <c r="HH25" s="23" t="e">
        <f>EXP(-LN(2)/25)*HH24+(1-EXP(-LN(2)/25))/(LN(2)/25)*Calculateur!HC25*Calculateur!HE25*VLOOKUP('Données projet'!$B$18,Paramètres!$A$1:$I$88,3,0)*0.475*44/12</f>
        <v>#N/A</v>
      </c>
      <c r="HI25" s="23" t="e">
        <f>EXP(-LN(2)/2)*HI24+(1-EXP(-LN(2)/2))/(LN(2)/2)*HC25*HF25*VLOOKUP('Données projet'!$B$18,Paramètres!$A$1:$I$88,3,0)*0.475*44/12</f>
        <v>#N/A</v>
      </c>
      <c r="HJ25" s="24" t="e">
        <f t="shared" si="30"/>
        <v>#N/A</v>
      </c>
    </row>
    <row r="26" spans="1:218" s="5" customFormat="1" x14ac:dyDescent="0.3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10.119999999999999</v>
      </c>
      <c r="N26" s="14">
        <f>IF('Données projet'!$A$36&gt;35,N25+M26-V25,IF(A26&lt;'Données projet'!$A$36,$K$205^A26,IF(A26='Données projet'!$A$36,'Données projet'!$B$36,N25+M26-V25)))</f>
        <v>162.50655340931482</v>
      </c>
      <c r="O26" s="14">
        <f>N26*VLOOKUP('Données projet'!$B$9,Paramètres!$A$1:$I$88,3,0)*VLOOKUP('Données projet'!$B$9,Paramètres!$A$1:$I$88,5,0)</f>
        <v>90.841163355806984</v>
      </c>
      <c r="P26" s="14">
        <f t="shared" si="33"/>
        <v>24.767983371374214</v>
      </c>
      <c r="Q26" s="22">
        <f t="shared" si="2"/>
        <v>201.35259721650723</v>
      </c>
      <c r="R26" s="62">
        <f t="shared" si="0"/>
        <v>424.83779392605373</v>
      </c>
      <c r="S26" s="62">
        <f ca="1">AVERAGE(OFFSET($R$3,0,0,'Données projet'!$E$9+1,1))-AVERAGE(OFFSET($H$3,0,0,'Données projet'!$E$9+1,1))</f>
        <v>367.03450586441784</v>
      </c>
      <c r="T26" s="62">
        <f t="shared" si="34"/>
        <v>413.14502442862897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projet'!$B$9,Paramètres!$A$1:$I$88,7,0))</f>
        <v>0</v>
      </c>
      <c r="X26" s="17">
        <f>IF(ISNA(VLOOKUP(A26,'Données projet'!$A$35:$I$55,6,0)),0%,VLOOKUP(A26,'Données projet'!$A$35:$I$55,6,0)*VLOOKUP('Données projet'!$B$9,Paramètres!$A$1:$I$88,7,0))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projet'!$B$9,Paramètres!$A$1:$I$88,3,0)*0.475*44/12</f>
        <v>0</v>
      </c>
      <c r="AA26" s="23">
        <f>EXP(-LN(2)/25)*AA25+(1-EXP(-LN(2)/25))/(LN(2)/25)*Calculateur!V26*Calculateur!X26*VLOOKUP('Données projet'!$B$9,Paramètres!$A$1:$I$88,3,0)*0.475*44/12</f>
        <v>0</v>
      </c>
      <c r="AB26" s="23">
        <f>EXP(-LN(2)/2)*AB25+(1-EXP(-LN(2)/2))/(LN(2)/2)*V26*Y26*VLOOKUP('Données projet'!$B$9,Paramètres!$A$1:$I$88,3,0)*0.475*44/12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projet'!$B$10,Paramètres!$A$1:$I$88,3,0)*VLOOKUP('Données projet'!$B$10,Paramètres!$A$1:$I$88,5,0)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projet'!$B$10,Paramètres!$A$1:$I$88,7,0))</f>
        <v>0</v>
      </c>
      <c r="AS26" s="17">
        <f>IF(ISNA(VLOOKUP(A26,'Données projet'!$A$61:$I$81,6,0)),0%,VLOOKUP(A26,'Données projet'!$A$61:$I$81,6,0)*VLOOKUP('Données projet'!$B$10,Paramètres!$A$1:$I$88,7,0))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projet'!$B$10,Paramètres!$A$1:$I$88,3,0)*0.475*44/12</f>
        <v>#N/A</v>
      </c>
      <c r="AV26" s="23" t="e">
        <f>EXP(-LN(2)/25)*AV25+(1-EXP(-LN(2)/25))/(LN(2)/25)*Calculateur!AQ26*Calculateur!AS26*VLOOKUP('Données projet'!$B$10,Paramètres!$A$1:$I$88,3,0)*0.475*44/12</f>
        <v>#N/A</v>
      </c>
      <c r="AW26" s="23" t="e">
        <f>EXP(-LN(2)/2)*AW25+(1-EXP(-LN(2)/2))/(LN(2)/2)*AQ26*AT26*VLOOKUP('Données projet'!$B$10,Paramètres!$A$1:$I$88,3,0)*0.475*44/12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projet'!$B$11,Paramètres!$A$1:$I$88,3,0)*VLOOKUP('Données projet'!$B$11,Paramètres!$A$1:$I$88,5,0)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projet'!$B$11,Paramètres!$A$1:$I$88,7,0))</f>
        <v>0</v>
      </c>
      <c r="BN26" s="17">
        <f>IF(ISNA(VLOOKUP(A26,'Données projet'!$A$87:$I$107,6,0)),0%,VLOOKUP(A26,'Données projet'!$A$87:$I$107,6,0)*VLOOKUP('Données projet'!$B$11,Paramètres!$A$1:$I$88,7,0))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projet'!$B$11,Paramètres!$A$1:$I$88,3,0)*0.475*44/12</f>
        <v>#N/A</v>
      </c>
      <c r="BQ26" s="23" t="e">
        <f>EXP(-LN(2)/25)*BQ25+(1-EXP(-LN(2)/25))/(LN(2)/25)*Calculateur!BL26*Calculateur!BN26*VLOOKUP('Données projet'!$B$11,Paramètres!$A$1:$I$88,3,0)*0.475*44/12</f>
        <v>#N/A</v>
      </c>
      <c r="BR26" s="23" t="e">
        <f>EXP(-LN(2)/2)*BR25+(1-EXP(-LN(2)/2))/(LN(2)/2)*BL26*BO26*VLOOKUP('Données projet'!$B$11,Paramètres!$A$1:$I$88,3,0)*0.475*44/12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projet'!$B$12,Paramètres!$A$1:$I$88,3,0)*VLOOKUP('Données projet'!$B$12,Paramètres!$A$1:$I$88,5,0)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projet'!$B$12,Paramètres!$A$1:$I$88,7,0))</f>
        <v>0</v>
      </c>
      <c r="CI26" s="17">
        <f>IF(ISNA(VLOOKUP(A26,'Données projet'!$A$113:$I$133,6,0)),0%,VLOOKUP(A26,'Données projet'!$A$113:$I$133,6,0)*VLOOKUP('Données projet'!$B$12,Paramètres!$A$1:$I$88,7,0))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projet'!$B$12,Paramètres!$A$1:$I$88,3,0)*0.475*44/12</f>
        <v>#N/A</v>
      </c>
      <c r="CL26" s="23" t="e">
        <f>EXP(-LN(2)/25)*CL25+(1-EXP(-LN(2)/25))/(LN(2)/25)*Calculateur!CG26*Calculateur!CI26*VLOOKUP('Données projet'!$B$12,Paramètres!$A$1:$I$88,3,0)*0.475*44/12</f>
        <v>#N/A</v>
      </c>
      <c r="CM26" s="23" t="e">
        <f>EXP(-LN(2)/2)*CM25+(1-EXP(-LN(2)/2))/(LN(2)/2)*CG26*CJ26*VLOOKUP('Données projet'!$B$12,Paramètres!$A$1:$I$88,3,0)*0.475*44/12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projet'!$B$13,Paramètres!$A$1:$I$88,3,0)*VLOOKUP('Données projet'!$B$13,Paramètres!$A$1:$I$88,5,0)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projet'!$B$13,Paramètres!$A$1:$I$88,7,0))</f>
        <v>0</v>
      </c>
      <c r="DD26" s="17">
        <f>IF(ISNA(VLOOKUP(A26,'Données projet'!$A$139:$I$159,6,0)),0%,VLOOKUP(A26,'Données projet'!$A$139:$I$159,6,0)*VLOOKUP('Données projet'!$B$13,Paramètres!$A$1:$I$88,7,0))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projet'!$B$13,Paramètres!$A$1:$I$88,3,0)*0.475*44/12</f>
        <v>#N/A</v>
      </c>
      <c r="DG26" s="23" t="e">
        <f>EXP(-LN(2)/25)*DG25+(1-EXP(-LN(2)/25))/(LN(2)/25)*Calculateur!DB26*Calculateur!DD26*VLOOKUP('Données projet'!$B$13,Paramètres!$A$1:$I$88,3,0)*0.475*44/12</f>
        <v>#N/A</v>
      </c>
      <c r="DH26" s="23" t="e">
        <f>EXP(-LN(2)/2)*DH25+(1-EXP(-LN(2)/2))/(LN(2)/2)*DB26*DE26*VLOOKUP('Données projet'!$B$13,Paramètres!$A$1:$I$88,3,0)*0.475*44/12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projet'!$B$14,Paramètres!$A$1:$I$88,3,0)*VLOOKUP('Données projet'!$B$14,Paramètres!$A$1:$I$88,5,0)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projet'!$B$14,Paramètres!$A$1:$I$88,7,0))</f>
        <v>0</v>
      </c>
      <c r="DY26" s="17">
        <f>IF(ISNA(VLOOKUP(A26,'Données projet'!$A$165:$I$185,6,0)),0%,VLOOKUP(A26,'Données projet'!$A$165:$I$185,6,0)*VLOOKUP('Données projet'!$B$14,Paramètres!$A$1:$I$88,7,0))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projet'!$B$14,Paramètres!$A$1:$I$88,3,0)*0.475*44/12</f>
        <v>#N/A</v>
      </c>
      <c r="EB26" s="23" t="e">
        <f>EXP(-LN(2)/25)*EB25+(1-EXP(-LN(2)/25))/(LN(2)/25)*Calculateur!DW26*Calculateur!DY26*VLOOKUP('Données projet'!$B$14,Paramètres!$A$1:$I$88,3,0)*0.475*44/12</f>
        <v>#N/A</v>
      </c>
      <c r="EC26" s="23" t="e">
        <f>EXP(-LN(2)/2)*EC25+(1-EXP(-LN(2)/2))/(LN(2)/2)*DW26*DZ26*VLOOKUP('Données projet'!$B$14,Paramètres!$A$1:$I$88,3,0)*0.475*44/12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projet'!$B$15,Paramètres!$A$1:$I$88,3,0)*VLOOKUP('Données projet'!$B$15,Paramètres!$A$1:$I$88,5,0)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projet'!$B$15,Paramètres!$A$1:$I$88,7,0))</f>
        <v>0</v>
      </c>
      <c r="ET26" s="17">
        <f>IF(ISNA(VLOOKUP(A26,'Données projet'!$A$191:$I$211,6,0)),0%,VLOOKUP(A26,'Données projet'!$A$191:$I$211,6,0)*VLOOKUP('Données projet'!$B$15,Paramètres!$A$1:$I$88,7,0))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projet'!$B$15,Paramètres!$A$1:$I$88,3,0)*0.475*44/12</f>
        <v>#N/A</v>
      </c>
      <c r="EW26" s="23" t="e">
        <f>EXP(-LN(2)/25)*EW25+(1-EXP(-LN(2)/25))/(LN(2)/25)*Calculateur!ER26*Calculateur!ET26*VLOOKUP('Données projet'!$B$15,Paramètres!$A$1:$I$88,3,0)*0.475*44/12</f>
        <v>#N/A</v>
      </c>
      <c r="EX26" s="23" t="e">
        <f>EXP(-LN(2)/2)*EX25+(1-EXP(-LN(2)/2))/(LN(2)/2)*ER26*EU26*VLOOKUP('Données projet'!$B$15,Paramètres!$A$1:$I$88,3,0)*0.475*44/12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projet'!$B$16,Paramètres!$A$1:$I$88,3,0)*VLOOKUP('Données projet'!$B$16,Paramètres!$A$1:$I$88,5,0)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projet'!$B$16,Paramètres!$A$1:$I$88,7,0))</f>
        <v>0</v>
      </c>
      <c r="FO26" s="17">
        <f>IF(ISNA(VLOOKUP(A26,'Données projet'!$A$217:$I$237,6,0)),0%,VLOOKUP(A26,'Données projet'!$A$217:$I$237,6,0)*VLOOKUP('Données projet'!$B$16,Paramètres!$A$1:$I$88,7,0))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projet'!$B$16,Paramètres!$A$1:$I$88,3,0)*0.475*44/12</f>
        <v>#N/A</v>
      </c>
      <c r="FR26" s="23" t="e">
        <f>EXP(-LN(2)/25)*FR25+(1-EXP(-LN(2)/25))/(LN(2)/25)*Calculateur!FM26*Calculateur!FO26*VLOOKUP('Données projet'!$B$16,Paramètres!$A$1:$I$88,3,0)*0.475*44/12</f>
        <v>#N/A</v>
      </c>
      <c r="FS26" s="23" t="e">
        <f>EXP(-LN(2)/2)*FS25+(1-EXP(-LN(2)/2))/(LN(2)/2)*FM26*FP26*VLOOKUP('Données projet'!$B$16,Paramètres!$A$1:$I$88,3,0)*0.475*44/12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projet'!$B$17,Paramètres!$A$1:$I$88,3,0)*VLOOKUP('Données projet'!$B$17,Paramètres!$A$1:$I$88,5,0)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projet'!$B$17,Paramètres!$A$1:$I$88,7,0))</f>
        <v>0</v>
      </c>
      <c r="GJ26" s="17">
        <f>IF(ISNA(VLOOKUP(A26,'Données projet'!$A$243:$I$263,6,0)),0%,VLOOKUP(A26,'Données projet'!$A$243:$I$263,6,0)*VLOOKUP('Données projet'!$B$17,Paramètres!$A$1:$I$88,7,0))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projet'!$B$17,Paramètres!$A$1:$I$88,3,0)*0.475*44/12</f>
        <v>#N/A</v>
      </c>
      <c r="GM26" s="23" t="e">
        <f>EXP(-LN(2)/25)*GM25+(1-EXP(-LN(2)/25))/(LN(2)/25)*Calculateur!GH26*Calculateur!GJ26*VLOOKUP('Données projet'!$B$17,Paramètres!$A$1:$I$88,3,0)*0.475*44/12</f>
        <v>#N/A</v>
      </c>
      <c r="GN26" s="23" t="e">
        <f>EXP(-LN(2)/2)*GN25+(1-EXP(-LN(2)/2))/(LN(2)/2)*GH26*GK26*VLOOKUP('Données projet'!$B$17,Paramètres!$A$1:$I$88,3,0)*0.475*44/12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projet'!$B$18,Paramètres!$A$1:$I$88,3,0)*VLOOKUP('Données projet'!$B$18,Paramètres!$A$1:$I$88,5,0)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projet'!$B$18,Paramètres!$A$1:$I$88,7,0))</f>
        <v>0</v>
      </c>
      <c r="HE26" s="17">
        <f>IF(ISNA(VLOOKUP(A26,'Données projet'!$A$269:$I$289,6,0)),0%,VLOOKUP(A26,'Données projet'!$A$269:$I$289,6,0)*VLOOKUP('Données projet'!$B$18,Paramètres!$A$1:$I$88,7,0))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projet'!$B$18,Paramètres!$A$1:$I$88,3,0)*0.475*44/12</f>
        <v>#N/A</v>
      </c>
      <c r="HH26" s="23" t="e">
        <f>EXP(-LN(2)/25)*HH25+(1-EXP(-LN(2)/25))/(LN(2)/25)*Calculateur!HC26*Calculateur!HE26*VLOOKUP('Données projet'!$B$18,Paramètres!$A$1:$I$88,3,0)*0.475*44/12</f>
        <v>#N/A</v>
      </c>
      <c r="HI26" s="23" t="e">
        <f>EXP(-LN(2)/2)*HI25+(1-EXP(-LN(2)/2))/(LN(2)/2)*HC26*HF26*VLOOKUP('Données projet'!$B$18,Paramètres!$A$1:$I$88,3,0)*0.475*44/12</f>
        <v>#N/A</v>
      </c>
      <c r="HJ26" s="24" t="e">
        <f t="shared" si="30"/>
        <v>#N/A</v>
      </c>
    </row>
    <row r="27" spans="1:218" s="5" customFormat="1" x14ac:dyDescent="0.3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10.119999999999999</v>
      </c>
      <c r="N27" s="14">
        <f>IF('Données projet'!$A$36&gt;35,N26+M27-V26,IF(A27&lt;'Données projet'!$A$36,$K$205^A27,IF(A27='Données projet'!$A$36,'Données projet'!$B$36,N26+M27-V26)))</f>
        <v>202.76626448341133</v>
      </c>
      <c r="O27" s="14">
        <f>N27*VLOOKUP('Données projet'!$B$9,Paramètres!$A$1:$I$88,3,0)*VLOOKUP('Données projet'!$B$9,Paramètres!$A$1:$I$88,5,0)</f>
        <v>113.34634184622693</v>
      </c>
      <c r="P27" s="14">
        <f t="shared" si="33"/>
        <v>30.118028445158924</v>
      </c>
      <c r="Q27" s="22">
        <f t="shared" si="2"/>
        <v>249.86711159083032</v>
      </c>
      <c r="R27" s="62">
        <f t="shared" si="0"/>
        <v>475.63781977445012</v>
      </c>
      <c r="S27" s="62">
        <f ca="1">AVERAGE(OFFSET($R$3,0,0,'Données projet'!$E$9+1,1))-AVERAGE(OFFSET($H$3,0,0,'Données projet'!$E$9+1,1))</f>
        <v>367.03450586441784</v>
      </c>
      <c r="T27" s="62">
        <f t="shared" si="34"/>
        <v>413.14502442862897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projet'!$B$9,Paramètres!$A$1:$I$88,7,0))</f>
        <v>0</v>
      </c>
      <c r="X27" s="17">
        <f>IF(ISNA(VLOOKUP(A27,'Données projet'!$A$35:$I$55,6,0)),0%,VLOOKUP(A27,'Données projet'!$A$35:$I$55,6,0)*VLOOKUP('Données projet'!$B$9,Paramètres!$A$1:$I$88,7,0))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projet'!$B$9,Paramètres!$A$1:$I$88,3,0)*0.475*44/12</f>
        <v>0</v>
      </c>
      <c r="AA27" s="23">
        <f>EXP(-LN(2)/25)*AA26+(1-EXP(-LN(2)/25))/(LN(2)/25)*Calculateur!V27*Calculateur!X27*VLOOKUP('Données projet'!$B$9,Paramètres!$A$1:$I$88,3,0)*0.475*44/12</f>
        <v>0</v>
      </c>
      <c r="AB27" s="23">
        <f>EXP(-LN(2)/2)*AB26+(1-EXP(-LN(2)/2))/(LN(2)/2)*V27*Y27*VLOOKUP('Données projet'!$B$9,Paramètres!$A$1:$I$88,3,0)*0.475*44/12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projet'!$B$10,Paramètres!$A$1:$I$88,3,0)*VLOOKUP('Données projet'!$B$10,Paramètres!$A$1:$I$88,5,0)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projet'!$B$10,Paramètres!$A$1:$I$88,7,0))</f>
        <v>0</v>
      </c>
      <c r="AS27" s="17">
        <f>IF(ISNA(VLOOKUP(A27,'Données projet'!$A$61:$I$81,6,0)),0%,VLOOKUP(A27,'Données projet'!$A$61:$I$81,6,0)*VLOOKUP('Données projet'!$B$10,Paramètres!$A$1:$I$88,7,0))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projet'!$B$10,Paramètres!$A$1:$I$88,3,0)*0.475*44/12</f>
        <v>#N/A</v>
      </c>
      <c r="AV27" s="23" t="e">
        <f>EXP(-LN(2)/25)*AV26+(1-EXP(-LN(2)/25))/(LN(2)/25)*Calculateur!AQ27*Calculateur!AS27*VLOOKUP('Données projet'!$B$10,Paramètres!$A$1:$I$88,3,0)*0.475*44/12</f>
        <v>#N/A</v>
      </c>
      <c r="AW27" s="23" t="e">
        <f>EXP(-LN(2)/2)*AW26+(1-EXP(-LN(2)/2))/(LN(2)/2)*AQ27*AT27*VLOOKUP('Données projet'!$B$10,Paramètres!$A$1:$I$88,3,0)*0.475*44/12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projet'!$B$11,Paramètres!$A$1:$I$88,3,0)*VLOOKUP('Données projet'!$B$11,Paramètres!$A$1:$I$88,5,0)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projet'!$B$11,Paramètres!$A$1:$I$88,7,0))</f>
        <v>0</v>
      </c>
      <c r="BN27" s="17">
        <f>IF(ISNA(VLOOKUP(A27,'Données projet'!$A$87:$I$107,6,0)),0%,VLOOKUP(A27,'Données projet'!$A$87:$I$107,6,0)*VLOOKUP('Données projet'!$B$11,Paramètres!$A$1:$I$88,7,0))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projet'!$B$11,Paramètres!$A$1:$I$88,3,0)*0.475*44/12</f>
        <v>#N/A</v>
      </c>
      <c r="BQ27" s="23" t="e">
        <f>EXP(-LN(2)/25)*BQ26+(1-EXP(-LN(2)/25))/(LN(2)/25)*Calculateur!BL27*Calculateur!BN27*VLOOKUP('Données projet'!$B$11,Paramètres!$A$1:$I$88,3,0)*0.475*44/12</f>
        <v>#N/A</v>
      </c>
      <c r="BR27" s="23" t="e">
        <f>EXP(-LN(2)/2)*BR26+(1-EXP(-LN(2)/2))/(LN(2)/2)*BL27*BO27*VLOOKUP('Données projet'!$B$11,Paramètres!$A$1:$I$88,3,0)*0.475*44/12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projet'!$B$12,Paramètres!$A$1:$I$88,3,0)*VLOOKUP('Données projet'!$B$12,Paramètres!$A$1:$I$88,5,0)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projet'!$B$12,Paramètres!$A$1:$I$88,7,0))</f>
        <v>0</v>
      </c>
      <c r="CI27" s="17">
        <f>IF(ISNA(VLOOKUP(A27,'Données projet'!$A$113:$I$133,6,0)),0%,VLOOKUP(A27,'Données projet'!$A$113:$I$133,6,0)*VLOOKUP('Données projet'!$B$12,Paramètres!$A$1:$I$88,7,0))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projet'!$B$12,Paramètres!$A$1:$I$88,3,0)*0.475*44/12</f>
        <v>#N/A</v>
      </c>
      <c r="CL27" s="23" t="e">
        <f>EXP(-LN(2)/25)*CL26+(1-EXP(-LN(2)/25))/(LN(2)/25)*Calculateur!CG27*Calculateur!CI27*VLOOKUP('Données projet'!$B$12,Paramètres!$A$1:$I$88,3,0)*0.475*44/12</f>
        <v>#N/A</v>
      </c>
      <c r="CM27" s="23" t="e">
        <f>EXP(-LN(2)/2)*CM26+(1-EXP(-LN(2)/2))/(LN(2)/2)*CG27*CJ27*VLOOKUP('Données projet'!$B$12,Paramètres!$A$1:$I$88,3,0)*0.475*44/12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projet'!$B$13,Paramètres!$A$1:$I$88,3,0)*VLOOKUP('Données projet'!$B$13,Paramètres!$A$1:$I$88,5,0)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projet'!$B$13,Paramètres!$A$1:$I$88,7,0))</f>
        <v>0</v>
      </c>
      <c r="DD27" s="17">
        <f>IF(ISNA(VLOOKUP(A27,'Données projet'!$A$139:$I$159,6,0)),0%,VLOOKUP(A27,'Données projet'!$A$139:$I$159,6,0)*VLOOKUP('Données projet'!$B$13,Paramètres!$A$1:$I$88,7,0))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projet'!$B$13,Paramètres!$A$1:$I$88,3,0)*0.475*44/12</f>
        <v>#N/A</v>
      </c>
      <c r="DG27" s="23" t="e">
        <f>EXP(-LN(2)/25)*DG26+(1-EXP(-LN(2)/25))/(LN(2)/25)*Calculateur!DB27*Calculateur!DD27*VLOOKUP('Données projet'!$B$13,Paramètres!$A$1:$I$88,3,0)*0.475*44/12</f>
        <v>#N/A</v>
      </c>
      <c r="DH27" s="23" t="e">
        <f>EXP(-LN(2)/2)*DH26+(1-EXP(-LN(2)/2))/(LN(2)/2)*DB27*DE27*VLOOKUP('Données projet'!$B$13,Paramètres!$A$1:$I$88,3,0)*0.475*44/12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projet'!$B$14,Paramètres!$A$1:$I$88,3,0)*VLOOKUP('Données projet'!$B$14,Paramètres!$A$1:$I$88,5,0)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projet'!$B$14,Paramètres!$A$1:$I$88,7,0))</f>
        <v>0</v>
      </c>
      <c r="DY27" s="17">
        <f>IF(ISNA(VLOOKUP(A27,'Données projet'!$A$165:$I$185,6,0)),0%,VLOOKUP(A27,'Données projet'!$A$165:$I$185,6,0)*VLOOKUP('Données projet'!$B$14,Paramètres!$A$1:$I$88,7,0))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projet'!$B$14,Paramètres!$A$1:$I$88,3,0)*0.475*44/12</f>
        <v>#N/A</v>
      </c>
      <c r="EB27" s="23" t="e">
        <f>EXP(-LN(2)/25)*EB26+(1-EXP(-LN(2)/25))/(LN(2)/25)*Calculateur!DW27*Calculateur!DY27*VLOOKUP('Données projet'!$B$14,Paramètres!$A$1:$I$88,3,0)*0.475*44/12</f>
        <v>#N/A</v>
      </c>
      <c r="EC27" s="23" t="e">
        <f>EXP(-LN(2)/2)*EC26+(1-EXP(-LN(2)/2))/(LN(2)/2)*DW27*DZ27*VLOOKUP('Données projet'!$B$14,Paramètres!$A$1:$I$88,3,0)*0.475*44/12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projet'!$B$15,Paramètres!$A$1:$I$88,3,0)*VLOOKUP('Données projet'!$B$15,Paramètres!$A$1:$I$88,5,0)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projet'!$B$15,Paramètres!$A$1:$I$88,7,0))</f>
        <v>0</v>
      </c>
      <c r="ET27" s="17">
        <f>IF(ISNA(VLOOKUP(A27,'Données projet'!$A$191:$I$211,6,0)),0%,VLOOKUP(A27,'Données projet'!$A$191:$I$211,6,0)*VLOOKUP('Données projet'!$B$15,Paramètres!$A$1:$I$88,7,0))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projet'!$B$15,Paramètres!$A$1:$I$88,3,0)*0.475*44/12</f>
        <v>#N/A</v>
      </c>
      <c r="EW27" s="23" t="e">
        <f>EXP(-LN(2)/25)*EW26+(1-EXP(-LN(2)/25))/(LN(2)/25)*Calculateur!ER27*Calculateur!ET27*VLOOKUP('Données projet'!$B$15,Paramètres!$A$1:$I$88,3,0)*0.475*44/12</f>
        <v>#N/A</v>
      </c>
      <c r="EX27" s="23" t="e">
        <f>EXP(-LN(2)/2)*EX26+(1-EXP(-LN(2)/2))/(LN(2)/2)*ER27*EU27*VLOOKUP('Données projet'!$B$15,Paramètres!$A$1:$I$88,3,0)*0.475*44/12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projet'!$B$16,Paramètres!$A$1:$I$88,3,0)*VLOOKUP('Données projet'!$B$16,Paramètres!$A$1:$I$88,5,0)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projet'!$B$16,Paramètres!$A$1:$I$88,7,0))</f>
        <v>0</v>
      </c>
      <c r="FO27" s="17">
        <f>IF(ISNA(VLOOKUP(A27,'Données projet'!$A$217:$I$237,6,0)),0%,VLOOKUP(A27,'Données projet'!$A$217:$I$237,6,0)*VLOOKUP('Données projet'!$B$16,Paramètres!$A$1:$I$88,7,0))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projet'!$B$16,Paramètres!$A$1:$I$88,3,0)*0.475*44/12</f>
        <v>#N/A</v>
      </c>
      <c r="FR27" s="23" t="e">
        <f>EXP(-LN(2)/25)*FR26+(1-EXP(-LN(2)/25))/(LN(2)/25)*Calculateur!FM27*Calculateur!FO27*VLOOKUP('Données projet'!$B$16,Paramètres!$A$1:$I$88,3,0)*0.475*44/12</f>
        <v>#N/A</v>
      </c>
      <c r="FS27" s="23" t="e">
        <f>EXP(-LN(2)/2)*FS26+(1-EXP(-LN(2)/2))/(LN(2)/2)*FM27*FP27*VLOOKUP('Données projet'!$B$16,Paramètres!$A$1:$I$88,3,0)*0.475*44/12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projet'!$B$17,Paramètres!$A$1:$I$88,3,0)*VLOOKUP('Données projet'!$B$17,Paramètres!$A$1:$I$88,5,0)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projet'!$B$17,Paramètres!$A$1:$I$88,7,0))</f>
        <v>0</v>
      </c>
      <c r="GJ27" s="17">
        <f>IF(ISNA(VLOOKUP(A27,'Données projet'!$A$243:$I$263,6,0)),0%,VLOOKUP(A27,'Données projet'!$A$243:$I$263,6,0)*VLOOKUP('Données projet'!$B$17,Paramètres!$A$1:$I$88,7,0))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projet'!$B$17,Paramètres!$A$1:$I$88,3,0)*0.475*44/12</f>
        <v>#N/A</v>
      </c>
      <c r="GM27" s="23" t="e">
        <f>EXP(-LN(2)/25)*GM26+(1-EXP(-LN(2)/25))/(LN(2)/25)*Calculateur!GH27*Calculateur!GJ27*VLOOKUP('Données projet'!$B$17,Paramètres!$A$1:$I$88,3,0)*0.475*44/12</f>
        <v>#N/A</v>
      </c>
      <c r="GN27" s="23" t="e">
        <f>EXP(-LN(2)/2)*GN26+(1-EXP(-LN(2)/2))/(LN(2)/2)*GH27*GK27*VLOOKUP('Données projet'!$B$17,Paramètres!$A$1:$I$88,3,0)*0.475*44/12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projet'!$B$18,Paramètres!$A$1:$I$88,3,0)*VLOOKUP('Données projet'!$B$18,Paramètres!$A$1:$I$88,5,0)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projet'!$B$18,Paramètres!$A$1:$I$88,7,0))</f>
        <v>0</v>
      </c>
      <c r="HE27" s="17">
        <f>IF(ISNA(VLOOKUP(A27,'Données projet'!$A$269:$I$289,6,0)),0%,VLOOKUP(A27,'Données projet'!$A$269:$I$289,6,0)*VLOOKUP('Données projet'!$B$18,Paramètres!$A$1:$I$88,7,0))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projet'!$B$18,Paramètres!$A$1:$I$88,3,0)*0.475*44/12</f>
        <v>#N/A</v>
      </c>
      <c r="HH27" s="23" t="e">
        <f>EXP(-LN(2)/25)*HH26+(1-EXP(-LN(2)/25))/(LN(2)/25)*Calculateur!HC27*Calculateur!HE27*VLOOKUP('Données projet'!$B$18,Paramètres!$A$1:$I$88,3,0)*0.475*44/12</f>
        <v>#N/A</v>
      </c>
      <c r="HI27" s="23" t="e">
        <f>EXP(-LN(2)/2)*HI26+(1-EXP(-LN(2)/2))/(LN(2)/2)*HC27*HF27*VLOOKUP('Données projet'!$B$18,Paramètres!$A$1:$I$88,3,0)*0.475*44/12</f>
        <v>#N/A</v>
      </c>
      <c r="HJ27" s="24" t="e">
        <f t="shared" si="30"/>
        <v>#N/A</v>
      </c>
    </row>
    <row r="28" spans="1:218" s="5" customFormat="1" x14ac:dyDescent="0.3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253</v>
      </c>
      <c r="L28" s="13">
        <f>VLOOKUP(A28,'Données projet'!$A$35:$I$55,9,0)</f>
        <v>10.119999999999999</v>
      </c>
      <c r="M28" s="13">
        <f t="array" ref="M28">INDEX(L:L,MIN(IF(ISNUMBER(L28:L224),ROW(L28:L224),"")))</f>
        <v>10.119999999999999</v>
      </c>
      <c r="N28" s="14">
        <f>IF('Données projet'!$A$36&gt;35,N27+M28-V27,IF(A28&lt;'Données projet'!$A$36,$K$205^A28,IF(A28='Données projet'!$A$36,'Données projet'!$B$36,N27+M28-V27)))</f>
        <v>253</v>
      </c>
      <c r="O28" s="14">
        <f>N28*VLOOKUP('Données projet'!$B$9,Paramètres!$A$1:$I$88,3,0)*VLOOKUP('Données projet'!$B$9,Paramètres!$A$1:$I$88,5,0)</f>
        <v>141.42699999999999</v>
      </c>
      <c r="P28" s="14">
        <f t="shared" si="33"/>
        <v>36.623717959686019</v>
      </c>
      <c r="Q28" s="22">
        <f t="shared" si="2"/>
        <v>310.10500044645312</v>
      </c>
      <c r="R28" s="62">
        <f t="shared" si="0"/>
        <v>538.14277441278523</v>
      </c>
      <c r="S28" s="62">
        <f ca="1">AVERAGE(OFFSET($R$3,0,0,'Données projet'!$E$9+1,1))-AVERAGE(OFFSET($H$3,0,0,'Données projet'!$E$9+1,1))</f>
        <v>367.03450586441784</v>
      </c>
      <c r="T28" s="62">
        <f t="shared" si="34"/>
        <v>413.14502442862897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59</v>
      </c>
      <c r="W28" s="17">
        <f>IF(ISNA(VLOOKUP(A28,'Données projet'!$A$35:$I$55,5,0)),0%,VLOOKUP(A28,'Données projet'!$A$35:$I$55,5,0)*VLOOKUP('Données projet'!$B$9,Paramètres!$A$1:$I$88,7,0))</f>
        <v>5.5000000000000007E-2</v>
      </c>
      <c r="X28" s="17">
        <f>IF(ISNA(VLOOKUP(A28,'Données projet'!$A$35:$I$55,6,0)),0%,VLOOKUP(A28,'Données projet'!$A$35:$I$55,6,0)*VLOOKUP('Données projet'!$B$9,Paramètres!$A$1:$I$88,7,0))</f>
        <v>0.44000000000000006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projet'!$B$9,Paramètres!$A$1:$I$88,3,0)*0.475*44/12</f>
        <v>2.4063282267668318</v>
      </c>
      <c r="AA28" s="23">
        <f>EXP(-LN(2)/25)*AA27+(1-EXP(-LN(2)/25))/(LN(2)/25)*Calculateur!V28*Calculateur!X28*VLOOKUP('Données projet'!$B$9,Paramètres!$A$1:$I$88,3,0)*0.475*44/12</f>
        <v>19.174828765240907</v>
      </c>
      <c r="AB28" s="23">
        <f>EXP(-LN(2)/2)*AB27+(1-EXP(-LN(2)/2))/(LN(2)/2)*V28*Y28*VLOOKUP('Données projet'!$B$9,Paramètres!$A$1:$I$88,3,0)*0.475*44/12</f>
        <v>0</v>
      </c>
      <c r="AC28" s="24">
        <f t="shared" si="3"/>
        <v>21.581156992007738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projet'!$B$10,Paramètres!$A$1:$I$88,3,0)*VLOOKUP('Données projet'!$B$10,Paramètres!$A$1:$I$88,5,0)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projet'!$B$10,Paramètres!$A$1:$I$88,7,0))</f>
        <v>0</v>
      </c>
      <c r="AS28" s="17">
        <f>IF(ISNA(VLOOKUP(A28,'Données projet'!$A$61:$I$81,6,0)),0%,VLOOKUP(A28,'Données projet'!$A$61:$I$81,6,0)*VLOOKUP('Données projet'!$B$10,Paramètres!$A$1:$I$88,7,0))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projet'!$B$10,Paramètres!$A$1:$I$88,3,0)*0.475*44/12</f>
        <v>#N/A</v>
      </c>
      <c r="AV28" s="23" t="e">
        <f>EXP(-LN(2)/25)*AV27+(1-EXP(-LN(2)/25))/(LN(2)/25)*Calculateur!AQ28*Calculateur!AS28*VLOOKUP('Données projet'!$B$10,Paramètres!$A$1:$I$88,3,0)*0.475*44/12</f>
        <v>#N/A</v>
      </c>
      <c r="AW28" s="23" t="e">
        <f>EXP(-LN(2)/2)*AW27+(1-EXP(-LN(2)/2))/(LN(2)/2)*AQ28*AT28*VLOOKUP('Données projet'!$B$10,Paramètres!$A$1:$I$88,3,0)*0.475*44/12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projet'!$B$11,Paramètres!$A$1:$I$88,3,0)*VLOOKUP('Données projet'!$B$11,Paramètres!$A$1:$I$88,5,0)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projet'!$B$11,Paramètres!$A$1:$I$88,7,0))</f>
        <v>0</v>
      </c>
      <c r="BN28" s="17">
        <f>IF(ISNA(VLOOKUP(A28,'Données projet'!$A$87:$I$107,6,0)),0%,VLOOKUP(A28,'Données projet'!$A$87:$I$107,6,0)*VLOOKUP('Données projet'!$B$11,Paramètres!$A$1:$I$88,7,0))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projet'!$B$11,Paramètres!$A$1:$I$88,3,0)*0.475*44/12</f>
        <v>#N/A</v>
      </c>
      <c r="BQ28" s="23" t="e">
        <f>EXP(-LN(2)/25)*BQ27+(1-EXP(-LN(2)/25))/(LN(2)/25)*Calculateur!BL28*Calculateur!BN28*VLOOKUP('Données projet'!$B$11,Paramètres!$A$1:$I$88,3,0)*0.475*44/12</f>
        <v>#N/A</v>
      </c>
      <c r="BR28" s="23" t="e">
        <f>EXP(-LN(2)/2)*BR27+(1-EXP(-LN(2)/2))/(LN(2)/2)*BL28*BO28*VLOOKUP('Données projet'!$B$11,Paramètres!$A$1:$I$88,3,0)*0.475*44/12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projet'!$B$12,Paramètres!$A$1:$I$88,3,0)*VLOOKUP('Données projet'!$B$12,Paramètres!$A$1:$I$88,5,0)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projet'!$B$12,Paramètres!$A$1:$I$88,7,0))</f>
        <v>0</v>
      </c>
      <c r="CI28" s="17">
        <f>IF(ISNA(VLOOKUP(A28,'Données projet'!$A$113:$I$133,6,0)),0%,VLOOKUP(A28,'Données projet'!$A$113:$I$133,6,0)*VLOOKUP('Données projet'!$B$12,Paramètres!$A$1:$I$88,7,0))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projet'!$B$12,Paramètres!$A$1:$I$88,3,0)*0.475*44/12</f>
        <v>#N/A</v>
      </c>
      <c r="CL28" s="23" t="e">
        <f>EXP(-LN(2)/25)*CL27+(1-EXP(-LN(2)/25))/(LN(2)/25)*Calculateur!CG28*Calculateur!CI28*VLOOKUP('Données projet'!$B$12,Paramètres!$A$1:$I$88,3,0)*0.475*44/12</f>
        <v>#N/A</v>
      </c>
      <c r="CM28" s="23" t="e">
        <f>EXP(-LN(2)/2)*CM27+(1-EXP(-LN(2)/2))/(LN(2)/2)*CG28*CJ28*VLOOKUP('Données projet'!$B$12,Paramètres!$A$1:$I$88,3,0)*0.475*44/12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projet'!$B$13,Paramètres!$A$1:$I$88,3,0)*VLOOKUP('Données projet'!$B$13,Paramètres!$A$1:$I$88,5,0)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projet'!$B$13,Paramètres!$A$1:$I$88,7,0))</f>
        <v>0</v>
      </c>
      <c r="DD28" s="17">
        <f>IF(ISNA(VLOOKUP(A28,'Données projet'!$A$139:$I$159,6,0)),0%,VLOOKUP(A28,'Données projet'!$A$139:$I$159,6,0)*VLOOKUP('Données projet'!$B$13,Paramètres!$A$1:$I$88,7,0))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projet'!$B$13,Paramètres!$A$1:$I$88,3,0)*0.475*44/12</f>
        <v>#N/A</v>
      </c>
      <c r="DG28" s="23" t="e">
        <f>EXP(-LN(2)/25)*DG27+(1-EXP(-LN(2)/25))/(LN(2)/25)*Calculateur!DB28*Calculateur!DD28*VLOOKUP('Données projet'!$B$13,Paramètres!$A$1:$I$88,3,0)*0.475*44/12</f>
        <v>#N/A</v>
      </c>
      <c r="DH28" s="23" t="e">
        <f>EXP(-LN(2)/2)*DH27+(1-EXP(-LN(2)/2))/(LN(2)/2)*DB28*DE28*VLOOKUP('Données projet'!$B$13,Paramètres!$A$1:$I$88,3,0)*0.475*44/12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projet'!$B$14,Paramètres!$A$1:$I$88,3,0)*VLOOKUP('Données projet'!$B$14,Paramètres!$A$1:$I$88,5,0)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projet'!$B$14,Paramètres!$A$1:$I$88,7,0))</f>
        <v>0</v>
      </c>
      <c r="DY28" s="17">
        <f>IF(ISNA(VLOOKUP(A28,'Données projet'!$A$165:$I$185,6,0)),0%,VLOOKUP(A28,'Données projet'!$A$165:$I$185,6,0)*VLOOKUP('Données projet'!$B$14,Paramètres!$A$1:$I$88,7,0))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projet'!$B$14,Paramètres!$A$1:$I$88,3,0)*0.475*44/12</f>
        <v>#N/A</v>
      </c>
      <c r="EB28" s="23" t="e">
        <f>EXP(-LN(2)/25)*EB27+(1-EXP(-LN(2)/25))/(LN(2)/25)*Calculateur!DW28*Calculateur!DY28*VLOOKUP('Données projet'!$B$14,Paramètres!$A$1:$I$88,3,0)*0.475*44/12</f>
        <v>#N/A</v>
      </c>
      <c r="EC28" s="23" t="e">
        <f>EXP(-LN(2)/2)*EC27+(1-EXP(-LN(2)/2))/(LN(2)/2)*DW28*DZ28*VLOOKUP('Données projet'!$B$14,Paramètres!$A$1:$I$88,3,0)*0.475*44/12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projet'!$B$15,Paramètres!$A$1:$I$88,3,0)*VLOOKUP('Données projet'!$B$15,Paramètres!$A$1:$I$88,5,0)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projet'!$B$15,Paramètres!$A$1:$I$88,7,0))</f>
        <v>0</v>
      </c>
      <c r="ET28" s="17">
        <f>IF(ISNA(VLOOKUP(A28,'Données projet'!$A$191:$I$211,6,0)),0%,VLOOKUP(A28,'Données projet'!$A$191:$I$211,6,0)*VLOOKUP('Données projet'!$B$15,Paramètres!$A$1:$I$88,7,0))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projet'!$B$15,Paramètres!$A$1:$I$88,3,0)*0.475*44/12</f>
        <v>#N/A</v>
      </c>
      <c r="EW28" s="23" t="e">
        <f>EXP(-LN(2)/25)*EW27+(1-EXP(-LN(2)/25))/(LN(2)/25)*Calculateur!ER28*Calculateur!ET28*VLOOKUP('Données projet'!$B$15,Paramètres!$A$1:$I$88,3,0)*0.475*44/12</f>
        <v>#N/A</v>
      </c>
      <c r="EX28" s="23" t="e">
        <f>EXP(-LN(2)/2)*EX27+(1-EXP(-LN(2)/2))/(LN(2)/2)*ER28*EU28*VLOOKUP('Données projet'!$B$15,Paramètres!$A$1:$I$88,3,0)*0.475*44/12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projet'!$B$16,Paramètres!$A$1:$I$88,3,0)*VLOOKUP('Données projet'!$B$16,Paramètres!$A$1:$I$88,5,0)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projet'!$B$16,Paramètres!$A$1:$I$88,7,0))</f>
        <v>0</v>
      </c>
      <c r="FO28" s="17">
        <f>IF(ISNA(VLOOKUP(A28,'Données projet'!$A$217:$I$237,6,0)),0%,VLOOKUP(A28,'Données projet'!$A$217:$I$237,6,0)*VLOOKUP('Données projet'!$B$16,Paramètres!$A$1:$I$88,7,0))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projet'!$B$16,Paramètres!$A$1:$I$88,3,0)*0.475*44/12</f>
        <v>#N/A</v>
      </c>
      <c r="FR28" s="23" t="e">
        <f>EXP(-LN(2)/25)*FR27+(1-EXP(-LN(2)/25))/(LN(2)/25)*Calculateur!FM28*Calculateur!FO28*VLOOKUP('Données projet'!$B$16,Paramètres!$A$1:$I$88,3,0)*0.475*44/12</f>
        <v>#N/A</v>
      </c>
      <c r="FS28" s="23" t="e">
        <f>EXP(-LN(2)/2)*FS27+(1-EXP(-LN(2)/2))/(LN(2)/2)*FM28*FP28*VLOOKUP('Données projet'!$B$16,Paramètres!$A$1:$I$88,3,0)*0.475*44/12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projet'!$B$17,Paramètres!$A$1:$I$88,3,0)*VLOOKUP('Données projet'!$B$17,Paramètres!$A$1:$I$88,5,0)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projet'!$B$17,Paramètres!$A$1:$I$88,7,0))</f>
        <v>0</v>
      </c>
      <c r="GJ28" s="17">
        <f>IF(ISNA(VLOOKUP(A28,'Données projet'!$A$243:$I$263,6,0)),0%,VLOOKUP(A28,'Données projet'!$A$243:$I$263,6,0)*VLOOKUP('Données projet'!$B$17,Paramètres!$A$1:$I$88,7,0))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projet'!$B$17,Paramètres!$A$1:$I$88,3,0)*0.475*44/12</f>
        <v>#N/A</v>
      </c>
      <c r="GM28" s="23" t="e">
        <f>EXP(-LN(2)/25)*GM27+(1-EXP(-LN(2)/25))/(LN(2)/25)*Calculateur!GH28*Calculateur!GJ28*VLOOKUP('Données projet'!$B$17,Paramètres!$A$1:$I$88,3,0)*0.475*44/12</f>
        <v>#N/A</v>
      </c>
      <c r="GN28" s="23" t="e">
        <f>EXP(-LN(2)/2)*GN27+(1-EXP(-LN(2)/2))/(LN(2)/2)*GH28*GK28*VLOOKUP('Données projet'!$B$17,Paramètres!$A$1:$I$88,3,0)*0.475*44/12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projet'!$B$18,Paramètres!$A$1:$I$88,3,0)*VLOOKUP('Données projet'!$B$18,Paramètres!$A$1:$I$88,5,0)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projet'!$B$18,Paramètres!$A$1:$I$88,7,0))</f>
        <v>0</v>
      </c>
      <c r="HE28" s="17">
        <f>IF(ISNA(VLOOKUP(A28,'Données projet'!$A$269:$I$289,6,0)),0%,VLOOKUP(A28,'Données projet'!$A$269:$I$289,6,0)*VLOOKUP('Données projet'!$B$18,Paramètres!$A$1:$I$88,7,0))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projet'!$B$18,Paramètres!$A$1:$I$88,3,0)*0.475*44/12</f>
        <v>#N/A</v>
      </c>
      <c r="HH28" s="23" t="e">
        <f>EXP(-LN(2)/25)*HH27+(1-EXP(-LN(2)/25))/(LN(2)/25)*Calculateur!HC28*Calculateur!HE28*VLOOKUP('Données projet'!$B$18,Paramètres!$A$1:$I$88,3,0)*0.475*44/12</f>
        <v>#N/A</v>
      </c>
      <c r="HI28" s="23" t="e">
        <f>EXP(-LN(2)/2)*HI27+(1-EXP(-LN(2)/2))/(LN(2)/2)*HC28*HF28*VLOOKUP('Données projet'!$B$18,Paramètres!$A$1:$I$88,3,0)*0.475*44/12</f>
        <v>#N/A</v>
      </c>
      <c r="HJ28" s="24" t="e">
        <f t="shared" si="30"/>
        <v>#N/A</v>
      </c>
    </row>
    <row r="29" spans="1:218" s="5" customFormat="1" x14ac:dyDescent="0.3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19.714285714285715</v>
      </c>
      <c r="N29" s="14">
        <f>IF('Données projet'!$A$36&gt;35,N28+M29-V28,IF(A29&lt;'Données projet'!$A$36,$K$205^A29,IF(A29='Données projet'!$A$36,'Données projet'!$B$36,N28+M29-V28)))</f>
        <v>213.71428571428572</v>
      </c>
      <c r="O29" s="14">
        <f>N29*VLOOKUP('Données projet'!$B$9,Paramètres!$A$1:$I$88,3,0)*VLOOKUP('Données projet'!$B$9,Paramètres!$A$1:$I$88,5,0)</f>
        <v>119.46628571428572</v>
      </c>
      <c r="P29" s="14">
        <f t="shared" si="33"/>
        <v>31.550486926257484</v>
      </c>
      <c r="Q29" s="22">
        <f t="shared" si="2"/>
        <v>263.02087901561271</v>
      </c>
      <c r="R29" s="62">
        <f t="shared" si="0"/>
        <v>493.30759306480286</v>
      </c>
      <c r="S29" s="62">
        <f ca="1">AVERAGE(OFFSET($R$3,0,0,'Données projet'!$E$9+1,1))-AVERAGE(OFFSET($H$3,0,0,'Données projet'!$E$9+1,1))</f>
        <v>367.03450586441784</v>
      </c>
      <c r="T29" s="62">
        <f t="shared" si="34"/>
        <v>413.14502442862897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projet'!$B$9,Paramètres!$A$1:$I$88,7,0))</f>
        <v>0</v>
      </c>
      <c r="X29" s="17">
        <f>IF(ISNA(VLOOKUP(A29,'Données projet'!$A$35:$I$55,6,0)),0%,VLOOKUP(A29,'Données projet'!$A$35:$I$55,6,0)*VLOOKUP('Données projet'!$B$9,Paramètres!$A$1:$I$88,7,0))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projet'!$B$9,Paramètres!$A$1:$I$88,3,0)*0.475*44/12</f>
        <v>2.3591415979552277</v>
      </c>
      <c r="AA29" s="23">
        <f>EXP(-LN(2)/25)*AA28+(1-EXP(-LN(2)/25))/(LN(2)/25)*Calculateur!V29*Calculateur!X29*VLOOKUP('Données projet'!$B$9,Paramètres!$A$1:$I$88,3,0)*0.475*44/12</f>
        <v>18.650492064294973</v>
      </c>
      <c r="AB29" s="23">
        <f>EXP(-LN(2)/2)*AB28+(1-EXP(-LN(2)/2))/(LN(2)/2)*V29*Y29*VLOOKUP('Données projet'!$B$9,Paramètres!$A$1:$I$88,3,0)*0.475*44/12</f>
        <v>0</v>
      </c>
      <c r="AC29" s="24">
        <f t="shared" si="3"/>
        <v>21.009633662250202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projet'!$B$10,Paramètres!$A$1:$I$88,3,0)*VLOOKUP('Données projet'!$B$10,Paramètres!$A$1:$I$88,5,0)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projet'!$B$10,Paramètres!$A$1:$I$88,7,0))</f>
        <v>0</v>
      </c>
      <c r="AS29" s="17">
        <f>IF(ISNA(VLOOKUP(A29,'Données projet'!$A$61:$I$81,6,0)),0%,VLOOKUP(A29,'Données projet'!$A$61:$I$81,6,0)*VLOOKUP('Données projet'!$B$10,Paramètres!$A$1:$I$88,7,0))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projet'!$B$10,Paramètres!$A$1:$I$88,3,0)*0.475*44/12</f>
        <v>#N/A</v>
      </c>
      <c r="AV29" s="23" t="e">
        <f>EXP(-LN(2)/25)*AV28+(1-EXP(-LN(2)/25))/(LN(2)/25)*Calculateur!AQ29*Calculateur!AS29*VLOOKUP('Données projet'!$B$10,Paramètres!$A$1:$I$88,3,0)*0.475*44/12</f>
        <v>#N/A</v>
      </c>
      <c r="AW29" s="23" t="e">
        <f>EXP(-LN(2)/2)*AW28+(1-EXP(-LN(2)/2))/(LN(2)/2)*AQ29*AT29*VLOOKUP('Données projet'!$B$10,Paramètres!$A$1:$I$88,3,0)*0.475*44/12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projet'!$B$11,Paramètres!$A$1:$I$88,3,0)*VLOOKUP('Données projet'!$B$11,Paramètres!$A$1:$I$88,5,0)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projet'!$B$11,Paramètres!$A$1:$I$88,7,0))</f>
        <v>0</v>
      </c>
      <c r="BN29" s="17">
        <f>IF(ISNA(VLOOKUP(A29,'Données projet'!$A$87:$I$107,6,0)),0%,VLOOKUP(A29,'Données projet'!$A$87:$I$107,6,0)*VLOOKUP('Données projet'!$B$11,Paramètres!$A$1:$I$88,7,0))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projet'!$B$11,Paramètres!$A$1:$I$88,3,0)*0.475*44/12</f>
        <v>#N/A</v>
      </c>
      <c r="BQ29" s="23" t="e">
        <f>EXP(-LN(2)/25)*BQ28+(1-EXP(-LN(2)/25))/(LN(2)/25)*Calculateur!BL29*Calculateur!BN29*VLOOKUP('Données projet'!$B$11,Paramètres!$A$1:$I$88,3,0)*0.475*44/12</f>
        <v>#N/A</v>
      </c>
      <c r="BR29" s="23" t="e">
        <f>EXP(-LN(2)/2)*BR28+(1-EXP(-LN(2)/2))/(LN(2)/2)*BL29*BO29*VLOOKUP('Données projet'!$B$11,Paramètres!$A$1:$I$88,3,0)*0.475*44/12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projet'!$B$12,Paramètres!$A$1:$I$88,3,0)*VLOOKUP('Données projet'!$B$12,Paramètres!$A$1:$I$88,5,0)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projet'!$B$12,Paramètres!$A$1:$I$88,7,0))</f>
        <v>0</v>
      </c>
      <c r="CI29" s="17">
        <f>IF(ISNA(VLOOKUP(A29,'Données projet'!$A$113:$I$133,6,0)),0%,VLOOKUP(A29,'Données projet'!$A$113:$I$133,6,0)*VLOOKUP('Données projet'!$B$12,Paramètres!$A$1:$I$88,7,0))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projet'!$B$12,Paramètres!$A$1:$I$88,3,0)*0.475*44/12</f>
        <v>#N/A</v>
      </c>
      <c r="CL29" s="23" t="e">
        <f>EXP(-LN(2)/25)*CL28+(1-EXP(-LN(2)/25))/(LN(2)/25)*Calculateur!CG29*Calculateur!CI29*VLOOKUP('Données projet'!$B$12,Paramètres!$A$1:$I$88,3,0)*0.475*44/12</f>
        <v>#N/A</v>
      </c>
      <c r="CM29" s="23" t="e">
        <f>EXP(-LN(2)/2)*CM28+(1-EXP(-LN(2)/2))/(LN(2)/2)*CG29*CJ29*VLOOKUP('Données projet'!$B$12,Paramètres!$A$1:$I$88,3,0)*0.475*44/12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projet'!$B$13,Paramètres!$A$1:$I$88,3,0)*VLOOKUP('Données projet'!$B$13,Paramètres!$A$1:$I$88,5,0)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projet'!$B$13,Paramètres!$A$1:$I$88,7,0))</f>
        <v>0</v>
      </c>
      <c r="DD29" s="17">
        <f>IF(ISNA(VLOOKUP(A29,'Données projet'!$A$139:$I$159,6,0)),0%,VLOOKUP(A29,'Données projet'!$A$139:$I$159,6,0)*VLOOKUP('Données projet'!$B$13,Paramètres!$A$1:$I$88,7,0))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projet'!$B$13,Paramètres!$A$1:$I$88,3,0)*0.475*44/12</f>
        <v>#N/A</v>
      </c>
      <c r="DG29" s="23" t="e">
        <f>EXP(-LN(2)/25)*DG28+(1-EXP(-LN(2)/25))/(LN(2)/25)*Calculateur!DB29*Calculateur!DD29*VLOOKUP('Données projet'!$B$13,Paramètres!$A$1:$I$88,3,0)*0.475*44/12</f>
        <v>#N/A</v>
      </c>
      <c r="DH29" s="23" t="e">
        <f>EXP(-LN(2)/2)*DH28+(1-EXP(-LN(2)/2))/(LN(2)/2)*DB29*DE29*VLOOKUP('Données projet'!$B$13,Paramètres!$A$1:$I$88,3,0)*0.475*44/12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projet'!$B$14,Paramètres!$A$1:$I$88,3,0)*VLOOKUP('Données projet'!$B$14,Paramètres!$A$1:$I$88,5,0)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projet'!$B$14,Paramètres!$A$1:$I$88,7,0))</f>
        <v>0</v>
      </c>
      <c r="DY29" s="17">
        <f>IF(ISNA(VLOOKUP(A29,'Données projet'!$A$165:$I$185,6,0)),0%,VLOOKUP(A29,'Données projet'!$A$165:$I$185,6,0)*VLOOKUP('Données projet'!$B$14,Paramètres!$A$1:$I$88,7,0))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projet'!$B$14,Paramètres!$A$1:$I$88,3,0)*0.475*44/12</f>
        <v>#N/A</v>
      </c>
      <c r="EB29" s="23" t="e">
        <f>EXP(-LN(2)/25)*EB28+(1-EXP(-LN(2)/25))/(LN(2)/25)*Calculateur!DW29*Calculateur!DY29*VLOOKUP('Données projet'!$B$14,Paramètres!$A$1:$I$88,3,0)*0.475*44/12</f>
        <v>#N/A</v>
      </c>
      <c r="EC29" s="23" t="e">
        <f>EXP(-LN(2)/2)*EC28+(1-EXP(-LN(2)/2))/(LN(2)/2)*DW29*DZ29*VLOOKUP('Données projet'!$B$14,Paramètres!$A$1:$I$88,3,0)*0.475*44/12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projet'!$B$15,Paramètres!$A$1:$I$88,3,0)*VLOOKUP('Données projet'!$B$15,Paramètres!$A$1:$I$88,5,0)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projet'!$B$15,Paramètres!$A$1:$I$88,7,0))</f>
        <v>0</v>
      </c>
      <c r="ET29" s="17">
        <f>IF(ISNA(VLOOKUP(A29,'Données projet'!$A$191:$I$211,6,0)),0%,VLOOKUP(A29,'Données projet'!$A$191:$I$211,6,0)*VLOOKUP('Données projet'!$B$15,Paramètres!$A$1:$I$88,7,0))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projet'!$B$15,Paramètres!$A$1:$I$88,3,0)*0.475*44/12</f>
        <v>#N/A</v>
      </c>
      <c r="EW29" s="23" t="e">
        <f>EXP(-LN(2)/25)*EW28+(1-EXP(-LN(2)/25))/(LN(2)/25)*Calculateur!ER29*Calculateur!ET29*VLOOKUP('Données projet'!$B$15,Paramètres!$A$1:$I$88,3,0)*0.475*44/12</f>
        <v>#N/A</v>
      </c>
      <c r="EX29" s="23" t="e">
        <f>EXP(-LN(2)/2)*EX28+(1-EXP(-LN(2)/2))/(LN(2)/2)*ER29*EU29*VLOOKUP('Données projet'!$B$15,Paramètres!$A$1:$I$88,3,0)*0.475*44/12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projet'!$B$16,Paramètres!$A$1:$I$88,3,0)*VLOOKUP('Données projet'!$B$16,Paramètres!$A$1:$I$88,5,0)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projet'!$B$16,Paramètres!$A$1:$I$88,7,0))</f>
        <v>0</v>
      </c>
      <c r="FO29" s="17">
        <f>IF(ISNA(VLOOKUP(A29,'Données projet'!$A$217:$I$237,6,0)),0%,VLOOKUP(A29,'Données projet'!$A$217:$I$237,6,0)*VLOOKUP('Données projet'!$B$16,Paramètres!$A$1:$I$88,7,0))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projet'!$B$16,Paramètres!$A$1:$I$88,3,0)*0.475*44/12</f>
        <v>#N/A</v>
      </c>
      <c r="FR29" s="23" t="e">
        <f>EXP(-LN(2)/25)*FR28+(1-EXP(-LN(2)/25))/(LN(2)/25)*Calculateur!FM29*Calculateur!FO29*VLOOKUP('Données projet'!$B$16,Paramètres!$A$1:$I$88,3,0)*0.475*44/12</f>
        <v>#N/A</v>
      </c>
      <c r="FS29" s="23" t="e">
        <f>EXP(-LN(2)/2)*FS28+(1-EXP(-LN(2)/2))/(LN(2)/2)*FM29*FP29*VLOOKUP('Données projet'!$B$16,Paramètres!$A$1:$I$88,3,0)*0.475*44/12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projet'!$B$17,Paramètres!$A$1:$I$88,3,0)*VLOOKUP('Données projet'!$B$17,Paramètres!$A$1:$I$88,5,0)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projet'!$B$17,Paramètres!$A$1:$I$88,7,0))</f>
        <v>0</v>
      </c>
      <c r="GJ29" s="17">
        <f>IF(ISNA(VLOOKUP(A29,'Données projet'!$A$243:$I$263,6,0)),0%,VLOOKUP(A29,'Données projet'!$A$243:$I$263,6,0)*VLOOKUP('Données projet'!$B$17,Paramètres!$A$1:$I$88,7,0))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projet'!$B$17,Paramètres!$A$1:$I$88,3,0)*0.475*44/12</f>
        <v>#N/A</v>
      </c>
      <c r="GM29" s="23" t="e">
        <f>EXP(-LN(2)/25)*GM28+(1-EXP(-LN(2)/25))/(LN(2)/25)*Calculateur!GH29*Calculateur!GJ29*VLOOKUP('Données projet'!$B$17,Paramètres!$A$1:$I$88,3,0)*0.475*44/12</f>
        <v>#N/A</v>
      </c>
      <c r="GN29" s="23" t="e">
        <f>EXP(-LN(2)/2)*GN28+(1-EXP(-LN(2)/2))/(LN(2)/2)*GH29*GK29*VLOOKUP('Données projet'!$B$17,Paramètres!$A$1:$I$88,3,0)*0.475*44/12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projet'!$B$18,Paramètres!$A$1:$I$88,3,0)*VLOOKUP('Données projet'!$B$18,Paramètres!$A$1:$I$88,5,0)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projet'!$B$18,Paramètres!$A$1:$I$88,7,0))</f>
        <v>0</v>
      </c>
      <c r="HE29" s="17">
        <f>IF(ISNA(VLOOKUP(A29,'Données projet'!$A$269:$I$289,6,0)),0%,VLOOKUP(A29,'Données projet'!$A$269:$I$289,6,0)*VLOOKUP('Données projet'!$B$18,Paramètres!$A$1:$I$88,7,0))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projet'!$B$18,Paramètres!$A$1:$I$88,3,0)*0.475*44/12</f>
        <v>#N/A</v>
      </c>
      <c r="HH29" s="23" t="e">
        <f>EXP(-LN(2)/25)*HH28+(1-EXP(-LN(2)/25))/(LN(2)/25)*Calculateur!HC29*Calculateur!HE29*VLOOKUP('Données projet'!$B$18,Paramètres!$A$1:$I$88,3,0)*0.475*44/12</f>
        <v>#N/A</v>
      </c>
      <c r="HI29" s="23" t="e">
        <f>EXP(-LN(2)/2)*HI28+(1-EXP(-LN(2)/2))/(LN(2)/2)*HC29*HF29*VLOOKUP('Données projet'!$B$18,Paramètres!$A$1:$I$88,3,0)*0.475*44/12</f>
        <v>#N/A</v>
      </c>
      <c r="HJ29" s="24" t="e">
        <f t="shared" si="30"/>
        <v>#N/A</v>
      </c>
    </row>
    <row r="30" spans="1:218" s="5" customFormat="1" x14ac:dyDescent="0.3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19.714285714285715</v>
      </c>
      <c r="N30" s="14">
        <f>IF('Données projet'!$A$36&gt;35,N29+M30-V29,IF(A30&lt;'Données projet'!$A$36,$K$205^A30,IF(A30='Données projet'!$A$36,'Données projet'!$B$36,N29+M30-V29)))</f>
        <v>233.42857142857144</v>
      </c>
      <c r="O30" s="14">
        <f>N30*VLOOKUP('Données projet'!$B$9,Paramètres!$A$1:$I$88,3,0)*VLOOKUP('Données projet'!$B$9,Paramètres!$A$1:$I$88,5,0)</f>
        <v>130.48657142857144</v>
      </c>
      <c r="P30" s="14">
        <f t="shared" si="33"/>
        <v>34.108767245824239</v>
      </c>
      <c r="Q30" s="22">
        <f t="shared" si="2"/>
        <v>286.67021485790582</v>
      </c>
      <c r="R30" s="62">
        <f t="shared" si="0"/>
        <v>519.18805773046938</v>
      </c>
      <c r="S30" s="62">
        <f ca="1">AVERAGE(OFFSET($R$3,0,0,'Données projet'!$E$9+1,1))-AVERAGE(OFFSET($H$3,0,0,'Données projet'!$E$9+1,1))</f>
        <v>367.03450586441784</v>
      </c>
      <c r="T30" s="62">
        <f t="shared" si="34"/>
        <v>413.14502442862897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projet'!$B$9,Paramètres!$A$1:$I$88,7,0))</f>
        <v>0</v>
      </c>
      <c r="X30" s="17">
        <f>IF(ISNA(VLOOKUP(A30,'Données projet'!$A$35:$I$55,6,0)),0%,VLOOKUP(A30,'Données projet'!$A$35:$I$55,6,0)*VLOOKUP('Données projet'!$B$9,Paramètres!$A$1:$I$88,7,0))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projet'!$B$9,Paramètres!$A$1:$I$88,3,0)*0.475*44/12</f>
        <v>2.3128802701536175</v>
      </c>
      <c r="AA30" s="23">
        <f>EXP(-LN(2)/25)*AA29+(1-EXP(-LN(2)/25))/(LN(2)/25)*Calculateur!V30*Calculateur!X30*VLOOKUP('Données projet'!$B$9,Paramètres!$A$1:$I$88,3,0)*0.475*44/12</f>
        <v>18.140493378010074</v>
      </c>
      <c r="AB30" s="23">
        <f>EXP(-LN(2)/2)*AB29+(1-EXP(-LN(2)/2))/(LN(2)/2)*V30*Y30*VLOOKUP('Données projet'!$B$9,Paramètres!$A$1:$I$88,3,0)*0.475*44/12</f>
        <v>0</v>
      </c>
      <c r="AC30" s="24">
        <f t="shared" si="3"/>
        <v>20.453373648163691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projet'!$B$10,Paramètres!$A$1:$I$88,3,0)*VLOOKUP('Données projet'!$B$10,Paramètres!$A$1:$I$88,5,0)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projet'!$B$10,Paramètres!$A$1:$I$88,7,0))</f>
        <v>0</v>
      </c>
      <c r="AS30" s="17">
        <f>IF(ISNA(VLOOKUP(A30,'Données projet'!$A$61:$I$81,6,0)),0%,VLOOKUP(A30,'Données projet'!$A$61:$I$81,6,0)*VLOOKUP('Données projet'!$B$10,Paramètres!$A$1:$I$88,7,0))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projet'!$B$10,Paramètres!$A$1:$I$88,3,0)*0.475*44/12</f>
        <v>#N/A</v>
      </c>
      <c r="AV30" s="23" t="e">
        <f>EXP(-LN(2)/25)*AV29+(1-EXP(-LN(2)/25))/(LN(2)/25)*Calculateur!AQ30*Calculateur!AS30*VLOOKUP('Données projet'!$B$10,Paramètres!$A$1:$I$88,3,0)*0.475*44/12</f>
        <v>#N/A</v>
      </c>
      <c r="AW30" s="23" t="e">
        <f>EXP(-LN(2)/2)*AW29+(1-EXP(-LN(2)/2))/(LN(2)/2)*AQ30*AT30*VLOOKUP('Données projet'!$B$10,Paramètres!$A$1:$I$88,3,0)*0.475*44/12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projet'!$B$11,Paramètres!$A$1:$I$88,3,0)*VLOOKUP('Données projet'!$B$11,Paramètres!$A$1:$I$88,5,0)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projet'!$B$11,Paramètres!$A$1:$I$88,7,0))</f>
        <v>0</v>
      </c>
      <c r="BN30" s="17">
        <f>IF(ISNA(VLOOKUP(A30,'Données projet'!$A$87:$I$107,6,0)),0%,VLOOKUP(A30,'Données projet'!$A$87:$I$107,6,0)*VLOOKUP('Données projet'!$B$11,Paramètres!$A$1:$I$88,7,0))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projet'!$B$11,Paramètres!$A$1:$I$88,3,0)*0.475*44/12</f>
        <v>#N/A</v>
      </c>
      <c r="BQ30" s="23" t="e">
        <f>EXP(-LN(2)/25)*BQ29+(1-EXP(-LN(2)/25))/(LN(2)/25)*Calculateur!BL30*Calculateur!BN30*VLOOKUP('Données projet'!$B$11,Paramètres!$A$1:$I$88,3,0)*0.475*44/12</f>
        <v>#N/A</v>
      </c>
      <c r="BR30" s="23" t="e">
        <f>EXP(-LN(2)/2)*BR29+(1-EXP(-LN(2)/2))/(LN(2)/2)*BL30*BO30*VLOOKUP('Données projet'!$B$11,Paramètres!$A$1:$I$88,3,0)*0.475*44/12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projet'!$B$12,Paramètres!$A$1:$I$88,3,0)*VLOOKUP('Données projet'!$B$12,Paramètres!$A$1:$I$88,5,0)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projet'!$B$12,Paramètres!$A$1:$I$88,7,0))</f>
        <v>0</v>
      </c>
      <c r="CI30" s="17">
        <f>IF(ISNA(VLOOKUP(A30,'Données projet'!$A$113:$I$133,6,0)),0%,VLOOKUP(A30,'Données projet'!$A$113:$I$133,6,0)*VLOOKUP('Données projet'!$B$12,Paramètres!$A$1:$I$88,7,0))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projet'!$B$12,Paramètres!$A$1:$I$88,3,0)*0.475*44/12</f>
        <v>#N/A</v>
      </c>
      <c r="CL30" s="23" t="e">
        <f>EXP(-LN(2)/25)*CL29+(1-EXP(-LN(2)/25))/(LN(2)/25)*Calculateur!CG30*Calculateur!CI30*VLOOKUP('Données projet'!$B$12,Paramètres!$A$1:$I$88,3,0)*0.475*44/12</f>
        <v>#N/A</v>
      </c>
      <c r="CM30" s="23" t="e">
        <f>EXP(-LN(2)/2)*CM29+(1-EXP(-LN(2)/2))/(LN(2)/2)*CG30*CJ30*VLOOKUP('Données projet'!$B$12,Paramètres!$A$1:$I$88,3,0)*0.475*44/12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projet'!$B$13,Paramètres!$A$1:$I$88,3,0)*VLOOKUP('Données projet'!$B$13,Paramètres!$A$1:$I$88,5,0)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projet'!$B$13,Paramètres!$A$1:$I$88,7,0))</f>
        <v>0</v>
      </c>
      <c r="DD30" s="17">
        <f>IF(ISNA(VLOOKUP(A30,'Données projet'!$A$139:$I$159,6,0)),0%,VLOOKUP(A30,'Données projet'!$A$139:$I$159,6,0)*VLOOKUP('Données projet'!$B$13,Paramètres!$A$1:$I$88,7,0))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projet'!$B$13,Paramètres!$A$1:$I$88,3,0)*0.475*44/12</f>
        <v>#N/A</v>
      </c>
      <c r="DG30" s="23" t="e">
        <f>EXP(-LN(2)/25)*DG29+(1-EXP(-LN(2)/25))/(LN(2)/25)*Calculateur!DB30*Calculateur!DD30*VLOOKUP('Données projet'!$B$13,Paramètres!$A$1:$I$88,3,0)*0.475*44/12</f>
        <v>#N/A</v>
      </c>
      <c r="DH30" s="23" t="e">
        <f>EXP(-LN(2)/2)*DH29+(1-EXP(-LN(2)/2))/(LN(2)/2)*DB30*DE30*VLOOKUP('Données projet'!$B$13,Paramètres!$A$1:$I$88,3,0)*0.475*44/12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projet'!$B$14,Paramètres!$A$1:$I$88,3,0)*VLOOKUP('Données projet'!$B$14,Paramètres!$A$1:$I$88,5,0)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projet'!$B$14,Paramètres!$A$1:$I$88,7,0))</f>
        <v>0</v>
      </c>
      <c r="DY30" s="17">
        <f>IF(ISNA(VLOOKUP(A30,'Données projet'!$A$165:$I$185,6,0)),0%,VLOOKUP(A30,'Données projet'!$A$165:$I$185,6,0)*VLOOKUP('Données projet'!$B$14,Paramètres!$A$1:$I$88,7,0))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projet'!$B$14,Paramètres!$A$1:$I$88,3,0)*0.475*44/12</f>
        <v>#N/A</v>
      </c>
      <c r="EB30" s="23" t="e">
        <f>EXP(-LN(2)/25)*EB29+(1-EXP(-LN(2)/25))/(LN(2)/25)*Calculateur!DW30*Calculateur!DY30*VLOOKUP('Données projet'!$B$14,Paramètres!$A$1:$I$88,3,0)*0.475*44/12</f>
        <v>#N/A</v>
      </c>
      <c r="EC30" s="23" t="e">
        <f>EXP(-LN(2)/2)*EC29+(1-EXP(-LN(2)/2))/(LN(2)/2)*DW30*DZ30*VLOOKUP('Données projet'!$B$14,Paramètres!$A$1:$I$88,3,0)*0.475*44/12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projet'!$B$15,Paramètres!$A$1:$I$88,3,0)*VLOOKUP('Données projet'!$B$15,Paramètres!$A$1:$I$88,5,0)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projet'!$B$15,Paramètres!$A$1:$I$88,7,0))</f>
        <v>0</v>
      </c>
      <c r="ET30" s="17">
        <f>IF(ISNA(VLOOKUP(A30,'Données projet'!$A$191:$I$211,6,0)),0%,VLOOKUP(A30,'Données projet'!$A$191:$I$211,6,0)*VLOOKUP('Données projet'!$B$15,Paramètres!$A$1:$I$88,7,0))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projet'!$B$15,Paramètres!$A$1:$I$88,3,0)*0.475*44/12</f>
        <v>#N/A</v>
      </c>
      <c r="EW30" s="23" t="e">
        <f>EXP(-LN(2)/25)*EW29+(1-EXP(-LN(2)/25))/(LN(2)/25)*Calculateur!ER30*Calculateur!ET30*VLOOKUP('Données projet'!$B$15,Paramètres!$A$1:$I$88,3,0)*0.475*44/12</f>
        <v>#N/A</v>
      </c>
      <c r="EX30" s="23" t="e">
        <f>EXP(-LN(2)/2)*EX29+(1-EXP(-LN(2)/2))/(LN(2)/2)*ER30*EU30*VLOOKUP('Données projet'!$B$15,Paramètres!$A$1:$I$88,3,0)*0.475*44/12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projet'!$B$16,Paramètres!$A$1:$I$88,3,0)*VLOOKUP('Données projet'!$B$16,Paramètres!$A$1:$I$88,5,0)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projet'!$B$16,Paramètres!$A$1:$I$88,7,0))</f>
        <v>0</v>
      </c>
      <c r="FO30" s="17">
        <f>IF(ISNA(VLOOKUP(A30,'Données projet'!$A$217:$I$237,6,0)),0%,VLOOKUP(A30,'Données projet'!$A$217:$I$237,6,0)*VLOOKUP('Données projet'!$B$16,Paramètres!$A$1:$I$88,7,0))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projet'!$B$16,Paramètres!$A$1:$I$88,3,0)*0.475*44/12</f>
        <v>#N/A</v>
      </c>
      <c r="FR30" s="23" t="e">
        <f>EXP(-LN(2)/25)*FR29+(1-EXP(-LN(2)/25))/(LN(2)/25)*Calculateur!FM30*Calculateur!FO30*VLOOKUP('Données projet'!$B$16,Paramètres!$A$1:$I$88,3,0)*0.475*44/12</f>
        <v>#N/A</v>
      </c>
      <c r="FS30" s="23" t="e">
        <f>EXP(-LN(2)/2)*FS29+(1-EXP(-LN(2)/2))/(LN(2)/2)*FM30*FP30*VLOOKUP('Données projet'!$B$16,Paramètres!$A$1:$I$88,3,0)*0.475*44/12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projet'!$B$17,Paramètres!$A$1:$I$88,3,0)*VLOOKUP('Données projet'!$B$17,Paramètres!$A$1:$I$88,5,0)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projet'!$B$17,Paramètres!$A$1:$I$88,7,0))</f>
        <v>0</v>
      </c>
      <c r="GJ30" s="17">
        <f>IF(ISNA(VLOOKUP(A30,'Données projet'!$A$243:$I$263,6,0)),0%,VLOOKUP(A30,'Données projet'!$A$243:$I$263,6,0)*VLOOKUP('Données projet'!$B$17,Paramètres!$A$1:$I$88,7,0))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projet'!$B$17,Paramètres!$A$1:$I$88,3,0)*0.475*44/12</f>
        <v>#N/A</v>
      </c>
      <c r="GM30" s="23" t="e">
        <f>EXP(-LN(2)/25)*GM29+(1-EXP(-LN(2)/25))/(LN(2)/25)*Calculateur!GH30*Calculateur!GJ30*VLOOKUP('Données projet'!$B$17,Paramètres!$A$1:$I$88,3,0)*0.475*44/12</f>
        <v>#N/A</v>
      </c>
      <c r="GN30" s="23" t="e">
        <f>EXP(-LN(2)/2)*GN29+(1-EXP(-LN(2)/2))/(LN(2)/2)*GH30*GK30*VLOOKUP('Données projet'!$B$17,Paramètres!$A$1:$I$88,3,0)*0.475*44/12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projet'!$B$18,Paramètres!$A$1:$I$88,3,0)*VLOOKUP('Données projet'!$B$18,Paramètres!$A$1:$I$88,5,0)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projet'!$B$18,Paramètres!$A$1:$I$88,7,0))</f>
        <v>0</v>
      </c>
      <c r="HE30" s="17">
        <f>IF(ISNA(VLOOKUP(A30,'Données projet'!$A$269:$I$289,6,0)),0%,VLOOKUP(A30,'Données projet'!$A$269:$I$289,6,0)*VLOOKUP('Données projet'!$B$18,Paramètres!$A$1:$I$88,7,0))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projet'!$B$18,Paramètres!$A$1:$I$88,3,0)*0.475*44/12</f>
        <v>#N/A</v>
      </c>
      <c r="HH30" s="23" t="e">
        <f>EXP(-LN(2)/25)*HH29+(1-EXP(-LN(2)/25))/(LN(2)/25)*Calculateur!HC30*Calculateur!HE30*VLOOKUP('Données projet'!$B$18,Paramètres!$A$1:$I$88,3,0)*0.475*44/12</f>
        <v>#N/A</v>
      </c>
      <c r="HI30" s="23" t="e">
        <f>EXP(-LN(2)/2)*HI29+(1-EXP(-LN(2)/2))/(LN(2)/2)*HC30*HF30*VLOOKUP('Données projet'!$B$18,Paramètres!$A$1:$I$88,3,0)*0.475*44/12</f>
        <v>#N/A</v>
      </c>
      <c r="HJ30" s="24" t="e">
        <f t="shared" si="30"/>
        <v>#N/A</v>
      </c>
    </row>
    <row r="31" spans="1:218" s="5" customFormat="1" x14ac:dyDescent="0.3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19.714285714285715</v>
      </c>
      <c r="N31" s="14">
        <f>IF('Données projet'!$A$36&gt;35,N30+M31-V30,IF(A31&lt;'Données projet'!$A$36,$K$205^A31,IF(A31='Données projet'!$A$36,'Données projet'!$B$36,N30+M31-V30)))</f>
        <v>253.14285714285717</v>
      </c>
      <c r="O31" s="14">
        <f>N31*VLOOKUP('Données projet'!$B$9,Paramètres!$A$1:$I$88,3,0)*VLOOKUP('Données projet'!$B$9,Paramètres!$A$1:$I$88,5,0)</f>
        <v>141.50685714285717</v>
      </c>
      <c r="P31" s="14">
        <f t="shared" si="33"/>
        <v>36.641989926907435</v>
      </c>
      <c r="Q31" s="22">
        <f t="shared" si="2"/>
        <v>310.27590864650665</v>
      </c>
      <c r="R31" s="62">
        <f t="shared" si="0"/>
        <v>545.00737806849077</v>
      </c>
      <c r="S31" s="62">
        <f ca="1">AVERAGE(OFFSET($R$3,0,0,'Données projet'!$E$9+1,1))-AVERAGE(OFFSET($H$3,0,0,'Données projet'!$E$9+1,1))</f>
        <v>367.03450586441784</v>
      </c>
      <c r="T31" s="62">
        <f t="shared" si="34"/>
        <v>413.14502442862897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projet'!$B$9,Paramètres!$A$1:$I$88,7,0))</f>
        <v>0</v>
      </c>
      <c r="X31" s="17">
        <f>IF(ISNA(VLOOKUP(A31,'Données projet'!$A$35:$I$55,6,0)),0%,VLOOKUP(A31,'Données projet'!$A$35:$I$55,6,0)*VLOOKUP('Données projet'!$B$9,Paramètres!$A$1:$I$88,7,0))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projet'!$B$9,Paramètres!$A$1:$I$88,3,0)*0.475*44/12</f>
        <v>2.267526098773573</v>
      </c>
      <c r="AA31" s="23">
        <f>EXP(-LN(2)/25)*AA30+(1-EXP(-LN(2)/25))/(LN(2)/25)*Calculateur!V31*Calculateur!X31*VLOOKUP('Données projet'!$B$9,Paramètres!$A$1:$I$88,3,0)*0.475*44/12</f>
        <v>17.644440632621304</v>
      </c>
      <c r="AB31" s="23">
        <f>EXP(-LN(2)/2)*AB30+(1-EXP(-LN(2)/2))/(LN(2)/2)*V31*Y31*VLOOKUP('Données projet'!$B$9,Paramètres!$A$1:$I$88,3,0)*0.475*44/12</f>
        <v>0</v>
      </c>
      <c r="AC31" s="24">
        <f t="shared" si="3"/>
        <v>19.911966731394877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projet'!$B$10,Paramètres!$A$1:$I$88,3,0)*VLOOKUP('Données projet'!$B$10,Paramètres!$A$1:$I$88,5,0)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projet'!$B$10,Paramètres!$A$1:$I$88,7,0))</f>
        <v>0</v>
      </c>
      <c r="AS31" s="17">
        <f>IF(ISNA(VLOOKUP(A31,'Données projet'!$A$61:$I$81,6,0)),0%,VLOOKUP(A31,'Données projet'!$A$61:$I$81,6,0)*VLOOKUP('Données projet'!$B$10,Paramètres!$A$1:$I$88,7,0))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projet'!$B$10,Paramètres!$A$1:$I$88,3,0)*0.475*44/12</f>
        <v>#N/A</v>
      </c>
      <c r="AV31" s="23" t="e">
        <f>EXP(-LN(2)/25)*AV30+(1-EXP(-LN(2)/25))/(LN(2)/25)*Calculateur!AQ31*Calculateur!AS31*VLOOKUP('Données projet'!$B$10,Paramètres!$A$1:$I$88,3,0)*0.475*44/12</f>
        <v>#N/A</v>
      </c>
      <c r="AW31" s="23" t="e">
        <f>EXP(-LN(2)/2)*AW30+(1-EXP(-LN(2)/2))/(LN(2)/2)*AQ31*AT31*VLOOKUP('Données projet'!$B$10,Paramètres!$A$1:$I$88,3,0)*0.475*44/12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projet'!$B$11,Paramètres!$A$1:$I$88,3,0)*VLOOKUP('Données projet'!$B$11,Paramètres!$A$1:$I$88,5,0)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projet'!$B$11,Paramètres!$A$1:$I$88,7,0))</f>
        <v>0</v>
      </c>
      <c r="BN31" s="17">
        <f>IF(ISNA(VLOOKUP(A31,'Données projet'!$A$87:$I$107,6,0)),0%,VLOOKUP(A31,'Données projet'!$A$87:$I$107,6,0)*VLOOKUP('Données projet'!$B$11,Paramètres!$A$1:$I$88,7,0))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projet'!$B$11,Paramètres!$A$1:$I$88,3,0)*0.475*44/12</f>
        <v>#N/A</v>
      </c>
      <c r="BQ31" s="23" t="e">
        <f>EXP(-LN(2)/25)*BQ30+(1-EXP(-LN(2)/25))/(LN(2)/25)*Calculateur!BL31*Calculateur!BN31*VLOOKUP('Données projet'!$B$11,Paramètres!$A$1:$I$88,3,0)*0.475*44/12</f>
        <v>#N/A</v>
      </c>
      <c r="BR31" s="23" t="e">
        <f>EXP(-LN(2)/2)*BR30+(1-EXP(-LN(2)/2))/(LN(2)/2)*BL31*BO31*VLOOKUP('Données projet'!$B$11,Paramètres!$A$1:$I$88,3,0)*0.475*44/12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projet'!$B$12,Paramètres!$A$1:$I$88,3,0)*VLOOKUP('Données projet'!$B$12,Paramètres!$A$1:$I$88,5,0)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projet'!$B$12,Paramètres!$A$1:$I$88,7,0))</f>
        <v>0</v>
      </c>
      <c r="CI31" s="17">
        <f>IF(ISNA(VLOOKUP(A31,'Données projet'!$A$113:$I$133,6,0)),0%,VLOOKUP(A31,'Données projet'!$A$113:$I$133,6,0)*VLOOKUP('Données projet'!$B$12,Paramètres!$A$1:$I$88,7,0))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projet'!$B$12,Paramètres!$A$1:$I$88,3,0)*0.475*44/12</f>
        <v>#N/A</v>
      </c>
      <c r="CL31" s="23" t="e">
        <f>EXP(-LN(2)/25)*CL30+(1-EXP(-LN(2)/25))/(LN(2)/25)*Calculateur!CG31*Calculateur!CI31*VLOOKUP('Données projet'!$B$12,Paramètres!$A$1:$I$88,3,0)*0.475*44/12</f>
        <v>#N/A</v>
      </c>
      <c r="CM31" s="23" t="e">
        <f>EXP(-LN(2)/2)*CM30+(1-EXP(-LN(2)/2))/(LN(2)/2)*CG31*CJ31*VLOOKUP('Données projet'!$B$12,Paramètres!$A$1:$I$88,3,0)*0.475*44/12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projet'!$B$13,Paramètres!$A$1:$I$88,3,0)*VLOOKUP('Données projet'!$B$13,Paramètres!$A$1:$I$88,5,0)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projet'!$B$13,Paramètres!$A$1:$I$88,7,0))</f>
        <v>0</v>
      </c>
      <c r="DD31" s="17">
        <f>IF(ISNA(VLOOKUP(A31,'Données projet'!$A$139:$I$159,6,0)),0%,VLOOKUP(A31,'Données projet'!$A$139:$I$159,6,0)*VLOOKUP('Données projet'!$B$13,Paramètres!$A$1:$I$88,7,0))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projet'!$B$13,Paramètres!$A$1:$I$88,3,0)*0.475*44/12</f>
        <v>#N/A</v>
      </c>
      <c r="DG31" s="23" t="e">
        <f>EXP(-LN(2)/25)*DG30+(1-EXP(-LN(2)/25))/(LN(2)/25)*Calculateur!DB31*Calculateur!DD31*VLOOKUP('Données projet'!$B$13,Paramètres!$A$1:$I$88,3,0)*0.475*44/12</f>
        <v>#N/A</v>
      </c>
      <c r="DH31" s="23" t="e">
        <f>EXP(-LN(2)/2)*DH30+(1-EXP(-LN(2)/2))/(LN(2)/2)*DB31*DE31*VLOOKUP('Données projet'!$B$13,Paramètres!$A$1:$I$88,3,0)*0.475*44/12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projet'!$B$14,Paramètres!$A$1:$I$88,3,0)*VLOOKUP('Données projet'!$B$14,Paramètres!$A$1:$I$88,5,0)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projet'!$B$14,Paramètres!$A$1:$I$88,7,0))</f>
        <v>0</v>
      </c>
      <c r="DY31" s="17">
        <f>IF(ISNA(VLOOKUP(A31,'Données projet'!$A$165:$I$185,6,0)),0%,VLOOKUP(A31,'Données projet'!$A$165:$I$185,6,0)*VLOOKUP('Données projet'!$B$14,Paramètres!$A$1:$I$88,7,0))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projet'!$B$14,Paramètres!$A$1:$I$88,3,0)*0.475*44/12</f>
        <v>#N/A</v>
      </c>
      <c r="EB31" s="23" t="e">
        <f>EXP(-LN(2)/25)*EB30+(1-EXP(-LN(2)/25))/(LN(2)/25)*Calculateur!DW31*Calculateur!DY31*VLOOKUP('Données projet'!$B$14,Paramètres!$A$1:$I$88,3,0)*0.475*44/12</f>
        <v>#N/A</v>
      </c>
      <c r="EC31" s="23" t="e">
        <f>EXP(-LN(2)/2)*EC30+(1-EXP(-LN(2)/2))/(LN(2)/2)*DW31*DZ31*VLOOKUP('Données projet'!$B$14,Paramètres!$A$1:$I$88,3,0)*0.475*44/12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projet'!$B$15,Paramètres!$A$1:$I$88,3,0)*VLOOKUP('Données projet'!$B$15,Paramètres!$A$1:$I$88,5,0)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projet'!$B$15,Paramètres!$A$1:$I$88,7,0))</f>
        <v>0</v>
      </c>
      <c r="ET31" s="17">
        <f>IF(ISNA(VLOOKUP(A31,'Données projet'!$A$191:$I$211,6,0)),0%,VLOOKUP(A31,'Données projet'!$A$191:$I$211,6,0)*VLOOKUP('Données projet'!$B$15,Paramètres!$A$1:$I$88,7,0))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projet'!$B$15,Paramètres!$A$1:$I$88,3,0)*0.475*44/12</f>
        <v>#N/A</v>
      </c>
      <c r="EW31" s="23" t="e">
        <f>EXP(-LN(2)/25)*EW30+(1-EXP(-LN(2)/25))/(LN(2)/25)*Calculateur!ER31*Calculateur!ET31*VLOOKUP('Données projet'!$B$15,Paramètres!$A$1:$I$88,3,0)*0.475*44/12</f>
        <v>#N/A</v>
      </c>
      <c r="EX31" s="23" t="e">
        <f>EXP(-LN(2)/2)*EX30+(1-EXP(-LN(2)/2))/(LN(2)/2)*ER31*EU31*VLOOKUP('Données projet'!$B$15,Paramètres!$A$1:$I$88,3,0)*0.475*44/12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projet'!$B$16,Paramètres!$A$1:$I$88,3,0)*VLOOKUP('Données projet'!$B$16,Paramètres!$A$1:$I$88,5,0)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projet'!$B$16,Paramètres!$A$1:$I$88,7,0))</f>
        <v>0</v>
      </c>
      <c r="FO31" s="17">
        <f>IF(ISNA(VLOOKUP(A31,'Données projet'!$A$217:$I$237,6,0)),0%,VLOOKUP(A31,'Données projet'!$A$217:$I$237,6,0)*VLOOKUP('Données projet'!$B$16,Paramètres!$A$1:$I$88,7,0))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projet'!$B$16,Paramètres!$A$1:$I$88,3,0)*0.475*44/12</f>
        <v>#N/A</v>
      </c>
      <c r="FR31" s="23" t="e">
        <f>EXP(-LN(2)/25)*FR30+(1-EXP(-LN(2)/25))/(LN(2)/25)*Calculateur!FM31*Calculateur!FO31*VLOOKUP('Données projet'!$B$16,Paramètres!$A$1:$I$88,3,0)*0.475*44/12</f>
        <v>#N/A</v>
      </c>
      <c r="FS31" s="23" t="e">
        <f>EXP(-LN(2)/2)*FS30+(1-EXP(-LN(2)/2))/(LN(2)/2)*FM31*FP31*VLOOKUP('Données projet'!$B$16,Paramètres!$A$1:$I$88,3,0)*0.475*44/12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projet'!$B$17,Paramètres!$A$1:$I$88,3,0)*VLOOKUP('Données projet'!$B$17,Paramètres!$A$1:$I$88,5,0)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projet'!$B$17,Paramètres!$A$1:$I$88,7,0))</f>
        <v>0</v>
      </c>
      <c r="GJ31" s="17">
        <f>IF(ISNA(VLOOKUP(A31,'Données projet'!$A$243:$I$263,6,0)),0%,VLOOKUP(A31,'Données projet'!$A$243:$I$263,6,0)*VLOOKUP('Données projet'!$B$17,Paramètres!$A$1:$I$88,7,0))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projet'!$B$17,Paramètres!$A$1:$I$88,3,0)*0.475*44/12</f>
        <v>#N/A</v>
      </c>
      <c r="GM31" s="23" t="e">
        <f>EXP(-LN(2)/25)*GM30+(1-EXP(-LN(2)/25))/(LN(2)/25)*Calculateur!GH31*Calculateur!GJ31*VLOOKUP('Données projet'!$B$17,Paramètres!$A$1:$I$88,3,0)*0.475*44/12</f>
        <v>#N/A</v>
      </c>
      <c r="GN31" s="23" t="e">
        <f>EXP(-LN(2)/2)*GN30+(1-EXP(-LN(2)/2))/(LN(2)/2)*GH31*GK31*VLOOKUP('Données projet'!$B$17,Paramètres!$A$1:$I$88,3,0)*0.475*44/12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projet'!$B$18,Paramètres!$A$1:$I$88,3,0)*VLOOKUP('Données projet'!$B$18,Paramètres!$A$1:$I$88,5,0)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projet'!$B$18,Paramètres!$A$1:$I$88,7,0))</f>
        <v>0</v>
      </c>
      <c r="HE31" s="17">
        <f>IF(ISNA(VLOOKUP(A31,'Données projet'!$A$269:$I$289,6,0)),0%,VLOOKUP(A31,'Données projet'!$A$269:$I$289,6,0)*VLOOKUP('Données projet'!$B$18,Paramètres!$A$1:$I$88,7,0))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projet'!$B$18,Paramètres!$A$1:$I$88,3,0)*0.475*44/12</f>
        <v>#N/A</v>
      </c>
      <c r="HH31" s="23" t="e">
        <f>EXP(-LN(2)/25)*HH30+(1-EXP(-LN(2)/25))/(LN(2)/25)*Calculateur!HC31*Calculateur!HE31*VLOOKUP('Données projet'!$B$18,Paramètres!$A$1:$I$88,3,0)*0.475*44/12</f>
        <v>#N/A</v>
      </c>
      <c r="HI31" s="23" t="e">
        <f>EXP(-LN(2)/2)*HI30+(1-EXP(-LN(2)/2))/(LN(2)/2)*HC31*HF31*VLOOKUP('Données projet'!$B$18,Paramètres!$A$1:$I$88,3,0)*0.475*44/12</f>
        <v>#N/A</v>
      </c>
      <c r="HJ31" s="24" t="e">
        <f t="shared" si="30"/>
        <v>#N/A</v>
      </c>
    </row>
    <row r="32" spans="1:218" s="5" customFormat="1" x14ac:dyDescent="0.3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19.714285714285715</v>
      </c>
      <c r="N32" s="14">
        <f>IF('Données projet'!$A$36&gt;35,N31+M32-V31,IF(A32&lt;'Données projet'!$A$36,$K$205^A32,IF(A32='Données projet'!$A$36,'Données projet'!$B$36,N31+M32-V31)))</f>
        <v>272.85714285714289</v>
      </c>
      <c r="O32" s="14">
        <f>N32*VLOOKUP('Données projet'!$B$9,Paramètres!$A$1:$I$88,3,0)*VLOOKUP('Données projet'!$B$9,Paramètres!$A$1:$I$88,5,0)</f>
        <v>152.52714285714288</v>
      </c>
      <c r="P32" s="14">
        <f t="shared" si="33"/>
        <v>39.152328281389373</v>
      </c>
      <c r="Q32" s="22">
        <f t="shared" si="2"/>
        <v>333.84174556627698</v>
      </c>
      <c r="R32" s="62">
        <f t="shared" si="0"/>
        <v>570.76964288905288</v>
      </c>
      <c r="S32" s="62">
        <f ca="1">AVERAGE(OFFSET($R$3,0,0,'Données projet'!$E$9+1,1))-AVERAGE(OFFSET($H$3,0,0,'Données projet'!$E$9+1,1))</f>
        <v>367.03450586441784</v>
      </c>
      <c r="T32" s="62">
        <f t="shared" si="34"/>
        <v>413.14502442862897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projet'!$B$9,Paramètres!$A$1:$I$88,7,0))</f>
        <v>0</v>
      </c>
      <c r="X32" s="17">
        <f>IF(ISNA(VLOOKUP(A32,'Données projet'!$A$35:$I$55,6,0)),0%,VLOOKUP(A32,'Données projet'!$A$35:$I$55,6,0)*VLOOKUP('Données projet'!$B$9,Paramètres!$A$1:$I$88,7,0))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projet'!$B$9,Paramètres!$A$1:$I$88,3,0)*0.475*44/12</f>
        <v>2.2230612950309783</v>
      </c>
      <c r="AA32" s="23">
        <f>EXP(-LN(2)/25)*AA31+(1-EXP(-LN(2)/25))/(LN(2)/25)*Calculateur!V32*Calculateur!X32*VLOOKUP('Données projet'!$B$9,Paramètres!$A$1:$I$88,3,0)*0.475*44/12</f>
        <v>17.161952475641467</v>
      </c>
      <c r="AB32" s="23">
        <f>EXP(-LN(2)/2)*AB31+(1-EXP(-LN(2)/2))/(LN(2)/2)*V32*Y32*VLOOKUP('Données projet'!$B$9,Paramètres!$A$1:$I$88,3,0)*0.475*44/12</f>
        <v>0</v>
      </c>
      <c r="AC32" s="24">
        <f t="shared" si="3"/>
        <v>19.385013770672444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projet'!$B$10,Paramètres!$A$1:$I$88,3,0)*VLOOKUP('Données projet'!$B$10,Paramètres!$A$1:$I$88,5,0)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projet'!$B$10,Paramètres!$A$1:$I$88,7,0))</f>
        <v>0</v>
      </c>
      <c r="AS32" s="17">
        <f>IF(ISNA(VLOOKUP(A32,'Données projet'!$A$61:$I$81,6,0)),0%,VLOOKUP(A32,'Données projet'!$A$61:$I$81,6,0)*VLOOKUP('Données projet'!$B$10,Paramètres!$A$1:$I$88,7,0))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projet'!$B$10,Paramètres!$A$1:$I$88,3,0)*0.475*44/12</f>
        <v>#N/A</v>
      </c>
      <c r="AV32" s="23" t="e">
        <f>EXP(-LN(2)/25)*AV31+(1-EXP(-LN(2)/25))/(LN(2)/25)*Calculateur!AQ32*Calculateur!AS32*VLOOKUP('Données projet'!$B$10,Paramètres!$A$1:$I$88,3,0)*0.475*44/12</f>
        <v>#N/A</v>
      </c>
      <c r="AW32" s="23" t="e">
        <f>EXP(-LN(2)/2)*AW31+(1-EXP(-LN(2)/2))/(LN(2)/2)*AQ32*AT32*VLOOKUP('Données projet'!$B$10,Paramètres!$A$1:$I$88,3,0)*0.475*44/12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projet'!$B$11,Paramètres!$A$1:$I$88,3,0)*VLOOKUP('Données projet'!$B$11,Paramètres!$A$1:$I$88,5,0)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projet'!$B$11,Paramètres!$A$1:$I$88,7,0))</f>
        <v>0</v>
      </c>
      <c r="BN32" s="17">
        <f>IF(ISNA(VLOOKUP(A32,'Données projet'!$A$87:$I$107,6,0)),0%,VLOOKUP(A32,'Données projet'!$A$87:$I$107,6,0)*VLOOKUP('Données projet'!$B$11,Paramètres!$A$1:$I$88,7,0))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projet'!$B$11,Paramètres!$A$1:$I$88,3,0)*0.475*44/12</f>
        <v>#N/A</v>
      </c>
      <c r="BQ32" s="23" t="e">
        <f>EXP(-LN(2)/25)*BQ31+(1-EXP(-LN(2)/25))/(LN(2)/25)*Calculateur!BL32*Calculateur!BN32*VLOOKUP('Données projet'!$B$11,Paramètres!$A$1:$I$88,3,0)*0.475*44/12</f>
        <v>#N/A</v>
      </c>
      <c r="BR32" s="23" t="e">
        <f>EXP(-LN(2)/2)*BR31+(1-EXP(-LN(2)/2))/(LN(2)/2)*BL32*BO32*VLOOKUP('Données projet'!$B$11,Paramètres!$A$1:$I$88,3,0)*0.475*44/12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projet'!$B$12,Paramètres!$A$1:$I$88,3,0)*VLOOKUP('Données projet'!$B$12,Paramètres!$A$1:$I$88,5,0)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projet'!$B$12,Paramètres!$A$1:$I$88,7,0))</f>
        <v>0</v>
      </c>
      <c r="CI32" s="17">
        <f>IF(ISNA(VLOOKUP(A32,'Données projet'!$A$113:$I$133,6,0)),0%,VLOOKUP(A32,'Données projet'!$A$113:$I$133,6,0)*VLOOKUP('Données projet'!$B$12,Paramètres!$A$1:$I$88,7,0))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projet'!$B$12,Paramètres!$A$1:$I$88,3,0)*0.475*44/12</f>
        <v>#N/A</v>
      </c>
      <c r="CL32" s="23" t="e">
        <f>EXP(-LN(2)/25)*CL31+(1-EXP(-LN(2)/25))/(LN(2)/25)*Calculateur!CG32*Calculateur!CI32*VLOOKUP('Données projet'!$B$12,Paramètres!$A$1:$I$88,3,0)*0.475*44/12</f>
        <v>#N/A</v>
      </c>
      <c r="CM32" s="23" t="e">
        <f>EXP(-LN(2)/2)*CM31+(1-EXP(-LN(2)/2))/(LN(2)/2)*CG32*CJ32*VLOOKUP('Données projet'!$B$12,Paramètres!$A$1:$I$88,3,0)*0.475*44/12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projet'!$B$13,Paramètres!$A$1:$I$88,3,0)*VLOOKUP('Données projet'!$B$13,Paramètres!$A$1:$I$88,5,0)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projet'!$B$13,Paramètres!$A$1:$I$88,7,0))</f>
        <v>0</v>
      </c>
      <c r="DD32" s="17">
        <f>IF(ISNA(VLOOKUP(A32,'Données projet'!$A$139:$I$159,6,0)),0%,VLOOKUP(A32,'Données projet'!$A$139:$I$159,6,0)*VLOOKUP('Données projet'!$B$13,Paramètres!$A$1:$I$88,7,0))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projet'!$B$13,Paramètres!$A$1:$I$88,3,0)*0.475*44/12</f>
        <v>#N/A</v>
      </c>
      <c r="DG32" s="23" t="e">
        <f>EXP(-LN(2)/25)*DG31+(1-EXP(-LN(2)/25))/(LN(2)/25)*Calculateur!DB32*Calculateur!DD32*VLOOKUP('Données projet'!$B$13,Paramètres!$A$1:$I$88,3,0)*0.475*44/12</f>
        <v>#N/A</v>
      </c>
      <c r="DH32" s="23" t="e">
        <f>EXP(-LN(2)/2)*DH31+(1-EXP(-LN(2)/2))/(LN(2)/2)*DB32*DE32*VLOOKUP('Données projet'!$B$13,Paramètres!$A$1:$I$88,3,0)*0.475*44/12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projet'!$B$14,Paramètres!$A$1:$I$88,3,0)*VLOOKUP('Données projet'!$B$14,Paramètres!$A$1:$I$88,5,0)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projet'!$B$14,Paramètres!$A$1:$I$88,7,0))</f>
        <v>0</v>
      </c>
      <c r="DY32" s="17">
        <f>IF(ISNA(VLOOKUP(A32,'Données projet'!$A$165:$I$185,6,0)),0%,VLOOKUP(A32,'Données projet'!$A$165:$I$185,6,0)*VLOOKUP('Données projet'!$B$14,Paramètres!$A$1:$I$88,7,0))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projet'!$B$14,Paramètres!$A$1:$I$88,3,0)*0.475*44/12</f>
        <v>#N/A</v>
      </c>
      <c r="EB32" s="23" t="e">
        <f>EXP(-LN(2)/25)*EB31+(1-EXP(-LN(2)/25))/(LN(2)/25)*Calculateur!DW32*Calculateur!DY32*VLOOKUP('Données projet'!$B$14,Paramètres!$A$1:$I$88,3,0)*0.475*44/12</f>
        <v>#N/A</v>
      </c>
      <c r="EC32" s="23" t="e">
        <f>EXP(-LN(2)/2)*EC31+(1-EXP(-LN(2)/2))/(LN(2)/2)*DW32*DZ32*VLOOKUP('Données projet'!$B$14,Paramètres!$A$1:$I$88,3,0)*0.475*44/12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projet'!$B$15,Paramètres!$A$1:$I$88,3,0)*VLOOKUP('Données projet'!$B$15,Paramètres!$A$1:$I$88,5,0)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projet'!$B$15,Paramètres!$A$1:$I$88,7,0))</f>
        <v>0</v>
      </c>
      <c r="ET32" s="17">
        <f>IF(ISNA(VLOOKUP(A32,'Données projet'!$A$191:$I$211,6,0)),0%,VLOOKUP(A32,'Données projet'!$A$191:$I$211,6,0)*VLOOKUP('Données projet'!$B$15,Paramètres!$A$1:$I$88,7,0))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projet'!$B$15,Paramètres!$A$1:$I$88,3,0)*0.475*44/12</f>
        <v>#N/A</v>
      </c>
      <c r="EW32" s="23" t="e">
        <f>EXP(-LN(2)/25)*EW31+(1-EXP(-LN(2)/25))/(LN(2)/25)*Calculateur!ER32*Calculateur!ET32*VLOOKUP('Données projet'!$B$15,Paramètres!$A$1:$I$88,3,0)*0.475*44/12</f>
        <v>#N/A</v>
      </c>
      <c r="EX32" s="23" t="e">
        <f>EXP(-LN(2)/2)*EX31+(1-EXP(-LN(2)/2))/(LN(2)/2)*ER32*EU32*VLOOKUP('Données projet'!$B$15,Paramètres!$A$1:$I$88,3,0)*0.475*44/12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projet'!$B$16,Paramètres!$A$1:$I$88,3,0)*VLOOKUP('Données projet'!$B$16,Paramètres!$A$1:$I$88,5,0)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projet'!$B$16,Paramètres!$A$1:$I$88,7,0))</f>
        <v>0</v>
      </c>
      <c r="FO32" s="17">
        <f>IF(ISNA(VLOOKUP(A32,'Données projet'!$A$217:$I$237,6,0)),0%,VLOOKUP(A32,'Données projet'!$A$217:$I$237,6,0)*VLOOKUP('Données projet'!$B$16,Paramètres!$A$1:$I$88,7,0))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projet'!$B$16,Paramètres!$A$1:$I$88,3,0)*0.475*44/12</f>
        <v>#N/A</v>
      </c>
      <c r="FR32" s="23" t="e">
        <f>EXP(-LN(2)/25)*FR31+(1-EXP(-LN(2)/25))/(LN(2)/25)*Calculateur!FM32*Calculateur!FO32*VLOOKUP('Données projet'!$B$16,Paramètres!$A$1:$I$88,3,0)*0.475*44/12</f>
        <v>#N/A</v>
      </c>
      <c r="FS32" s="23" t="e">
        <f>EXP(-LN(2)/2)*FS31+(1-EXP(-LN(2)/2))/(LN(2)/2)*FM32*FP32*VLOOKUP('Données projet'!$B$16,Paramètres!$A$1:$I$88,3,0)*0.475*44/12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projet'!$B$17,Paramètres!$A$1:$I$88,3,0)*VLOOKUP('Données projet'!$B$17,Paramètres!$A$1:$I$88,5,0)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projet'!$B$17,Paramètres!$A$1:$I$88,7,0))</f>
        <v>0</v>
      </c>
      <c r="GJ32" s="17">
        <f>IF(ISNA(VLOOKUP(A32,'Données projet'!$A$243:$I$263,6,0)),0%,VLOOKUP(A32,'Données projet'!$A$243:$I$263,6,0)*VLOOKUP('Données projet'!$B$17,Paramètres!$A$1:$I$88,7,0))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projet'!$B$17,Paramètres!$A$1:$I$88,3,0)*0.475*44/12</f>
        <v>#N/A</v>
      </c>
      <c r="GM32" s="23" t="e">
        <f>EXP(-LN(2)/25)*GM31+(1-EXP(-LN(2)/25))/(LN(2)/25)*Calculateur!GH32*Calculateur!GJ32*VLOOKUP('Données projet'!$B$17,Paramètres!$A$1:$I$88,3,0)*0.475*44/12</f>
        <v>#N/A</v>
      </c>
      <c r="GN32" s="23" t="e">
        <f>EXP(-LN(2)/2)*GN31+(1-EXP(-LN(2)/2))/(LN(2)/2)*GH32*GK32*VLOOKUP('Données projet'!$B$17,Paramètres!$A$1:$I$88,3,0)*0.475*44/12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projet'!$B$18,Paramètres!$A$1:$I$88,3,0)*VLOOKUP('Données projet'!$B$18,Paramètres!$A$1:$I$88,5,0)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projet'!$B$18,Paramètres!$A$1:$I$88,7,0))</f>
        <v>0</v>
      </c>
      <c r="HE32" s="17">
        <f>IF(ISNA(VLOOKUP(A32,'Données projet'!$A$269:$I$289,6,0)),0%,VLOOKUP(A32,'Données projet'!$A$269:$I$289,6,0)*VLOOKUP('Données projet'!$B$18,Paramètres!$A$1:$I$88,7,0))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projet'!$B$18,Paramètres!$A$1:$I$88,3,0)*0.475*44/12</f>
        <v>#N/A</v>
      </c>
      <c r="HH32" s="23" t="e">
        <f>EXP(-LN(2)/25)*HH31+(1-EXP(-LN(2)/25))/(LN(2)/25)*Calculateur!HC32*Calculateur!HE32*VLOOKUP('Données projet'!$B$18,Paramètres!$A$1:$I$88,3,0)*0.475*44/12</f>
        <v>#N/A</v>
      </c>
      <c r="HI32" s="23" t="e">
        <f>EXP(-LN(2)/2)*HI31+(1-EXP(-LN(2)/2))/(LN(2)/2)*HC32*HF32*VLOOKUP('Données projet'!$B$18,Paramètres!$A$1:$I$88,3,0)*0.475*44/12</f>
        <v>#N/A</v>
      </c>
      <c r="HJ32" s="24" t="e">
        <f t="shared" si="30"/>
        <v>#N/A</v>
      </c>
    </row>
    <row r="33" spans="1:218" s="5" customFormat="1" x14ac:dyDescent="0.3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19.714285714285715</v>
      </c>
      <c r="N33" s="14">
        <f>IF('Données projet'!$A$36&gt;35,N32+M33-V32,IF(A33&lt;'Données projet'!$A$36,$K$205^A33,IF(A33='Données projet'!$A$36,'Données projet'!$B$36,N32+M33-V32)))</f>
        <v>292.57142857142861</v>
      </c>
      <c r="O33" s="14">
        <f>N33*VLOOKUP('Données projet'!$B$9,Paramètres!$A$1:$I$88,3,0)*VLOOKUP('Données projet'!$B$9,Paramètres!$A$1:$I$88,5,0)</f>
        <v>163.54742857142861</v>
      </c>
      <c r="P33" s="14">
        <f t="shared" si="33"/>
        <v>41.641623770535254</v>
      </c>
      <c r="Q33" s="22">
        <f t="shared" si="2"/>
        <v>357.37093282892039</v>
      </c>
      <c r="R33" s="62">
        <f t="shared" si="0"/>
        <v>596.47835776196234</v>
      </c>
      <c r="S33" s="62">
        <f ca="1">AVERAGE(OFFSET($R$3,0,0,'Données projet'!$E$9+1,1))-AVERAGE(OFFSET($H$3,0,0,'Données projet'!$E$9+1,1))</f>
        <v>367.03450586441784</v>
      </c>
      <c r="T33" s="62">
        <f t="shared" si="34"/>
        <v>413.14502442862897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projet'!$B$9,Paramètres!$A$1:$I$88,7,0))</f>
        <v>0</v>
      </c>
      <c r="X33" s="17">
        <f>IF(ISNA(VLOOKUP(A33,'Données projet'!$A$35:$I$55,6,0)),0%,VLOOKUP(A33,'Données projet'!$A$35:$I$55,6,0)*VLOOKUP('Données projet'!$B$9,Paramètres!$A$1:$I$88,7,0))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projet'!$B$9,Paramètres!$A$1:$I$88,3,0)*0.475*44/12</f>
        <v>2.1794684189689235</v>
      </c>
      <c r="AA33" s="23">
        <f>EXP(-LN(2)/25)*AA32+(1-EXP(-LN(2)/25))/(LN(2)/25)*Calculateur!V33*Calculateur!X33*VLOOKUP('Données projet'!$B$9,Paramètres!$A$1:$I$88,3,0)*0.475*44/12</f>
        <v>16.692657982687194</v>
      </c>
      <c r="AB33" s="23">
        <f>EXP(-LN(2)/2)*AB32+(1-EXP(-LN(2)/2))/(LN(2)/2)*V33*Y33*VLOOKUP('Données projet'!$B$9,Paramètres!$A$1:$I$88,3,0)*0.475*44/12</f>
        <v>0</v>
      </c>
      <c r="AC33" s="24">
        <f t="shared" si="3"/>
        <v>18.872126401656118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projet'!$B$10,Paramètres!$A$1:$I$88,3,0)*VLOOKUP('Données projet'!$B$10,Paramètres!$A$1:$I$88,5,0)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projet'!$B$10,Paramètres!$A$1:$I$88,7,0))</f>
        <v>0</v>
      </c>
      <c r="AS33" s="17">
        <f>IF(ISNA(VLOOKUP(A33,'Données projet'!$A$61:$I$81,6,0)),0%,VLOOKUP(A33,'Données projet'!$A$61:$I$81,6,0)*VLOOKUP('Données projet'!$B$10,Paramètres!$A$1:$I$88,7,0))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projet'!$B$10,Paramètres!$A$1:$I$88,3,0)*0.475*44/12</f>
        <v>#N/A</v>
      </c>
      <c r="AV33" s="23" t="e">
        <f>EXP(-LN(2)/25)*AV32+(1-EXP(-LN(2)/25))/(LN(2)/25)*Calculateur!AQ33*Calculateur!AS33*VLOOKUP('Données projet'!$B$10,Paramètres!$A$1:$I$88,3,0)*0.475*44/12</f>
        <v>#N/A</v>
      </c>
      <c r="AW33" s="23" t="e">
        <f>EXP(-LN(2)/2)*AW32+(1-EXP(-LN(2)/2))/(LN(2)/2)*AQ33*AT33*VLOOKUP('Données projet'!$B$10,Paramètres!$A$1:$I$88,3,0)*0.475*44/12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projet'!$B$11,Paramètres!$A$1:$I$88,3,0)*VLOOKUP('Données projet'!$B$11,Paramètres!$A$1:$I$88,5,0)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projet'!$B$11,Paramètres!$A$1:$I$88,7,0))</f>
        <v>0</v>
      </c>
      <c r="BN33" s="17">
        <f>IF(ISNA(VLOOKUP(A33,'Données projet'!$A$87:$I$107,6,0)),0%,VLOOKUP(A33,'Données projet'!$A$87:$I$107,6,0)*VLOOKUP('Données projet'!$B$11,Paramètres!$A$1:$I$88,7,0))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projet'!$B$11,Paramètres!$A$1:$I$88,3,0)*0.475*44/12</f>
        <v>#N/A</v>
      </c>
      <c r="BQ33" s="23" t="e">
        <f>EXP(-LN(2)/25)*BQ32+(1-EXP(-LN(2)/25))/(LN(2)/25)*Calculateur!BL33*Calculateur!BN33*VLOOKUP('Données projet'!$B$11,Paramètres!$A$1:$I$88,3,0)*0.475*44/12</f>
        <v>#N/A</v>
      </c>
      <c r="BR33" s="23" t="e">
        <f>EXP(-LN(2)/2)*BR32+(1-EXP(-LN(2)/2))/(LN(2)/2)*BL33*BO33*VLOOKUP('Données projet'!$B$11,Paramètres!$A$1:$I$88,3,0)*0.475*44/12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projet'!$B$12,Paramètres!$A$1:$I$88,3,0)*VLOOKUP('Données projet'!$B$12,Paramètres!$A$1:$I$88,5,0)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projet'!$B$12,Paramètres!$A$1:$I$88,7,0))</f>
        <v>0</v>
      </c>
      <c r="CI33" s="17">
        <f>IF(ISNA(VLOOKUP(A33,'Données projet'!$A$113:$I$133,6,0)),0%,VLOOKUP(A33,'Données projet'!$A$113:$I$133,6,0)*VLOOKUP('Données projet'!$B$12,Paramètres!$A$1:$I$88,7,0))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projet'!$B$12,Paramètres!$A$1:$I$88,3,0)*0.475*44/12</f>
        <v>#N/A</v>
      </c>
      <c r="CL33" s="23" t="e">
        <f>EXP(-LN(2)/25)*CL32+(1-EXP(-LN(2)/25))/(LN(2)/25)*Calculateur!CG33*Calculateur!CI33*VLOOKUP('Données projet'!$B$12,Paramètres!$A$1:$I$88,3,0)*0.475*44/12</f>
        <v>#N/A</v>
      </c>
      <c r="CM33" s="23" t="e">
        <f>EXP(-LN(2)/2)*CM32+(1-EXP(-LN(2)/2))/(LN(2)/2)*CG33*CJ33*VLOOKUP('Données projet'!$B$12,Paramètres!$A$1:$I$88,3,0)*0.475*44/12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projet'!$B$13,Paramètres!$A$1:$I$88,3,0)*VLOOKUP('Données projet'!$B$13,Paramètres!$A$1:$I$88,5,0)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projet'!$B$13,Paramètres!$A$1:$I$88,7,0))</f>
        <v>0</v>
      </c>
      <c r="DD33" s="17">
        <f>IF(ISNA(VLOOKUP(A33,'Données projet'!$A$139:$I$159,6,0)),0%,VLOOKUP(A33,'Données projet'!$A$139:$I$159,6,0)*VLOOKUP('Données projet'!$B$13,Paramètres!$A$1:$I$88,7,0))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projet'!$B$13,Paramètres!$A$1:$I$88,3,0)*0.475*44/12</f>
        <v>#N/A</v>
      </c>
      <c r="DG33" s="23" t="e">
        <f>EXP(-LN(2)/25)*DG32+(1-EXP(-LN(2)/25))/(LN(2)/25)*Calculateur!DB33*Calculateur!DD33*VLOOKUP('Données projet'!$B$13,Paramètres!$A$1:$I$88,3,0)*0.475*44/12</f>
        <v>#N/A</v>
      </c>
      <c r="DH33" s="23" t="e">
        <f>EXP(-LN(2)/2)*DH32+(1-EXP(-LN(2)/2))/(LN(2)/2)*DB33*DE33*VLOOKUP('Données projet'!$B$13,Paramètres!$A$1:$I$88,3,0)*0.475*44/12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projet'!$B$14,Paramètres!$A$1:$I$88,3,0)*VLOOKUP('Données projet'!$B$14,Paramètres!$A$1:$I$88,5,0)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projet'!$B$14,Paramètres!$A$1:$I$88,7,0))</f>
        <v>0</v>
      </c>
      <c r="DY33" s="17">
        <f>IF(ISNA(VLOOKUP(A33,'Données projet'!$A$165:$I$185,6,0)),0%,VLOOKUP(A33,'Données projet'!$A$165:$I$185,6,0)*VLOOKUP('Données projet'!$B$14,Paramètres!$A$1:$I$88,7,0))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projet'!$B$14,Paramètres!$A$1:$I$88,3,0)*0.475*44/12</f>
        <v>#N/A</v>
      </c>
      <c r="EB33" s="23" t="e">
        <f>EXP(-LN(2)/25)*EB32+(1-EXP(-LN(2)/25))/(LN(2)/25)*Calculateur!DW33*Calculateur!DY33*VLOOKUP('Données projet'!$B$14,Paramètres!$A$1:$I$88,3,0)*0.475*44/12</f>
        <v>#N/A</v>
      </c>
      <c r="EC33" s="23" t="e">
        <f>EXP(-LN(2)/2)*EC32+(1-EXP(-LN(2)/2))/(LN(2)/2)*DW33*DZ33*VLOOKUP('Données projet'!$B$14,Paramètres!$A$1:$I$88,3,0)*0.475*44/12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projet'!$B$15,Paramètres!$A$1:$I$88,3,0)*VLOOKUP('Données projet'!$B$15,Paramètres!$A$1:$I$88,5,0)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projet'!$B$15,Paramètres!$A$1:$I$88,7,0))</f>
        <v>0</v>
      </c>
      <c r="ET33" s="17">
        <f>IF(ISNA(VLOOKUP(A33,'Données projet'!$A$191:$I$211,6,0)),0%,VLOOKUP(A33,'Données projet'!$A$191:$I$211,6,0)*VLOOKUP('Données projet'!$B$15,Paramètres!$A$1:$I$88,7,0))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projet'!$B$15,Paramètres!$A$1:$I$88,3,0)*0.475*44/12</f>
        <v>#N/A</v>
      </c>
      <c r="EW33" s="23" t="e">
        <f>EXP(-LN(2)/25)*EW32+(1-EXP(-LN(2)/25))/(LN(2)/25)*Calculateur!ER33*Calculateur!ET33*VLOOKUP('Données projet'!$B$15,Paramètres!$A$1:$I$88,3,0)*0.475*44/12</f>
        <v>#N/A</v>
      </c>
      <c r="EX33" s="23" t="e">
        <f>EXP(-LN(2)/2)*EX32+(1-EXP(-LN(2)/2))/(LN(2)/2)*ER33*EU33*VLOOKUP('Données projet'!$B$15,Paramètres!$A$1:$I$88,3,0)*0.475*44/12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projet'!$B$16,Paramètres!$A$1:$I$88,3,0)*VLOOKUP('Données projet'!$B$16,Paramètres!$A$1:$I$88,5,0)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projet'!$B$16,Paramètres!$A$1:$I$88,7,0))</f>
        <v>0</v>
      </c>
      <c r="FO33" s="17">
        <f>IF(ISNA(VLOOKUP(A33,'Données projet'!$A$217:$I$237,6,0)),0%,VLOOKUP(A33,'Données projet'!$A$217:$I$237,6,0)*VLOOKUP('Données projet'!$B$16,Paramètres!$A$1:$I$88,7,0))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projet'!$B$16,Paramètres!$A$1:$I$88,3,0)*0.475*44/12</f>
        <v>#N/A</v>
      </c>
      <c r="FR33" s="23" t="e">
        <f>EXP(-LN(2)/25)*FR32+(1-EXP(-LN(2)/25))/(LN(2)/25)*Calculateur!FM33*Calculateur!FO33*VLOOKUP('Données projet'!$B$16,Paramètres!$A$1:$I$88,3,0)*0.475*44/12</f>
        <v>#N/A</v>
      </c>
      <c r="FS33" s="23" t="e">
        <f>EXP(-LN(2)/2)*FS32+(1-EXP(-LN(2)/2))/(LN(2)/2)*FM33*FP33*VLOOKUP('Données projet'!$B$16,Paramètres!$A$1:$I$88,3,0)*0.475*44/12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projet'!$B$17,Paramètres!$A$1:$I$88,3,0)*VLOOKUP('Données projet'!$B$17,Paramètres!$A$1:$I$88,5,0)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projet'!$B$17,Paramètres!$A$1:$I$88,7,0))</f>
        <v>0</v>
      </c>
      <c r="GJ33" s="17">
        <f>IF(ISNA(VLOOKUP(A33,'Données projet'!$A$243:$I$263,6,0)),0%,VLOOKUP(A33,'Données projet'!$A$243:$I$263,6,0)*VLOOKUP('Données projet'!$B$17,Paramètres!$A$1:$I$88,7,0))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projet'!$B$17,Paramètres!$A$1:$I$88,3,0)*0.475*44/12</f>
        <v>#N/A</v>
      </c>
      <c r="GM33" s="23" t="e">
        <f>EXP(-LN(2)/25)*GM32+(1-EXP(-LN(2)/25))/(LN(2)/25)*Calculateur!GH33*Calculateur!GJ33*VLOOKUP('Données projet'!$B$17,Paramètres!$A$1:$I$88,3,0)*0.475*44/12</f>
        <v>#N/A</v>
      </c>
      <c r="GN33" s="23" t="e">
        <f>EXP(-LN(2)/2)*GN32+(1-EXP(-LN(2)/2))/(LN(2)/2)*GH33*GK33*VLOOKUP('Données projet'!$B$17,Paramètres!$A$1:$I$88,3,0)*0.475*44/12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projet'!$B$18,Paramètres!$A$1:$I$88,3,0)*VLOOKUP('Données projet'!$B$18,Paramètres!$A$1:$I$88,5,0)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projet'!$B$18,Paramètres!$A$1:$I$88,7,0))</f>
        <v>0</v>
      </c>
      <c r="HE33" s="17">
        <f>IF(ISNA(VLOOKUP(A33,'Données projet'!$A$269:$I$289,6,0)),0%,VLOOKUP(A33,'Données projet'!$A$269:$I$289,6,0)*VLOOKUP('Données projet'!$B$18,Paramètres!$A$1:$I$88,7,0))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projet'!$B$18,Paramètres!$A$1:$I$88,3,0)*0.475*44/12</f>
        <v>#N/A</v>
      </c>
      <c r="HH33" s="23" t="e">
        <f>EXP(-LN(2)/25)*HH32+(1-EXP(-LN(2)/25))/(LN(2)/25)*Calculateur!HC33*Calculateur!HE33*VLOOKUP('Données projet'!$B$18,Paramètres!$A$1:$I$88,3,0)*0.475*44/12</f>
        <v>#N/A</v>
      </c>
      <c r="HI33" s="23" t="e">
        <f>EXP(-LN(2)/2)*HI32+(1-EXP(-LN(2)/2))/(LN(2)/2)*HC33*HF33*VLOOKUP('Données projet'!$B$18,Paramètres!$A$1:$I$88,3,0)*0.475*44/12</f>
        <v>#N/A</v>
      </c>
      <c r="HJ33" s="24" t="e">
        <f t="shared" si="30"/>
        <v>#N/A</v>
      </c>
    </row>
    <row r="34" spans="1:218" s="5" customFormat="1" x14ac:dyDescent="0.3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19.714285714285715</v>
      </c>
      <c r="N34" s="14">
        <f>IF('Données projet'!$A$36&gt;35,N33+M34-V33,IF(A34&lt;'Données projet'!$A$36,$K$205^A34,IF(A34='Données projet'!$A$36,'Données projet'!$B$36,N33+M34-V33)))</f>
        <v>312.28571428571433</v>
      </c>
      <c r="O34" s="14">
        <f>N34*VLOOKUP('Données projet'!$B$9,Paramètres!$A$1:$I$88,3,0)*VLOOKUP('Données projet'!$B$9,Paramètres!$A$1:$I$88,5,0)</f>
        <v>174.56771428571432</v>
      </c>
      <c r="P34" s="14">
        <f t="shared" si="33"/>
        <v>44.111455647166053</v>
      </c>
      <c r="Q34" s="22">
        <f t="shared" si="2"/>
        <v>380.86622096643327</v>
      </c>
      <c r="R34" s="62">
        <f t="shared" si="0"/>
        <v>620.91434417925086</v>
      </c>
      <c r="S34" s="62">
        <f ca="1">AVERAGE(OFFSET($R$3,0,0,'Données projet'!$E$9+1,1))-AVERAGE(OFFSET($H$3,0,0,'Données projet'!$E$9+1,1))</f>
        <v>367.03450586441784</v>
      </c>
      <c r="T34" s="62">
        <f t="shared" si="34"/>
        <v>413.14502442862897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projet'!$B$9,Paramètres!$A$1:$I$88,7,0))</f>
        <v>0</v>
      </c>
      <c r="X34" s="17">
        <f>IF(ISNA(VLOOKUP(A34,'Données projet'!$A$35:$I$55,6,0)),0%,VLOOKUP(A34,'Données projet'!$A$35:$I$55,6,0)*VLOOKUP('Données projet'!$B$9,Paramètres!$A$1:$I$88,7,0))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projet'!$B$9,Paramètres!$A$1:$I$88,3,0)*0.475*44/12</f>
        <v>2.1367303726174165</v>
      </c>
      <c r="AA34" s="23">
        <f>EXP(-LN(2)/25)*AA33+(1-EXP(-LN(2)/25))/(LN(2)/25)*Calculateur!V34*Calculateur!X34*VLOOKUP('Données projet'!$B$9,Paramètres!$A$1:$I$88,3,0)*0.475*44/12</f>
        <v>16.236196372321881</v>
      </c>
      <c r="AB34" s="23">
        <f>EXP(-LN(2)/2)*AB33+(1-EXP(-LN(2)/2))/(LN(2)/2)*V34*Y34*VLOOKUP('Données projet'!$B$9,Paramètres!$A$1:$I$88,3,0)*0.475*44/12</f>
        <v>0</v>
      </c>
      <c r="AC34" s="24">
        <f t="shared" si="3"/>
        <v>18.372926744939299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projet'!$B$10,Paramètres!$A$1:$I$88,3,0)*VLOOKUP('Données projet'!$B$10,Paramètres!$A$1:$I$88,5,0)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projet'!$B$10,Paramètres!$A$1:$I$88,7,0))</f>
        <v>0</v>
      </c>
      <c r="AS34" s="17">
        <f>IF(ISNA(VLOOKUP(A34,'Données projet'!$A$61:$I$81,6,0)),0%,VLOOKUP(A34,'Données projet'!$A$61:$I$81,6,0)*VLOOKUP('Données projet'!$B$10,Paramètres!$A$1:$I$88,7,0))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projet'!$B$10,Paramètres!$A$1:$I$88,3,0)*0.475*44/12</f>
        <v>#N/A</v>
      </c>
      <c r="AV34" s="23" t="e">
        <f>EXP(-LN(2)/25)*AV33+(1-EXP(-LN(2)/25))/(LN(2)/25)*Calculateur!AQ34*Calculateur!AS34*VLOOKUP('Données projet'!$B$10,Paramètres!$A$1:$I$88,3,0)*0.475*44/12</f>
        <v>#N/A</v>
      </c>
      <c r="AW34" s="23" t="e">
        <f>EXP(-LN(2)/2)*AW33+(1-EXP(-LN(2)/2))/(LN(2)/2)*AQ34*AT34*VLOOKUP('Données projet'!$B$10,Paramètres!$A$1:$I$88,3,0)*0.475*44/12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projet'!$B$11,Paramètres!$A$1:$I$88,3,0)*VLOOKUP('Données projet'!$B$11,Paramètres!$A$1:$I$88,5,0)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projet'!$B$11,Paramètres!$A$1:$I$88,7,0))</f>
        <v>0</v>
      </c>
      <c r="BN34" s="17">
        <f>IF(ISNA(VLOOKUP(A34,'Données projet'!$A$87:$I$107,6,0)),0%,VLOOKUP(A34,'Données projet'!$A$87:$I$107,6,0)*VLOOKUP('Données projet'!$B$11,Paramètres!$A$1:$I$88,7,0))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projet'!$B$11,Paramètres!$A$1:$I$88,3,0)*0.475*44/12</f>
        <v>#N/A</v>
      </c>
      <c r="BQ34" s="23" t="e">
        <f>EXP(-LN(2)/25)*BQ33+(1-EXP(-LN(2)/25))/(LN(2)/25)*Calculateur!BL34*Calculateur!BN34*VLOOKUP('Données projet'!$B$11,Paramètres!$A$1:$I$88,3,0)*0.475*44/12</f>
        <v>#N/A</v>
      </c>
      <c r="BR34" s="23" t="e">
        <f>EXP(-LN(2)/2)*BR33+(1-EXP(-LN(2)/2))/(LN(2)/2)*BL34*BO34*VLOOKUP('Données projet'!$B$11,Paramètres!$A$1:$I$88,3,0)*0.475*44/12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projet'!$B$12,Paramètres!$A$1:$I$88,3,0)*VLOOKUP('Données projet'!$B$12,Paramètres!$A$1:$I$88,5,0)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projet'!$B$12,Paramètres!$A$1:$I$88,7,0))</f>
        <v>0</v>
      </c>
      <c r="CI34" s="17">
        <f>IF(ISNA(VLOOKUP(A34,'Données projet'!$A$113:$I$133,6,0)),0%,VLOOKUP(A34,'Données projet'!$A$113:$I$133,6,0)*VLOOKUP('Données projet'!$B$12,Paramètres!$A$1:$I$88,7,0))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projet'!$B$12,Paramètres!$A$1:$I$88,3,0)*0.475*44/12</f>
        <v>#N/A</v>
      </c>
      <c r="CL34" s="23" t="e">
        <f>EXP(-LN(2)/25)*CL33+(1-EXP(-LN(2)/25))/(LN(2)/25)*Calculateur!CG34*Calculateur!CI34*VLOOKUP('Données projet'!$B$12,Paramètres!$A$1:$I$88,3,0)*0.475*44/12</f>
        <v>#N/A</v>
      </c>
      <c r="CM34" s="23" t="e">
        <f>EXP(-LN(2)/2)*CM33+(1-EXP(-LN(2)/2))/(LN(2)/2)*CG34*CJ34*VLOOKUP('Données projet'!$B$12,Paramètres!$A$1:$I$88,3,0)*0.475*44/12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projet'!$B$13,Paramètres!$A$1:$I$88,3,0)*VLOOKUP('Données projet'!$B$13,Paramètres!$A$1:$I$88,5,0)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projet'!$B$13,Paramètres!$A$1:$I$88,7,0))</f>
        <v>0</v>
      </c>
      <c r="DD34" s="17">
        <f>IF(ISNA(VLOOKUP(A34,'Données projet'!$A$139:$I$159,6,0)),0%,VLOOKUP(A34,'Données projet'!$A$139:$I$159,6,0)*VLOOKUP('Données projet'!$B$13,Paramètres!$A$1:$I$88,7,0))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projet'!$B$13,Paramètres!$A$1:$I$88,3,0)*0.475*44/12</f>
        <v>#N/A</v>
      </c>
      <c r="DG34" s="23" t="e">
        <f>EXP(-LN(2)/25)*DG33+(1-EXP(-LN(2)/25))/(LN(2)/25)*Calculateur!DB34*Calculateur!DD34*VLOOKUP('Données projet'!$B$13,Paramètres!$A$1:$I$88,3,0)*0.475*44/12</f>
        <v>#N/A</v>
      </c>
      <c r="DH34" s="23" t="e">
        <f>EXP(-LN(2)/2)*DH33+(1-EXP(-LN(2)/2))/(LN(2)/2)*DB34*DE34*VLOOKUP('Données projet'!$B$13,Paramètres!$A$1:$I$88,3,0)*0.475*44/12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projet'!$B$14,Paramètres!$A$1:$I$88,3,0)*VLOOKUP('Données projet'!$B$14,Paramètres!$A$1:$I$88,5,0)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projet'!$B$14,Paramètres!$A$1:$I$88,7,0))</f>
        <v>0</v>
      </c>
      <c r="DY34" s="17">
        <f>IF(ISNA(VLOOKUP(A34,'Données projet'!$A$165:$I$185,6,0)),0%,VLOOKUP(A34,'Données projet'!$A$165:$I$185,6,0)*VLOOKUP('Données projet'!$B$14,Paramètres!$A$1:$I$88,7,0))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projet'!$B$14,Paramètres!$A$1:$I$88,3,0)*0.475*44/12</f>
        <v>#N/A</v>
      </c>
      <c r="EB34" s="23" t="e">
        <f>EXP(-LN(2)/25)*EB33+(1-EXP(-LN(2)/25))/(LN(2)/25)*Calculateur!DW34*Calculateur!DY34*VLOOKUP('Données projet'!$B$14,Paramètres!$A$1:$I$88,3,0)*0.475*44/12</f>
        <v>#N/A</v>
      </c>
      <c r="EC34" s="23" t="e">
        <f>EXP(-LN(2)/2)*EC33+(1-EXP(-LN(2)/2))/(LN(2)/2)*DW34*DZ34*VLOOKUP('Données projet'!$B$14,Paramètres!$A$1:$I$88,3,0)*0.475*44/12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projet'!$B$15,Paramètres!$A$1:$I$88,3,0)*VLOOKUP('Données projet'!$B$15,Paramètres!$A$1:$I$88,5,0)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projet'!$B$15,Paramètres!$A$1:$I$88,7,0))</f>
        <v>0</v>
      </c>
      <c r="ET34" s="17">
        <f>IF(ISNA(VLOOKUP(A34,'Données projet'!$A$191:$I$211,6,0)),0%,VLOOKUP(A34,'Données projet'!$A$191:$I$211,6,0)*VLOOKUP('Données projet'!$B$15,Paramètres!$A$1:$I$88,7,0))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projet'!$B$15,Paramètres!$A$1:$I$88,3,0)*0.475*44/12</f>
        <v>#N/A</v>
      </c>
      <c r="EW34" s="23" t="e">
        <f>EXP(-LN(2)/25)*EW33+(1-EXP(-LN(2)/25))/(LN(2)/25)*Calculateur!ER34*Calculateur!ET34*VLOOKUP('Données projet'!$B$15,Paramètres!$A$1:$I$88,3,0)*0.475*44/12</f>
        <v>#N/A</v>
      </c>
      <c r="EX34" s="23" t="e">
        <f>EXP(-LN(2)/2)*EX33+(1-EXP(-LN(2)/2))/(LN(2)/2)*ER34*EU34*VLOOKUP('Données projet'!$B$15,Paramètres!$A$1:$I$88,3,0)*0.475*44/12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projet'!$B$16,Paramètres!$A$1:$I$88,3,0)*VLOOKUP('Données projet'!$B$16,Paramètres!$A$1:$I$88,5,0)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projet'!$B$16,Paramètres!$A$1:$I$88,7,0))</f>
        <v>0</v>
      </c>
      <c r="FO34" s="17">
        <f>IF(ISNA(VLOOKUP(A34,'Données projet'!$A$217:$I$237,6,0)),0%,VLOOKUP(A34,'Données projet'!$A$217:$I$237,6,0)*VLOOKUP('Données projet'!$B$16,Paramètres!$A$1:$I$88,7,0))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projet'!$B$16,Paramètres!$A$1:$I$88,3,0)*0.475*44/12</f>
        <v>#N/A</v>
      </c>
      <c r="FR34" s="23" t="e">
        <f>EXP(-LN(2)/25)*FR33+(1-EXP(-LN(2)/25))/(LN(2)/25)*Calculateur!FM34*Calculateur!FO34*VLOOKUP('Données projet'!$B$16,Paramètres!$A$1:$I$88,3,0)*0.475*44/12</f>
        <v>#N/A</v>
      </c>
      <c r="FS34" s="23" t="e">
        <f>EXP(-LN(2)/2)*FS33+(1-EXP(-LN(2)/2))/(LN(2)/2)*FM34*FP34*VLOOKUP('Données projet'!$B$16,Paramètres!$A$1:$I$88,3,0)*0.475*44/12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projet'!$B$17,Paramètres!$A$1:$I$88,3,0)*VLOOKUP('Données projet'!$B$17,Paramètres!$A$1:$I$88,5,0)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projet'!$B$17,Paramètres!$A$1:$I$88,7,0))</f>
        <v>0</v>
      </c>
      <c r="GJ34" s="17">
        <f>IF(ISNA(VLOOKUP(A34,'Données projet'!$A$243:$I$263,6,0)),0%,VLOOKUP(A34,'Données projet'!$A$243:$I$263,6,0)*VLOOKUP('Données projet'!$B$17,Paramètres!$A$1:$I$88,7,0))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projet'!$B$17,Paramètres!$A$1:$I$88,3,0)*0.475*44/12</f>
        <v>#N/A</v>
      </c>
      <c r="GM34" s="23" t="e">
        <f>EXP(-LN(2)/25)*GM33+(1-EXP(-LN(2)/25))/(LN(2)/25)*Calculateur!GH34*Calculateur!GJ34*VLOOKUP('Données projet'!$B$17,Paramètres!$A$1:$I$88,3,0)*0.475*44/12</f>
        <v>#N/A</v>
      </c>
      <c r="GN34" s="23" t="e">
        <f>EXP(-LN(2)/2)*GN33+(1-EXP(-LN(2)/2))/(LN(2)/2)*GH34*GK34*VLOOKUP('Données projet'!$B$17,Paramètres!$A$1:$I$88,3,0)*0.475*44/12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projet'!$B$18,Paramètres!$A$1:$I$88,3,0)*VLOOKUP('Données projet'!$B$18,Paramètres!$A$1:$I$88,5,0)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projet'!$B$18,Paramètres!$A$1:$I$88,7,0))</f>
        <v>0</v>
      </c>
      <c r="HE34" s="17">
        <f>IF(ISNA(VLOOKUP(A34,'Données projet'!$A$269:$I$289,6,0)),0%,VLOOKUP(A34,'Données projet'!$A$269:$I$289,6,0)*VLOOKUP('Données projet'!$B$18,Paramètres!$A$1:$I$88,7,0))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projet'!$B$18,Paramètres!$A$1:$I$88,3,0)*0.475*44/12</f>
        <v>#N/A</v>
      </c>
      <c r="HH34" s="23" t="e">
        <f>EXP(-LN(2)/25)*HH33+(1-EXP(-LN(2)/25))/(LN(2)/25)*Calculateur!HC34*Calculateur!HE34*VLOOKUP('Données projet'!$B$18,Paramètres!$A$1:$I$88,3,0)*0.475*44/12</f>
        <v>#N/A</v>
      </c>
      <c r="HI34" s="23" t="e">
        <f>EXP(-LN(2)/2)*HI33+(1-EXP(-LN(2)/2))/(LN(2)/2)*HC34*HF34*VLOOKUP('Données projet'!$B$18,Paramètres!$A$1:$I$88,3,0)*0.475*44/12</f>
        <v>#N/A</v>
      </c>
      <c r="HJ34" s="24" t="e">
        <f t="shared" si="30"/>
        <v>#N/A</v>
      </c>
    </row>
    <row r="35" spans="1:218" s="5" customFormat="1" x14ac:dyDescent="0.3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>
        <f>VLOOKUP(A35,'Données projet'!$A$35:$I$55,2,0)</f>
        <v>332</v>
      </c>
      <c r="L35" s="13">
        <f>VLOOKUP(A35,'Données projet'!$A$35:$I$55,9,0)</f>
        <v>19.714285714285715</v>
      </c>
      <c r="M35" s="13">
        <f t="array" ref="M35">INDEX(L:L,MIN(IF(ISNUMBER(L35:L231),ROW(L35:L231),"")))</f>
        <v>19.714285714285715</v>
      </c>
      <c r="N35" s="14">
        <f>IF('Données projet'!$A$36&gt;35,N34+M35-V34,IF(A35&lt;'Données projet'!$A$36,$K$205^A35,IF(A35='Données projet'!$A$36,'Données projet'!$B$36,N34+M35-V34)))</f>
        <v>332.00000000000006</v>
      </c>
      <c r="O35" s="14">
        <f>N35*VLOOKUP('Données projet'!$B$9,Paramètres!$A$1:$I$88,3,0)*VLOOKUP('Données projet'!$B$9,Paramètres!$A$1:$I$88,5,0)</f>
        <v>185.58800000000002</v>
      </c>
      <c r="P35" s="14">
        <f t="shared" si="33"/>
        <v>46.563192499694225</v>
      </c>
      <c r="Q35" s="22">
        <f t="shared" ref="Q35:Q66" si="53">(O35+P35)*0.475*44/12</f>
        <v>404.32999360363414</v>
      </c>
      <c r="R35" s="62">
        <f t="shared" si="0"/>
        <v>645.30249608415943</v>
      </c>
      <c r="S35" s="62">
        <f ca="1">AVERAGE(OFFSET($R$3,0,0,'Données projet'!$E$9+1,1))-AVERAGE(OFFSET($H$3,0,0,'Données projet'!$E$9+1,1))</f>
        <v>367.03450586441784</v>
      </c>
      <c r="T35" s="62">
        <f t="shared" si="34"/>
        <v>413.14502442862897</v>
      </c>
      <c r="U35" s="16">
        <f>IF(ISNA(VLOOKUP(A35,'Données projet'!$A$35:$I$55,3,0)),0,VLOOKUP(A35,'Données projet'!$A$35:$I$55,3,0))</f>
        <v>2</v>
      </c>
      <c r="V35" s="16">
        <f>IF(ISNA(VLOOKUP(A35,'Données projet'!$A$35:$I$55,4,0)),0,VLOOKUP(A35,'Données projet'!$A$35:$I$55,4,0))</f>
        <v>79</v>
      </c>
      <c r="W35" s="17">
        <f>IF(ISNA(VLOOKUP(A35,'Données projet'!$A$35:$I$55,5,0)),0%,VLOOKUP(A35,'Données projet'!$A$35:$I$55,5,0)*VLOOKUP('Données projet'!$B$9,Paramètres!$A$1:$I$88,7,0))</f>
        <v>0.16500000000000001</v>
      </c>
      <c r="X35" s="17">
        <f>IF(ISNA(VLOOKUP(A35,'Données projet'!$A$35:$I$55,6,0)),0%,VLOOKUP(A35,'Données projet'!$A$35:$I$55,6,0)*VLOOKUP('Données projet'!$B$9,Paramètres!$A$1:$I$88,7,0))</f>
        <v>0.27500000000000002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projet'!$B$9,Paramètres!$A$1:$I$88,3,0)*0.475*44/12</f>
        <v>11.760928524537043</v>
      </c>
      <c r="AA35" s="23">
        <f>EXP(-LN(2)/25)*AA34+(1-EXP(-LN(2)/25))/(LN(2)/25)*Calculateur!V35*Calculateur!X35*VLOOKUP('Données projet'!$B$9,Paramètres!$A$1:$I$88,3,0)*0.475*44/12</f>
        <v>31.83894842842119</v>
      </c>
      <c r="AB35" s="23">
        <f>EXP(-LN(2)/2)*AB34+(1-EXP(-LN(2)/2))/(LN(2)/2)*V35*Y35*VLOOKUP('Données projet'!$B$9,Paramètres!$A$1:$I$88,3,0)*0.475*44/12</f>
        <v>0</v>
      </c>
      <c r="AC35" s="24">
        <f t="shared" si="3"/>
        <v>43.599876952958233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projet'!$B$10,Paramètres!$A$1:$I$88,3,0)*VLOOKUP('Données projet'!$B$10,Paramètres!$A$1:$I$88,5,0)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projet'!$B$10,Paramètres!$A$1:$I$88,7,0))</f>
        <v>0</v>
      </c>
      <c r="AS35" s="17">
        <f>IF(ISNA(VLOOKUP(A35,'Données projet'!$A$61:$I$81,6,0)),0%,VLOOKUP(A35,'Données projet'!$A$61:$I$81,6,0)*VLOOKUP('Données projet'!$B$10,Paramètres!$A$1:$I$88,7,0))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projet'!$B$10,Paramètres!$A$1:$I$88,3,0)*0.475*44/12</f>
        <v>#N/A</v>
      </c>
      <c r="AV35" s="23" t="e">
        <f>EXP(-LN(2)/25)*AV34+(1-EXP(-LN(2)/25))/(LN(2)/25)*Calculateur!AQ35*Calculateur!AS35*VLOOKUP('Données projet'!$B$10,Paramètres!$A$1:$I$88,3,0)*0.475*44/12</f>
        <v>#N/A</v>
      </c>
      <c r="AW35" s="23" t="e">
        <f>EXP(-LN(2)/2)*AW34+(1-EXP(-LN(2)/2))/(LN(2)/2)*AQ35*AT35*VLOOKUP('Données projet'!$B$10,Paramètres!$A$1:$I$88,3,0)*0.475*44/12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projet'!$B$11,Paramètres!$A$1:$I$88,3,0)*VLOOKUP('Données projet'!$B$11,Paramètres!$A$1:$I$88,5,0)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projet'!$B$11,Paramètres!$A$1:$I$88,7,0))</f>
        <v>0</v>
      </c>
      <c r="BN35" s="17">
        <f>IF(ISNA(VLOOKUP(A35,'Données projet'!$A$87:$I$107,6,0)),0%,VLOOKUP(A35,'Données projet'!$A$87:$I$107,6,0)*VLOOKUP('Données projet'!$B$11,Paramètres!$A$1:$I$88,7,0))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projet'!$B$11,Paramètres!$A$1:$I$88,3,0)*0.475*44/12</f>
        <v>#N/A</v>
      </c>
      <c r="BQ35" s="23" t="e">
        <f>EXP(-LN(2)/25)*BQ34+(1-EXP(-LN(2)/25))/(LN(2)/25)*Calculateur!BL35*Calculateur!BN35*VLOOKUP('Données projet'!$B$11,Paramètres!$A$1:$I$88,3,0)*0.475*44/12</f>
        <v>#N/A</v>
      </c>
      <c r="BR35" s="23" t="e">
        <f>EXP(-LN(2)/2)*BR34+(1-EXP(-LN(2)/2))/(LN(2)/2)*BL35*BO35*VLOOKUP('Données projet'!$B$11,Paramètres!$A$1:$I$88,3,0)*0.475*44/12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projet'!$B$12,Paramètres!$A$1:$I$88,3,0)*VLOOKUP('Données projet'!$B$12,Paramètres!$A$1:$I$88,5,0)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projet'!$B$12,Paramètres!$A$1:$I$88,7,0))</f>
        <v>0</v>
      </c>
      <c r="CI35" s="17">
        <f>IF(ISNA(VLOOKUP(A35,'Données projet'!$A$113:$I$133,6,0)),0%,VLOOKUP(A35,'Données projet'!$A$113:$I$133,6,0)*VLOOKUP('Données projet'!$B$12,Paramètres!$A$1:$I$88,7,0))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projet'!$B$12,Paramètres!$A$1:$I$88,3,0)*0.475*44/12</f>
        <v>#N/A</v>
      </c>
      <c r="CL35" s="23" t="e">
        <f>EXP(-LN(2)/25)*CL34+(1-EXP(-LN(2)/25))/(LN(2)/25)*Calculateur!CG35*Calculateur!CI35*VLOOKUP('Données projet'!$B$12,Paramètres!$A$1:$I$88,3,0)*0.475*44/12</f>
        <v>#N/A</v>
      </c>
      <c r="CM35" s="23" t="e">
        <f>EXP(-LN(2)/2)*CM34+(1-EXP(-LN(2)/2))/(LN(2)/2)*CG35*CJ35*VLOOKUP('Données projet'!$B$12,Paramètres!$A$1:$I$88,3,0)*0.475*44/12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projet'!$B$13,Paramètres!$A$1:$I$88,3,0)*VLOOKUP('Données projet'!$B$13,Paramètres!$A$1:$I$88,5,0)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projet'!$B$13,Paramètres!$A$1:$I$88,7,0))</f>
        <v>0</v>
      </c>
      <c r="DD35" s="17">
        <f>IF(ISNA(VLOOKUP(A35,'Données projet'!$A$139:$I$159,6,0)),0%,VLOOKUP(A35,'Données projet'!$A$139:$I$159,6,0)*VLOOKUP('Données projet'!$B$13,Paramètres!$A$1:$I$88,7,0))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projet'!$B$13,Paramètres!$A$1:$I$88,3,0)*0.475*44/12</f>
        <v>#N/A</v>
      </c>
      <c r="DG35" s="23" t="e">
        <f>EXP(-LN(2)/25)*DG34+(1-EXP(-LN(2)/25))/(LN(2)/25)*Calculateur!DB35*Calculateur!DD35*VLOOKUP('Données projet'!$B$13,Paramètres!$A$1:$I$88,3,0)*0.475*44/12</f>
        <v>#N/A</v>
      </c>
      <c r="DH35" s="23" t="e">
        <f>EXP(-LN(2)/2)*DH34+(1-EXP(-LN(2)/2))/(LN(2)/2)*DB35*DE35*VLOOKUP('Données projet'!$B$13,Paramètres!$A$1:$I$88,3,0)*0.475*44/12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projet'!$B$14,Paramètres!$A$1:$I$88,3,0)*VLOOKUP('Données projet'!$B$14,Paramètres!$A$1:$I$88,5,0)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projet'!$B$14,Paramètres!$A$1:$I$88,7,0))</f>
        <v>0</v>
      </c>
      <c r="DY35" s="17">
        <f>IF(ISNA(VLOOKUP(A35,'Données projet'!$A$165:$I$185,6,0)),0%,VLOOKUP(A35,'Données projet'!$A$165:$I$185,6,0)*VLOOKUP('Données projet'!$B$14,Paramètres!$A$1:$I$88,7,0))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projet'!$B$14,Paramètres!$A$1:$I$88,3,0)*0.475*44/12</f>
        <v>#N/A</v>
      </c>
      <c r="EB35" s="23" t="e">
        <f>EXP(-LN(2)/25)*EB34+(1-EXP(-LN(2)/25))/(LN(2)/25)*Calculateur!DW35*Calculateur!DY35*VLOOKUP('Données projet'!$B$14,Paramètres!$A$1:$I$88,3,0)*0.475*44/12</f>
        <v>#N/A</v>
      </c>
      <c r="EC35" s="23" t="e">
        <f>EXP(-LN(2)/2)*EC34+(1-EXP(-LN(2)/2))/(LN(2)/2)*DW35*DZ35*VLOOKUP('Données projet'!$B$14,Paramètres!$A$1:$I$88,3,0)*0.475*44/12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projet'!$B$15,Paramètres!$A$1:$I$88,3,0)*VLOOKUP('Données projet'!$B$15,Paramètres!$A$1:$I$88,5,0)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projet'!$B$15,Paramètres!$A$1:$I$88,7,0))</f>
        <v>0</v>
      </c>
      <c r="ET35" s="17">
        <f>IF(ISNA(VLOOKUP(A35,'Données projet'!$A$191:$I$211,6,0)),0%,VLOOKUP(A35,'Données projet'!$A$191:$I$211,6,0)*VLOOKUP('Données projet'!$B$15,Paramètres!$A$1:$I$88,7,0))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projet'!$B$15,Paramètres!$A$1:$I$88,3,0)*0.475*44/12</f>
        <v>#N/A</v>
      </c>
      <c r="EW35" s="23" t="e">
        <f>EXP(-LN(2)/25)*EW34+(1-EXP(-LN(2)/25))/(LN(2)/25)*Calculateur!ER35*Calculateur!ET35*VLOOKUP('Données projet'!$B$15,Paramètres!$A$1:$I$88,3,0)*0.475*44/12</f>
        <v>#N/A</v>
      </c>
      <c r="EX35" s="23" t="e">
        <f>EXP(-LN(2)/2)*EX34+(1-EXP(-LN(2)/2))/(LN(2)/2)*ER35*EU35*VLOOKUP('Données projet'!$B$15,Paramètres!$A$1:$I$88,3,0)*0.475*44/12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projet'!$B$16,Paramètres!$A$1:$I$88,3,0)*VLOOKUP('Données projet'!$B$16,Paramètres!$A$1:$I$88,5,0)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projet'!$B$16,Paramètres!$A$1:$I$88,7,0))</f>
        <v>0</v>
      </c>
      <c r="FO35" s="17">
        <f>IF(ISNA(VLOOKUP(A35,'Données projet'!$A$217:$I$237,6,0)),0%,VLOOKUP(A35,'Données projet'!$A$217:$I$237,6,0)*VLOOKUP('Données projet'!$B$16,Paramètres!$A$1:$I$88,7,0))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projet'!$B$16,Paramètres!$A$1:$I$88,3,0)*0.475*44/12</f>
        <v>#N/A</v>
      </c>
      <c r="FR35" s="23" t="e">
        <f>EXP(-LN(2)/25)*FR34+(1-EXP(-LN(2)/25))/(LN(2)/25)*Calculateur!FM35*Calculateur!FO35*VLOOKUP('Données projet'!$B$16,Paramètres!$A$1:$I$88,3,0)*0.475*44/12</f>
        <v>#N/A</v>
      </c>
      <c r="FS35" s="23" t="e">
        <f>EXP(-LN(2)/2)*FS34+(1-EXP(-LN(2)/2))/(LN(2)/2)*FM35*FP35*VLOOKUP('Données projet'!$B$16,Paramètres!$A$1:$I$88,3,0)*0.475*44/12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projet'!$B$17,Paramètres!$A$1:$I$88,3,0)*VLOOKUP('Données projet'!$B$17,Paramètres!$A$1:$I$88,5,0)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projet'!$B$17,Paramètres!$A$1:$I$88,7,0))</f>
        <v>0</v>
      </c>
      <c r="GJ35" s="17">
        <f>IF(ISNA(VLOOKUP(A35,'Données projet'!$A$243:$I$263,6,0)),0%,VLOOKUP(A35,'Données projet'!$A$243:$I$263,6,0)*VLOOKUP('Données projet'!$B$17,Paramètres!$A$1:$I$88,7,0))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projet'!$B$17,Paramètres!$A$1:$I$88,3,0)*0.475*44/12</f>
        <v>#N/A</v>
      </c>
      <c r="GM35" s="23" t="e">
        <f>EXP(-LN(2)/25)*GM34+(1-EXP(-LN(2)/25))/(LN(2)/25)*Calculateur!GH35*Calculateur!GJ35*VLOOKUP('Données projet'!$B$17,Paramètres!$A$1:$I$88,3,0)*0.475*44/12</f>
        <v>#N/A</v>
      </c>
      <c r="GN35" s="23" t="e">
        <f>EXP(-LN(2)/2)*GN34+(1-EXP(-LN(2)/2))/(LN(2)/2)*GH35*GK35*VLOOKUP('Données projet'!$B$17,Paramètres!$A$1:$I$88,3,0)*0.475*44/12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projet'!$B$18,Paramètres!$A$1:$I$88,3,0)*VLOOKUP('Données projet'!$B$18,Paramètres!$A$1:$I$88,5,0)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projet'!$B$18,Paramètres!$A$1:$I$88,7,0))</f>
        <v>0</v>
      </c>
      <c r="HE35" s="17">
        <f>IF(ISNA(VLOOKUP(A35,'Données projet'!$A$269:$I$289,6,0)),0%,VLOOKUP(A35,'Données projet'!$A$269:$I$289,6,0)*VLOOKUP('Données projet'!$B$18,Paramètres!$A$1:$I$88,7,0))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projet'!$B$18,Paramètres!$A$1:$I$88,3,0)*0.475*44/12</f>
        <v>#N/A</v>
      </c>
      <c r="HH35" s="23" t="e">
        <f>EXP(-LN(2)/25)*HH34+(1-EXP(-LN(2)/25))/(LN(2)/25)*Calculateur!HC35*Calculateur!HE35*VLOOKUP('Données projet'!$B$18,Paramètres!$A$1:$I$88,3,0)*0.475*44/12</f>
        <v>#N/A</v>
      </c>
      <c r="HI35" s="23" t="e">
        <f>EXP(-LN(2)/2)*HI34+(1-EXP(-LN(2)/2))/(LN(2)/2)*HC35*HF35*VLOOKUP('Données projet'!$B$18,Paramètres!$A$1:$I$88,3,0)*0.475*44/12</f>
        <v>#N/A</v>
      </c>
      <c r="HJ35" s="24" t="e">
        <f t="shared" si="30"/>
        <v>#N/A</v>
      </c>
    </row>
    <row r="36" spans="1:218" s="5" customFormat="1" x14ac:dyDescent="0.3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19.714285714285715</v>
      </c>
      <c r="N36" s="14">
        <f>IF('Données projet'!$A$36&gt;35,N35+M36-V35,IF(A36&lt;'Données projet'!$A$36,$K$205^A36,IF(A36='Données projet'!$A$36,'Données projet'!$B$36,N35+M36-V35)))</f>
        <v>272.71428571428578</v>
      </c>
      <c r="O36" s="14">
        <f>N36*VLOOKUP('Données projet'!$B$9,Paramètres!$A$1:$I$88,3,0)*VLOOKUP('Données projet'!$B$9,Paramètres!$A$1:$I$88,5,0)</f>
        <v>152.44728571428575</v>
      </c>
      <c r="P36" s="14">
        <f t="shared" si="33"/>
        <v>39.134215165354775</v>
      </c>
      <c r="Q36" s="22">
        <f t="shared" si="53"/>
        <v>333.67111403204058</v>
      </c>
      <c r="R36" s="62">
        <f t="shared" si="0"/>
        <v>575.55195986658134</v>
      </c>
      <c r="S36" s="62">
        <f ca="1">AVERAGE(OFFSET($R$3,0,0,'Données projet'!$E$9+1,1))-AVERAGE(OFFSET($H$3,0,0,'Données projet'!$E$9+1,1))</f>
        <v>367.03450586441784</v>
      </c>
      <c r="T36" s="62">
        <f t="shared" si="34"/>
        <v>413.14502442862897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projet'!$B$9,Paramètres!$A$1:$I$88,7,0))</f>
        <v>0</v>
      </c>
      <c r="X36" s="17">
        <f>IF(ISNA(VLOOKUP(A36,'Données projet'!$A$35:$I$55,6,0)),0%,VLOOKUP(A36,'Données projet'!$A$35:$I$55,6,0)*VLOOKUP('Données projet'!$B$9,Paramètres!$A$1:$I$88,7,0))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projet'!$B$9,Paramètres!$A$1:$I$88,3,0)*0.475*44/12</f>
        <v>11.530303889628952</v>
      </c>
      <c r="AA36" s="23">
        <f>EXP(-LN(2)/25)*AA35+(1-EXP(-LN(2)/25))/(LN(2)/25)*Calculateur!V36*Calculateur!X36*VLOOKUP('Données projet'!$B$9,Paramètres!$A$1:$I$88,3,0)*0.475*44/12</f>
        <v>30.968310709308483</v>
      </c>
      <c r="AB36" s="23">
        <f>EXP(-LN(2)/2)*AB35+(1-EXP(-LN(2)/2))/(LN(2)/2)*V36*Y36*VLOOKUP('Données projet'!$B$9,Paramètres!$A$1:$I$88,3,0)*0.475*44/12</f>
        <v>0</v>
      </c>
      <c r="AC36" s="24">
        <f t="shared" si="3"/>
        <v>42.498614598937436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projet'!$B$10,Paramètres!$A$1:$I$88,3,0)*VLOOKUP('Données projet'!$B$10,Paramètres!$A$1:$I$88,5,0)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projet'!$B$10,Paramètres!$A$1:$I$88,7,0))</f>
        <v>0</v>
      </c>
      <c r="AS36" s="17">
        <f>IF(ISNA(VLOOKUP(A36,'Données projet'!$A$61:$I$81,6,0)),0%,VLOOKUP(A36,'Données projet'!$A$61:$I$81,6,0)*VLOOKUP('Données projet'!$B$10,Paramètres!$A$1:$I$88,7,0))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projet'!$B$10,Paramètres!$A$1:$I$88,3,0)*0.475*44/12</f>
        <v>#N/A</v>
      </c>
      <c r="AV36" s="23" t="e">
        <f>EXP(-LN(2)/25)*AV35+(1-EXP(-LN(2)/25))/(LN(2)/25)*Calculateur!AQ36*Calculateur!AS36*VLOOKUP('Données projet'!$B$10,Paramètres!$A$1:$I$88,3,0)*0.475*44/12</f>
        <v>#N/A</v>
      </c>
      <c r="AW36" s="23" t="e">
        <f>EXP(-LN(2)/2)*AW35+(1-EXP(-LN(2)/2))/(LN(2)/2)*AQ36*AT36*VLOOKUP('Données projet'!$B$10,Paramètres!$A$1:$I$88,3,0)*0.475*44/12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projet'!$B$11,Paramètres!$A$1:$I$88,3,0)*VLOOKUP('Données projet'!$B$11,Paramètres!$A$1:$I$88,5,0)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projet'!$B$11,Paramètres!$A$1:$I$88,7,0))</f>
        <v>0</v>
      </c>
      <c r="BN36" s="17">
        <f>IF(ISNA(VLOOKUP(A36,'Données projet'!$A$87:$I$107,6,0)),0%,VLOOKUP(A36,'Données projet'!$A$87:$I$107,6,0)*VLOOKUP('Données projet'!$B$11,Paramètres!$A$1:$I$88,7,0))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projet'!$B$11,Paramètres!$A$1:$I$88,3,0)*0.475*44/12</f>
        <v>#N/A</v>
      </c>
      <c r="BQ36" s="23" t="e">
        <f>EXP(-LN(2)/25)*BQ35+(1-EXP(-LN(2)/25))/(LN(2)/25)*Calculateur!BL36*Calculateur!BN36*VLOOKUP('Données projet'!$B$11,Paramètres!$A$1:$I$88,3,0)*0.475*44/12</f>
        <v>#N/A</v>
      </c>
      <c r="BR36" s="23" t="e">
        <f>EXP(-LN(2)/2)*BR35+(1-EXP(-LN(2)/2))/(LN(2)/2)*BL36*BO36*VLOOKUP('Données projet'!$B$11,Paramètres!$A$1:$I$88,3,0)*0.475*44/12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projet'!$B$12,Paramètres!$A$1:$I$88,3,0)*VLOOKUP('Données projet'!$B$12,Paramètres!$A$1:$I$88,5,0)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projet'!$B$12,Paramètres!$A$1:$I$88,7,0))</f>
        <v>0</v>
      </c>
      <c r="CI36" s="17">
        <f>IF(ISNA(VLOOKUP(A36,'Données projet'!$A$113:$I$133,6,0)),0%,VLOOKUP(A36,'Données projet'!$A$113:$I$133,6,0)*VLOOKUP('Données projet'!$B$12,Paramètres!$A$1:$I$88,7,0))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projet'!$B$12,Paramètres!$A$1:$I$88,3,0)*0.475*44/12</f>
        <v>#N/A</v>
      </c>
      <c r="CL36" s="23" t="e">
        <f>EXP(-LN(2)/25)*CL35+(1-EXP(-LN(2)/25))/(LN(2)/25)*Calculateur!CG36*Calculateur!CI36*VLOOKUP('Données projet'!$B$12,Paramètres!$A$1:$I$88,3,0)*0.475*44/12</f>
        <v>#N/A</v>
      </c>
      <c r="CM36" s="23" t="e">
        <f>EXP(-LN(2)/2)*CM35+(1-EXP(-LN(2)/2))/(LN(2)/2)*CG36*CJ36*VLOOKUP('Données projet'!$B$12,Paramètres!$A$1:$I$88,3,0)*0.475*44/12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projet'!$B$13,Paramètres!$A$1:$I$88,3,0)*VLOOKUP('Données projet'!$B$13,Paramètres!$A$1:$I$88,5,0)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projet'!$B$13,Paramètres!$A$1:$I$88,7,0))</f>
        <v>0</v>
      </c>
      <c r="DD36" s="17">
        <f>IF(ISNA(VLOOKUP(A36,'Données projet'!$A$139:$I$159,6,0)),0%,VLOOKUP(A36,'Données projet'!$A$139:$I$159,6,0)*VLOOKUP('Données projet'!$B$13,Paramètres!$A$1:$I$88,7,0))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projet'!$B$13,Paramètres!$A$1:$I$88,3,0)*0.475*44/12</f>
        <v>#N/A</v>
      </c>
      <c r="DG36" s="23" t="e">
        <f>EXP(-LN(2)/25)*DG35+(1-EXP(-LN(2)/25))/(LN(2)/25)*Calculateur!DB36*Calculateur!DD36*VLOOKUP('Données projet'!$B$13,Paramètres!$A$1:$I$88,3,0)*0.475*44/12</f>
        <v>#N/A</v>
      </c>
      <c r="DH36" s="23" t="e">
        <f>EXP(-LN(2)/2)*DH35+(1-EXP(-LN(2)/2))/(LN(2)/2)*DB36*DE36*VLOOKUP('Données projet'!$B$13,Paramètres!$A$1:$I$88,3,0)*0.475*44/12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projet'!$B$14,Paramètres!$A$1:$I$88,3,0)*VLOOKUP('Données projet'!$B$14,Paramètres!$A$1:$I$88,5,0)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projet'!$B$14,Paramètres!$A$1:$I$88,7,0))</f>
        <v>0</v>
      </c>
      <c r="DY36" s="17">
        <f>IF(ISNA(VLOOKUP(A36,'Données projet'!$A$165:$I$185,6,0)),0%,VLOOKUP(A36,'Données projet'!$A$165:$I$185,6,0)*VLOOKUP('Données projet'!$B$14,Paramètres!$A$1:$I$88,7,0))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projet'!$B$14,Paramètres!$A$1:$I$88,3,0)*0.475*44/12</f>
        <v>#N/A</v>
      </c>
      <c r="EB36" s="23" t="e">
        <f>EXP(-LN(2)/25)*EB35+(1-EXP(-LN(2)/25))/(LN(2)/25)*Calculateur!DW36*Calculateur!DY36*VLOOKUP('Données projet'!$B$14,Paramètres!$A$1:$I$88,3,0)*0.475*44/12</f>
        <v>#N/A</v>
      </c>
      <c r="EC36" s="23" t="e">
        <f>EXP(-LN(2)/2)*EC35+(1-EXP(-LN(2)/2))/(LN(2)/2)*DW36*DZ36*VLOOKUP('Données projet'!$B$14,Paramètres!$A$1:$I$88,3,0)*0.475*44/12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projet'!$B$15,Paramètres!$A$1:$I$88,3,0)*VLOOKUP('Données projet'!$B$15,Paramètres!$A$1:$I$88,5,0)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projet'!$B$15,Paramètres!$A$1:$I$88,7,0))</f>
        <v>0</v>
      </c>
      <c r="ET36" s="17">
        <f>IF(ISNA(VLOOKUP(A36,'Données projet'!$A$191:$I$211,6,0)),0%,VLOOKUP(A36,'Données projet'!$A$191:$I$211,6,0)*VLOOKUP('Données projet'!$B$15,Paramètres!$A$1:$I$88,7,0))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projet'!$B$15,Paramètres!$A$1:$I$88,3,0)*0.475*44/12</f>
        <v>#N/A</v>
      </c>
      <c r="EW36" s="23" t="e">
        <f>EXP(-LN(2)/25)*EW35+(1-EXP(-LN(2)/25))/(LN(2)/25)*Calculateur!ER36*Calculateur!ET36*VLOOKUP('Données projet'!$B$15,Paramètres!$A$1:$I$88,3,0)*0.475*44/12</f>
        <v>#N/A</v>
      </c>
      <c r="EX36" s="23" t="e">
        <f>EXP(-LN(2)/2)*EX35+(1-EXP(-LN(2)/2))/(LN(2)/2)*ER36*EU36*VLOOKUP('Données projet'!$B$15,Paramètres!$A$1:$I$88,3,0)*0.475*44/12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projet'!$B$16,Paramètres!$A$1:$I$88,3,0)*VLOOKUP('Données projet'!$B$16,Paramètres!$A$1:$I$88,5,0)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projet'!$B$16,Paramètres!$A$1:$I$88,7,0))</f>
        <v>0</v>
      </c>
      <c r="FO36" s="17">
        <f>IF(ISNA(VLOOKUP(A36,'Données projet'!$A$217:$I$237,6,0)),0%,VLOOKUP(A36,'Données projet'!$A$217:$I$237,6,0)*VLOOKUP('Données projet'!$B$16,Paramètres!$A$1:$I$88,7,0))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projet'!$B$16,Paramètres!$A$1:$I$88,3,0)*0.475*44/12</f>
        <v>#N/A</v>
      </c>
      <c r="FR36" s="23" t="e">
        <f>EXP(-LN(2)/25)*FR35+(1-EXP(-LN(2)/25))/(LN(2)/25)*Calculateur!FM36*Calculateur!FO36*VLOOKUP('Données projet'!$B$16,Paramètres!$A$1:$I$88,3,0)*0.475*44/12</f>
        <v>#N/A</v>
      </c>
      <c r="FS36" s="23" t="e">
        <f>EXP(-LN(2)/2)*FS35+(1-EXP(-LN(2)/2))/(LN(2)/2)*FM36*FP36*VLOOKUP('Données projet'!$B$16,Paramètres!$A$1:$I$88,3,0)*0.475*44/12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projet'!$B$17,Paramètres!$A$1:$I$88,3,0)*VLOOKUP('Données projet'!$B$17,Paramètres!$A$1:$I$88,5,0)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projet'!$B$17,Paramètres!$A$1:$I$88,7,0))</f>
        <v>0</v>
      </c>
      <c r="GJ36" s="17">
        <f>IF(ISNA(VLOOKUP(A36,'Données projet'!$A$243:$I$263,6,0)),0%,VLOOKUP(A36,'Données projet'!$A$243:$I$263,6,0)*VLOOKUP('Données projet'!$B$17,Paramètres!$A$1:$I$88,7,0))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projet'!$B$17,Paramètres!$A$1:$I$88,3,0)*0.475*44/12</f>
        <v>#N/A</v>
      </c>
      <c r="GM36" s="23" t="e">
        <f>EXP(-LN(2)/25)*GM35+(1-EXP(-LN(2)/25))/(LN(2)/25)*Calculateur!GH36*Calculateur!GJ36*VLOOKUP('Données projet'!$B$17,Paramètres!$A$1:$I$88,3,0)*0.475*44/12</f>
        <v>#N/A</v>
      </c>
      <c r="GN36" s="23" t="e">
        <f>EXP(-LN(2)/2)*GN35+(1-EXP(-LN(2)/2))/(LN(2)/2)*GH36*GK36*VLOOKUP('Données projet'!$B$17,Paramètres!$A$1:$I$88,3,0)*0.475*44/12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projet'!$B$18,Paramètres!$A$1:$I$88,3,0)*VLOOKUP('Données projet'!$B$18,Paramètres!$A$1:$I$88,5,0)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projet'!$B$18,Paramètres!$A$1:$I$88,7,0))</f>
        <v>0</v>
      </c>
      <c r="HE36" s="17">
        <f>IF(ISNA(VLOOKUP(A36,'Données projet'!$A$269:$I$289,6,0)),0%,VLOOKUP(A36,'Données projet'!$A$269:$I$289,6,0)*VLOOKUP('Données projet'!$B$18,Paramètres!$A$1:$I$88,7,0))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projet'!$B$18,Paramètres!$A$1:$I$88,3,0)*0.475*44/12</f>
        <v>#N/A</v>
      </c>
      <c r="HH36" s="23" t="e">
        <f>EXP(-LN(2)/25)*HH35+(1-EXP(-LN(2)/25))/(LN(2)/25)*Calculateur!HC36*Calculateur!HE36*VLOOKUP('Données projet'!$B$18,Paramètres!$A$1:$I$88,3,0)*0.475*44/12</f>
        <v>#N/A</v>
      </c>
      <c r="HI36" s="23" t="e">
        <f>EXP(-LN(2)/2)*HI35+(1-EXP(-LN(2)/2))/(LN(2)/2)*HC36*HF36*VLOOKUP('Données projet'!$B$18,Paramètres!$A$1:$I$88,3,0)*0.475*44/12</f>
        <v>#N/A</v>
      </c>
      <c r="HJ36" s="24" t="e">
        <f t="shared" si="30"/>
        <v>#N/A</v>
      </c>
    </row>
    <row r="37" spans="1:218" s="5" customFormat="1" x14ac:dyDescent="0.3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19.714285714285715</v>
      </c>
      <c r="N37" s="14">
        <f>IF('Données projet'!$A$36&gt;35,N36+M37-V36,IF(A37&lt;'Données projet'!$A$36,$K$205^A37,IF(A37='Données projet'!$A$36,'Données projet'!$B$36,N36+M37-V36)))</f>
        <v>292.4285714285715</v>
      </c>
      <c r="O37" s="14">
        <f>N37*VLOOKUP('Données projet'!$B$9,Paramètres!$A$1:$I$88,3,0)*VLOOKUP('Données projet'!$B$9,Paramètres!$A$1:$I$88,5,0)</f>
        <v>163.46757142857146</v>
      </c>
      <c r="P37" s="14">
        <f t="shared" si="33"/>
        <v>41.623657176502142</v>
      </c>
      <c r="Q37" s="22">
        <f t="shared" si="53"/>
        <v>357.20055648716988</v>
      </c>
      <c r="R37" s="62">
        <f t="shared" si="0"/>
        <v>599.9739879492854</v>
      </c>
      <c r="S37" s="62">
        <f ca="1">AVERAGE(OFFSET($R$3,0,0,'Données projet'!$E$9+1,1))-AVERAGE(OFFSET($H$3,0,0,'Données projet'!$E$9+1,1))</f>
        <v>367.03450586441784</v>
      </c>
      <c r="T37" s="62">
        <f t="shared" si="34"/>
        <v>413.14502442862897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projet'!$B$9,Paramètres!$A$1:$I$88,7,0))</f>
        <v>0</v>
      </c>
      <c r="X37" s="17">
        <f>IF(ISNA(VLOOKUP(A37,'Données projet'!$A$35:$I$55,6,0)),0%,VLOOKUP(A37,'Données projet'!$A$35:$I$55,6,0)*VLOOKUP('Données projet'!$B$9,Paramètres!$A$1:$I$88,7,0))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projet'!$B$9,Paramètres!$A$1:$I$88,3,0)*0.475*44/12</f>
        <v>11.304201663144271</v>
      </c>
      <c r="AA37" s="23">
        <f>EXP(-LN(2)/25)*AA36+(1-EXP(-LN(2)/25))/(LN(2)/25)*Calculateur!V37*Calculateur!X37*VLOOKUP('Données projet'!$B$9,Paramètres!$A$1:$I$88,3,0)*0.475*44/12</f>
        <v>30.121480624409759</v>
      </c>
      <c r="AB37" s="23">
        <f>EXP(-LN(2)/2)*AB36+(1-EXP(-LN(2)/2))/(LN(2)/2)*V37*Y37*VLOOKUP('Données projet'!$B$9,Paramètres!$A$1:$I$88,3,0)*0.475*44/12</f>
        <v>0</v>
      </c>
      <c r="AC37" s="24">
        <f t="shared" si="3"/>
        <v>41.425682287554032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projet'!$B$10,Paramètres!$A$1:$I$88,3,0)*VLOOKUP('Données projet'!$B$10,Paramètres!$A$1:$I$88,5,0)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projet'!$B$10,Paramètres!$A$1:$I$88,7,0))</f>
        <v>0</v>
      </c>
      <c r="AS37" s="17">
        <f>IF(ISNA(VLOOKUP(A37,'Données projet'!$A$61:$I$81,6,0)),0%,VLOOKUP(A37,'Données projet'!$A$61:$I$81,6,0)*VLOOKUP('Données projet'!$B$10,Paramètres!$A$1:$I$88,7,0))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projet'!$B$10,Paramètres!$A$1:$I$88,3,0)*0.475*44/12</f>
        <v>#N/A</v>
      </c>
      <c r="AV37" s="23" t="e">
        <f>EXP(-LN(2)/25)*AV36+(1-EXP(-LN(2)/25))/(LN(2)/25)*Calculateur!AQ37*Calculateur!AS37*VLOOKUP('Données projet'!$B$10,Paramètres!$A$1:$I$88,3,0)*0.475*44/12</f>
        <v>#N/A</v>
      </c>
      <c r="AW37" s="23" t="e">
        <f>EXP(-LN(2)/2)*AW36+(1-EXP(-LN(2)/2))/(LN(2)/2)*AQ37*AT37*VLOOKUP('Données projet'!$B$10,Paramètres!$A$1:$I$88,3,0)*0.475*44/12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projet'!$B$11,Paramètres!$A$1:$I$88,3,0)*VLOOKUP('Données projet'!$B$11,Paramètres!$A$1:$I$88,5,0)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projet'!$B$11,Paramètres!$A$1:$I$88,7,0))</f>
        <v>0</v>
      </c>
      <c r="BN37" s="17">
        <f>IF(ISNA(VLOOKUP(A37,'Données projet'!$A$87:$I$107,6,0)),0%,VLOOKUP(A37,'Données projet'!$A$87:$I$107,6,0)*VLOOKUP('Données projet'!$B$11,Paramètres!$A$1:$I$88,7,0))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projet'!$B$11,Paramètres!$A$1:$I$88,3,0)*0.475*44/12</f>
        <v>#N/A</v>
      </c>
      <c r="BQ37" s="23" t="e">
        <f>EXP(-LN(2)/25)*BQ36+(1-EXP(-LN(2)/25))/(LN(2)/25)*Calculateur!BL37*Calculateur!BN37*VLOOKUP('Données projet'!$B$11,Paramètres!$A$1:$I$88,3,0)*0.475*44/12</f>
        <v>#N/A</v>
      </c>
      <c r="BR37" s="23" t="e">
        <f>EXP(-LN(2)/2)*BR36+(1-EXP(-LN(2)/2))/(LN(2)/2)*BL37*BO37*VLOOKUP('Données projet'!$B$11,Paramètres!$A$1:$I$88,3,0)*0.475*44/12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projet'!$B$12,Paramètres!$A$1:$I$88,3,0)*VLOOKUP('Données projet'!$B$12,Paramètres!$A$1:$I$88,5,0)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projet'!$B$12,Paramètres!$A$1:$I$88,7,0))</f>
        <v>0</v>
      </c>
      <c r="CI37" s="17">
        <f>IF(ISNA(VLOOKUP(A37,'Données projet'!$A$113:$I$133,6,0)),0%,VLOOKUP(A37,'Données projet'!$A$113:$I$133,6,0)*VLOOKUP('Données projet'!$B$12,Paramètres!$A$1:$I$88,7,0))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projet'!$B$12,Paramètres!$A$1:$I$88,3,0)*0.475*44/12</f>
        <v>#N/A</v>
      </c>
      <c r="CL37" s="23" t="e">
        <f>EXP(-LN(2)/25)*CL36+(1-EXP(-LN(2)/25))/(LN(2)/25)*Calculateur!CG37*Calculateur!CI37*VLOOKUP('Données projet'!$B$12,Paramètres!$A$1:$I$88,3,0)*0.475*44/12</f>
        <v>#N/A</v>
      </c>
      <c r="CM37" s="23" t="e">
        <f>EXP(-LN(2)/2)*CM36+(1-EXP(-LN(2)/2))/(LN(2)/2)*CG37*CJ37*VLOOKUP('Données projet'!$B$12,Paramètres!$A$1:$I$88,3,0)*0.475*44/12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projet'!$B$13,Paramètres!$A$1:$I$88,3,0)*VLOOKUP('Données projet'!$B$13,Paramètres!$A$1:$I$88,5,0)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projet'!$B$13,Paramètres!$A$1:$I$88,7,0))</f>
        <v>0</v>
      </c>
      <c r="DD37" s="17">
        <f>IF(ISNA(VLOOKUP(A37,'Données projet'!$A$139:$I$159,6,0)),0%,VLOOKUP(A37,'Données projet'!$A$139:$I$159,6,0)*VLOOKUP('Données projet'!$B$13,Paramètres!$A$1:$I$88,7,0))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projet'!$B$13,Paramètres!$A$1:$I$88,3,0)*0.475*44/12</f>
        <v>#N/A</v>
      </c>
      <c r="DG37" s="23" t="e">
        <f>EXP(-LN(2)/25)*DG36+(1-EXP(-LN(2)/25))/(LN(2)/25)*Calculateur!DB37*Calculateur!DD37*VLOOKUP('Données projet'!$B$13,Paramètres!$A$1:$I$88,3,0)*0.475*44/12</f>
        <v>#N/A</v>
      </c>
      <c r="DH37" s="23" t="e">
        <f>EXP(-LN(2)/2)*DH36+(1-EXP(-LN(2)/2))/(LN(2)/2)*DB37*DE37*VLOOKUP('Données projet'!$B$13,Paramètres!$A$1:$I$88,3,0)*0.475*44/12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projet'!$B$14,Paramètres!$A$1:$I$88,3,0)*VLOOKUP('Données projet'!$B$14,Paramètres!$A$1:$I$88,5,0)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projet'!$B$14,Paramètres!$A$1:$I$88,7,0))</f>
        <v>0</v>
      </c>
      <c r="DY37" s="17">
        <f>IF(ISNA(VLOOKUP(A37,'Données projet'!$A$165:$I$185,6,0)),0%,VLOOKUP(A37,'Données projet'!$A$165:$I$185,6,0)*VLOOKUP('Données projet'!$B$14,Paramètres!$A$1:$I$88,7,0))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projet'!$B$14,Paramètres!$A$1:$I$88,3,0)*0.475*44/12</f>
        <v>#N/A</v>
      </c>
      <c r="EB37" s="23" t="e">
        <f>EXP(-LN(2)/25)*EB36+(1-EXP(-LN(2)/25))/(LN(2)/25)*Calculateur!DW37*Calculateur!DY37*VLOOKUP('Données projet'!$B$14,Paramètres!$A$1:$I$88,3,0)*0.475*44/12</f>
        <v>#N/A</v>
      </c>
      <c r="EC37" s="23" t="e">
        <f>EXP(-LN(2)/2)*EC36+(1-EXP(-LN(2)/2))/(LN(2)/2)*DW37*DZ37*VLOOKUP('Données projet'!$B$14,Paramètres!$A$1:$I$88,3,0)*0.475*44/12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projet'!$B$15,Paramètres!$A$1:$I$88,3,0)*VLOOKUP('Données projet'!$B$15,Paramètres!$A$1:$I$88,5,0)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projet'!$B$15,Paramètres!$A$1:$I$88,7,0))</f>
        <v>0</v>
      </c>
      <c r="ET37" s="17">
        <f>IF(ISNA(VLOOKUP(A37,'Données projet'!$A$191:$I$211,6,0)),0%,VLOOKUP(A37,'Données projet'!$A$191:$I$211,6,0)*VLOOKUP('Données projet'!$B$15,Paramètres!$A$1:$I$88,7,0))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projet'!$B$15,Paramètres!$A$1:$I$88,3,0)*0.475*44/12</f>
        <v>#N/A</v>
      </c>
      <c r="EW37" s="23" t="e">
        <f>EXP(-LN(2)/25)*EW36+(1-EXP(-LN(2)/25))/(LN(2)/25)*Calculateur!ER37*Calculateur!ET37*VLOOKUP('Données projet'!$B$15,Paramètres!$A$1:$I$88,3,0)*0.475*44/12</f>
        <v>#N/A</v>
      </c>
      <c r="EX37" s="23" t="e">
        <f>EXP(-LN(2)/2)*EX36+(1-EXP(-LN(2)/2))/(LN(2)/2)*ER37*EU37*VLOOKUP('Données projet'!$B$15,Paramètres!$A$1:$I$88,3,0)*0.475*44/12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projet'!$B$16,Paramètres!$A$1:$I$88,3,0)*VLOOKUP('Données projet'!$B$16,Paramètres!$A$1:$I$88,5,0)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projet'!$B$16,Paramètres!$A$1:$I$88,7,0))</f>
        <v>0</v>
      </c>
      <c r="FO37" s="17">
        <f>IF(ISNA(VLOOKUP(A37,'Données projet'!$A$217:$I$237,6,0)),0%,VLOOKUP(A37,'Données projet'!$A$217:$I$237,6,0)*VLOOKUP('Données projet'!$B$16,Paramètres!$A$1:$I$88,7,0))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projet'!$B$16,Paramètres!$A$1:$I$88,3,0)*0.475*44/12</f>
        <v>#N/A</v>
      </c>
      <c r="FR37" s="23" t="e">
        <f>EXP(-LN(2)/25)*FR36+(1-EXP(-LN(2)/25))/(LN(2)/25)*Calculateur!FM37*Calculateur!FO37*VLOOKUP('Données projet'!$B$16,Paramètres!$A$1:$I$88,3,0)*0.475*44/12</f>
        <v>#N/A</v>
      </c>
      <c r="FS37" s="23" t="e">
        <f>EXP(-LN(2)/2)*FS36+(1-EXP(-LN(2)/2))/(LN(2)/2)*FM37*FP37*VLOOKUP('Données projet'!$B$16,Paramètres!$A$1:$I$88,3,0)*0.475*44/12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projet'!$B$17,Paramètres!$A$1:$I$88,3,0)*VLOOKUP('Données projet'!$B$17,Paramètres!$A$1:$I$88,5,0)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projet'!$B$17,Paramètres!$A$1:$I$88,7,0))</f>
        <v>0</v>
      </c>
      <c r="GJ37" s="17">
        <f>IF(ISNA(VLOOKUP(A37,'Données projet'!$A$243:$I$263,6,0)),0%,VLOOKUP(A37,'Données projet'!$A$243:$I$263,6,0)*VLOOKUP('Données projet'!$B$17,Paramètres!$A$1:$I$88,7,0))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projet'!$B$17,Paramètres!$A$1:$I$88,3,0)*0.475*44/12</f>
        <v>#N/A</v>
      </c>
      <c r="GM37" s="23" t="e">
        <f>EXP(-LN(2)/25)*GM36+(1-EXP(-LN(2)/25))/(LN(2)/25)*Calculateur!GH37*Calculateur!GJ37*VLOOKUP('Données projet'!$B$17,Paramètres!$A$1:$I$88,3,0)*0.475*44/12</f>
        <v>#N/A</v>
      </c>
      <c r="GN37" s="23" t="e">
        <f>EXP(-LN(2)/2)*GN36+(1-EXP(-LN(2)/2))/(LN(2)/2)*GH37*GK37*VLOOKUP('Données projet'!$B$17,Paramètres!$A$1:$I$88,3,0)*0.475*44/12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projet'!$B$18,Paramètres!$A$1:$I$88,3,0)*VLOOKUP('Données projet'!$B$18,Paramètres!$A$1:$I$88,5,0)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projet'!$B$18,Paramètres!$A$1:$I$88,7,0))</f>
        <v>0</v>
      </c>
      <c r="HE37" s="17">
        <f>IF(ISNA(VLOOKUP(A37,'Données projet'!$A$269:$I$289,6,0)),0%,VLOOKUP(A37,'Données projet'!$A$269:$I$289,6,0)*VLOOKUP('Données projet'!$B$18,Paramètres!$A$1:$I$88,7,0))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projet'!$B$18,Paramètres!$A$1:$I$88,3,0)*0.475*44/12</f>
        <v>#N/A</v>
      </c>
      <c r="HH37" s="23" t="e">
        <f>EXP(-LN(2)/25)*HH36+(1-EXP(-LN(2)/25))/(LN(2)/25)*Calculateur!HC37*Calculateur!HE37*VLOOKUP('Données projet'!$B$18,Paramètres!$A$1:$I$88,3,0)*0.475*44/12</f>
        <v>#N/A</v>
      </c>
      <c r="HI37" s="23" t="e">
        <f>EXP(-LN(2)/2)*HI36+(1-EXP(-LN(2)/2))/(LN(2)/2)*HC37*HF37*VLOOKUP('Données projet'!$B$18,Paramètres!$A$1:$I$88,3,0)*0.475*44/12</f>
        <v>#N/A</v>
      </c>
      <c r="HJ37" s="24" t="e">
        <f t="shared" si="30"/>
        <v>#N/A</v>
      </c>
    </row>
    <row r="38" spans="1:218" s="5" customFormat="1" x14ac:dyDescent="0.3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19.714285714285715</v>
      </c>
      <c r="N38" s="14">
        <f>IF('Données projet'!$A$36&gt;35,N37+M38-V37,IF(A38&lt;'Données projet'!$A$36,$K$205^A38,IF(A38='Données projet'!$A$36,'Données projet'!$B$36,N37+M38-V37)))</f>
        <v>312.14285714285722</v>
      </c>
      <c r="O38" s="14">
        <f>N38*VLOOKUP('Données projet'!$B$9,Paramètres!$A$1:$I$88,3,0)*VLOOKUP('Données projet'!$B$9,Paramètres!$A$1:$I$88,5,0)</f>
        <v>174.48785714285722</v>
      </c>
      <c r="P38" s="14">
        <f t="shared" si="33"/>
        <v>44.093624942634548</v>
      </c>
      <c r="Q38" s="22">
        <f t="shared" si="53"/>
        <v>380.69608129889815</v>
      </c>
      <c r="R38" s="62">
        <f t="shared" si="0"/>
        <v>624.34661402347263</v>
      </c>
      <c r="S38" s="62">
        <f ca="1">AVERAGE(OFFSET($R$3,0,0,'Données projet'!$E$9+1,1))-AVERAGE(OFFSET($H$3,0,0,'Données projet'!$E$9+1,1))</f>
        <v>367.03450586441784</v>
      </c>
      <c r="T38" s="62">
        <f t="shared" si="34"/>
        <v>413.14502442862897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projet'!$B$9,Paramètres!$A$1:$I$88,7,0))</f>
        <v>0</v>
      </c>
      <c r="X38" s="17">
        <f>IF(ISNA(VLOOKUP(A38,'Données projet'!$A$35:$I$55,6,0)),0%,VLOOKUP(A38,'Données projet'!$A$35:$I$55,6,0)*VLOOKUP('Données projet'!$B$9,Paramètres!$A$1:$I$88,7,0))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projet'!$B$9,Paramètres!$A$1:$I$88,3,0)*0.475*44/12</f>
        <v>11.082533163412213</v>
      </c>
      <c r="AA38" s="23">
        <f>EXP(-LN(2)/25)*AA37+(1-EXP(-LN(2)/25))/(LN(2)/25)*Calculateur!V38*Calculateur!X38*VLOOKUP('Données projet'!$B$9,Paramètres!$A$1:$I$88,3,0)*0.475*44/12</f>
        <v>29.297807152715453</v>
      </c>
      <c r="AB38" s="23">
        <f>EXP(-LN(2)/2)*AB37+(1-EXP(-LN(2)/2))/(LN(2)/2)*V38*Y38*VLOOKUP('Données projet'!$B$9,Paramètres!$A$1:$I$88,3,0)*0.475*44/12</f>
        <v>0</v>
      </c>
      <c r="AC38" s="24">
        <f t="shared" si="3"/>
        <v>40.380340316127665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projet'!$B$10,Paramètres!$A$1:$I$88,3,0)*VLOOKUP('Données projet'!$B$10,Paramètres!$A$1:$I$88,5,0)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projet'!$B$10,Paramètres!$A$1:$I$88,7,0))</f>
        <v>0</v>
      </c>
      <c r="AS38" s="17">
        <f>IF(ISNA(VLOOKUP(A38,'Données projet'!$A$61:$I$81,6,0)),0%,VLOOKUP(A38,'Données projet'!$A$61:$I$81,6,0)*VLOOKUP('Données projet'!$B$10,Paramètres!$A$1:$I$88,7,0))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projet'!$B$10,Paramètres!$A$1:$I$88,3,0)*0.475*44/12</f>
        <v>#N/A</v>
      </c>
      <c r="AV38" s="23" t="e">
        <f>EXP(-LN(2)/25)*AV37+(1-EXP(-LN(2)/25))/(LN(2)/25)*Calculateur!AQ38*Calculateur!AS38*VLOOKUP('Données projet'!$B$10,Paramètres!$A$1:$I$88,3,0)*0.475*44/12</f>
        <v>#N/A</v>
      </c>
      <c r="AW38" s="23" t="e">
        <f>EXP(-LN(2)/2)*AW37+(1-EXP(-LN(2)/2))/(LN(2)/2)*AQ38*AT38*VLOOKUP('Données projet'!$B$10,Paramètres!$A$1:$I$88,3,0)*0.475*44/12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projet'!$B$11,Paramètres!$A$1:$I$88,3,0)*VLOOKUP('Données projet'!$B$11,Paramètres!$A$1:$I$88,5,0)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projet'!$B$11,Paramètres!$A$1:$I$88,7,0))</f>
        <v>0</v>
      </c>
      <c r="BN38" s="17">
        <f>IF(ISNA(VLOOKUP(A38,'Données projet'!$A$87:$I$107,6,0)),0%,VLOOKUP(A38,'Données projet'!$A$87:$I$107,6,0)*VLOOKUP('Données projet'!$B$11,Paramètres!$A$1:$I$88,7,0))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projet'!$B$11,Paramètres!$A$1:$I$88,3,0)*0.475*44/12</f>
        <v>#N/A</v>
      </c>
      <c r="BQ38" s="23" t="e">
        <f>EXP(-LN(2)/25)*BQ37+(1-EXP(-LN(2)/25))/(LN(2)/25)*Calculateur!BL38*Calculateur!BN38*VLOOKUP('Données projet'!$B$11,Paramètres!$A$1:$I$88,3,0)*0.475*44/12</f>
        <v>#N/A</v>
      </c>
      <c r="BR38" s="23" t="e">
        <f>EXP(-LN(2)/2)*BR37+(1-EXP(-LN(2)/2))/(LN(2)/2)*BL38*BO38*VLOOKUP('Données projet'!$B$11,Paramètres!$A$1:$I$88,3,0)*0.475*44/12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projet'!$B$12,Paramètres!$A$1:$I$88,3,0)*VLOOKUP('Données projet'!$B$12,Paramètres!$A$1:$I$88,5,0)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projet'!$B$12,Paramètres!$A$1:$I$88,7,0))</f>
        <v>0</v>
      </c>
      <c r="CI38" s="17">
        <f>IF(ISNA(VLOOKUP(A38,'Données projet'!$A$113:$I$133,6,0)),0%,VLOOKUP(A38,'Données projet'!$A$113:$I$133,6,0)*VLOOKUP('Données projet'!$B$12,Paramètres!$A$1:$I$88,7,0))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projet'!$B$12,Paramètres!$A$1:$I$88,3,0)*0.475*44/12</f>
        <v>#N/A</v>
      </c>
      <c r="CL38" s="23" t="e">
        <f>EXP(-LN(2)/25)*CL37+(1-EXP(-LN(2)/25))/(LN(2)/25)*Calculateur!CG38*Calculateur!CI38*VLOOKUP('Données projet'!$B$12,Paramètres!$A$1:$I$88,3,0)*0.475*44/12</f>
        <v>#N/A</v>
      </c>
      <c r="CM38" s="23" t="e">
        <f>EXP(-LN(2)/2)*CM37+(1-EXP(-LN(2)/2))/(LN(2)/2)*CG38*CJ38*VLOOKUP('Données projet'!$B$12,Paramètres!$A$1:$I$88,3,0)*0.475*44/12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projet'!$B$13,Paramètres!$A$1:$I$88,3,0)*VLOOKUP('Données projet'!$B$13,Paramètres!$A$1:$I$88,5,0)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projet'!$B$13,Paramètres!$A$1:$I$88,7,0))</f>
        <v>0</v>
      </c>
      <c r="DD38" s="17">
        <f>IF(ISNA(VLOOKUP(A38,'Données projet'!$A$139:$I$159,6,0)),0%,VLOOKUP(A38,'Données projet'!$A$139:$I$159,6,0)*VLOOKUP('Données projet'!$B$13,Paramètres!$A$1:$I$88,7,0))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projet'!$B$13,Paramètres!$A$1:$I$88,3,0)*0.475*44/12</f>
        <v>#N/A</v>
      </c>
      <c r="DG38" s="23" t="e">
        <f>EXP(-LN(2)/25)*DG37+(1-EXP(-LN(2)/25))/(LN(2)/25)*Calculateur!DB38*Calculateur!DD38*VLOOKUP('Données projet'!$B$13,Paramètres!$A$1:$I$88,3,0)*0.475*44/12</f>
        <v>#N/A</v>
      </c>
      <c r="DH38" s="23" t="e">
        <f>EXP(-LN(2)/2)*DH37+(1-EXP(-LN(2)/2))/(LN(2)/2)*DB38*DE38*VLOOKUP('Données projet'!$B$13,Paramètres!$A$1:$I$88,3,0)*0.475*44/12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projet'!$B$14,Paramètres!$A$1:$I$88,3,0)*VLOOKUP('Données projet'!$B$14,Paramètres!$A$1:$I$88,5,0)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projet'!$B$14,Paramètres!$A$1:$I$88,7,0))</f>
        <v>0</v>
      </c>
      <c r="DY38" s="17">
        <f>IF(ISNA(VLOOKUP(A38,'Données projet'!$A$165:$I$185,6,0)),0%,VLOOKUP(A38,'Données projet'!$A$165:$I$185,6,0)*VLOOKUP('Données projet'!$B$14,Paramètres!$A$1:$I$88,7,0))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projet'!$B$14,Paramètres!$A$1:$I$88,3,0)*0.475*44/12</f>
        <v>#N/A</v>
      </c>
      <c r="EB38" s="23" t="e">
        <f>EXP(-LN(2)/25)*EB37+(1-EXP(-LN(2)/25))/(LN(2)/25)*Calculateur!DW38*Calculateur!DY38*VLOOKUP('Données projet'!$B$14,Paramètres!$A$1:$I$88,3,0)*0.475*44/12</f>
        <v>#N/A</v>
      </c>
      <c r="EC38" s="23" t="e">
        <f>EXP(-LN(2)/2)*EC37+(1-EXP(-LN(2)/2))/(LN(2)/2)*DW38*DZ38*VLOOKUP('Données projet'!$B$14,Paramètres!$A$1:$I$88,3,0)*0.475*44/12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projet'!$B$15,Paramètres!$A$1:$I$88,3,0)*VLOOKUP('Données projet'!$B$15,Paramètres!$A$1:$I$88,5,0)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projet'!$B$15,Paramètres!$A$1:$I$88,7,0))</f>
        <v>0</v>
      </c>
      <c r="ET38" s="17">
        <f>IF(ISNA(VLOOKUP(A38,'Données projet'!$A$191:$I$211,6,0)),0%,VLOOKUP(A38,'Données projet'!$A$191:$I$211,6,0)*VLOOKUP('Données projet'!$B$15,Paramètres!$A$1:$I$88,7,0))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projet'!$B$15,Paramètres!$A$1:$I$88,3,0)*0.475*44/12</f>
        <v>#N/A</v>
      </c>
      <c r="EW38" s="23" t="e">
        <f>EXP(-LN(2)/25)*EW37+(1-EXP(-LN(2)/25))/(LN(2)/25)*Calculateur!ER38*Calculateur!ET38*VLOOKUP('Données projet'!$B$15,Paramètres!$A$1:$I$88,3,0)*0.475*44/12</f>
        <v>#N/A</v>
      </c>
      <c r="EX38" s="23" t="e">
        <f>EXP(-LN(2)/2)*EX37+(1-EXP(-LN(2)/2))/(LN(2)/2)*ER38*EU38*VLOOKUP('Données projet'!$B$15,Paramètres!$A$1:$I$88,3,0)*0.475*44/12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projet'!$B$16,Paramètres!$A$1:$I$88,3,0)*VLOOKUP('Données projet'!$B$16,Paramètres!$A$1:$I$88,5,0)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projet'!$B$16,Paramètres!$A$1:$I$88,7,0))</f>
        <v>0</v>
      </c>
      <c r="FO38" s="17">
        <f>IF(ISNA(VLOOKUP(A38,'Données projet'!$A$217:$I$237,6,0)),0%,VLOOKUP(A38,'Données projet'!$A$217:$I$237,6,0)*VLOOKUP('Données projet'!$B$16,Paramètres!$A$1:$I$88,7,0))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projet'!$B$16,Paramètres!$A$1:$I$88,3,0)*0.475*44/12</f>
        <v>#N/A</v>
      </c>
      <c r="FR38" s="23" t="e">
        <f>EXP(-LN(2)/25)*FR37+(1-EXP(-LN(2)/25))/(LN(2)/25)*Calculateur!FM38*Calculateur!FO38*VLOOKUP('Données projet'!$B$16,Paramètres!$A$1:$I$88,3,0)*0.475*44/12</f>
        <v>#N/A</v>
      </c>
      <c r="FS38" s="23" t="e">
        <f>EXP(-LN(2)/2)*FS37+(1-EXP(-LN(2)/2))/(LN(2)/2)*FM38*FP38*VLOOKUP('Données projet'!$B$16,Paramètres!$A$1:$I$88,3,0)*0.475*44/12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projet'!$B$17,Paramètres!$A$1:$I$88,3,0)*VLOOKUP('Données projet'!$B$17,Paramètres!$A$1:$I$88,5,0)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projet'!$B$17,Paramètres!$A$1:$I$88,7,0))</f>
        <v>0</v>
      </c>
      <c r="GJ38" s="17">
        <f>IF(ISNA(VLOOKUP(A38,'Données projet'!$A$243:$I$263,6,0)),0%,VLOOKUP(A38,'Données projet'!$A$243:$I$263,6,0)*VLOOKUP('Données projet'!$B$17,Paramètres!$A$1:$I$88,7,0))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projet'!$B$17,Paramètres!$A$1:$I$88,3,0)*0.475*44/12</f>
        <v>#N/A</v>
      </c>
      <c r="GM38" s="23" t="e">
        <f>EXP(-LN(2)/25)*GM37+(1-EXP(-LN(2)/25))/(LN(2)/25)*Calculateur!GH38*Calculateur!GJ38*VLOOKUP('Données projet'!$B$17,Paramètres!$A$1:$I$88,3,0)*0.475*44/12</f>
        <v>#N/A</v>
      </c>
      <c r="GN38" s="23" t="e">
        <f>EXP(-LN(2)/2)*GN37+(1-EXP(-LN(2)/2))/(LN(2)/2)*GH38*GK38*VLOOKUP('Données projet'!$B$17,Paramètres!$A$1:$I$88,3,0)*0.475*44/12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projet'!$B$18,Paramètres!$A$1:$I$88,3,0)*VLOOKUP('Données projet'!$B$18,Paramètres!$A$1:$I$88,5,0)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projet'!$B$18,Paramètres!$A$1:$I$88,7,0))</f>
        <v>0</v>
      </c>
      <c r="HE38" s="17">
        <f>IF(ISNA(VLOOKUP(A38,'Données projet'!$A$269:$I$289,6,0)),0%,VLOOKUP(A38,'Données projet'!$A$269:$I$289,6,0)*VLOOKUP('Données projet'!$B$18,Paramètres!$A$1:$I$88,7,0))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projet'!$B$18,Paramètres!$A$1:$I$88,3,0)*0.475*44/12</f>
        <v>#N/A</v>
      </c>
      <c r="HH38" s="23" t="e">
        <f>EXP(-LN(2)/25)*HH37+(1-EXP(-LN(2)/25))/(LN(2)/25)*Calculateur!HC38*Calculateur!HE38*VLOOKUP('Données projet'!$B$18,Paramètres!$A$1:$I$88,3,0)*0.475*44/12</f>
        <v>#N/A</v>
      </c>
      <c r="HI38" s="23" t="e">
        <f>EXP(-LN(2)/2)*HI37+(1-EXP(-LN(2)/2))/(LN(2)/2)*HC38*HF38*VLOOKUP('Données projet'!$B$18,Paramètres!$A$1:$I$88,3,0)*0.475*44/12</f>
        <v>#N/A</v>
      </c>
      <c r="HJ38" s="24" t="e">
        <f t="shared" si="30"/>
        <v>#N/A</v>
      </c>
    </row>
    <row r="39" spans="1:218" s="5" customFormat="1" x14ac:dyDescent="0.3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19.714285714285715</v>
      </c>
      <c r="N39" s="14">
        <f>IF('Données projet'!$A$36&gt;35,N38+M39-V38,IF(A39&lt;'Données projet'!$A$36,$K$205^A39,IF(A39='Données projet'!$A$36,'Données projet'!$B$36,N38+M39-V38)))</f>
        <v>331.85714285714295</v>
      </c>
      <c r="O39" s="14">
        <f>N39*VLOOKUP('Données projet'!$B$9,Paramètres!$A$1:$I$88,3,0)*VLOOKUP('Données projet'!$B$9,Paramètres!$A$1:$I$88,5,0)</f>
        <v>185.5081428571429</v>
      </c>
      <c r="P39" s="14">
        <f t="shared" si="33"/>
        <v>46.545488425938196</v>
      </c>
      <c r="Q39" s="22">
        <f t="shared" si="53"/>
        <v>404.16007448469958</v>
      </c>
      <c r="R39" s="62">
        <f t="shared" si="0"/>
        <v>648.67249272573395</v>
      </c>
      <c r="S39" s="62">
        <f ca="1">AVERAGE(OFFSET($R$3,0,0,'Données projet'!$E$9+1,1))-AVERAGE(OFFSET($H$3,0,0,'Données projet'!$E$9+1,1))</f>
        <v>367.03450586441784</v>
      </c>
      <c r="T39" s="62">
        <f t="shared" si="34"/>
        <v>413.14502442862897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projet'!$B$9,Paramètres!$A$1:$I$88,7,0))</f>
        <v>0</v>
      </c>
      <c r="X39" s="17">
        <f>IF(ISNA(VLOOKUP(A39,'Données projet'!$A$35:$I$55,6,0)),0%,VLOOKUP(A39,'Données projet'!$A$35:$I$55,6,0)*VLOOKUP('Données projet'!$B$9,Paramètres!$A$1:$I$88,7,0))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projet'!$B$9,Paramètres!$A$1:$I$88,3,0)*0.475*44/12</f>
        <v>10.865211447755467</v>
      </c>
      <c r="AA39" s="23">
        <f>EXP(-LN(2)/25)*AA38+(1-EXP(-LN(2)/25))/(LN(2)/25)*Calculateur!V39*Calculateur!X39*VLOOKUP('Données projet'!$B$9,Paramètres!$A$1:$I$88,3,0)*0.475*44/12</f>
        <v>28.496657075419733</v>
      </c>
      <c r="AB39" s="23">
        <f>EXP(-LN(2)/2)*AB38+(1-EXP(-LN(2)/2))/(LN(2)/2)*V39*Y39*VLOOKUP('Données projet'!$B$9,Paramètres!$A$1:$I$88,3,0)*0.475*44/12</f>
        <v>0</v>
      </c>
      <c r="AC39" s="24">
        <f t="shared" si="3"/>
        <v>39.361868523175204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projet'!$B$10,Paramètres!$A$1:$I$88,3,0)*VLOOKUP('Données projet'!$B$10,Paramètres!$A$1:$I$88,5,0)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projet'!$B$10,Paramètres!$A$1:$I$88,7,0))</f>
        <v>0</v>
      </c>
      <c r="AS39" s="17">
        <f>IF(ISNA(VLOOKUP(A39,'Données projet'!$A$61:$I$81,6,0)),0%,VLOOKUP(A39,'Données projet'!$A$61:$I$81,6,0)*VLOOKUP('Données projet'!$B$10,Paramètres!$A$1:$I$88,7,0))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projet'!$B$10,Paramètres!$A$1:$I$88,3,0)*0.475*44/12</f>
        <v>#N/A</v>
      </c>
      <c r="AV39" s="23" t="e">
        <f>EXP(-LN(2)/25)*AV38+(1-EXP(-LN(2)/25))/(LN(2)/25)*Calculateur!AQ39*Calculateur!AS39*VLOOKUP('Données projet'!$B$10,Paramètres!$A$1:$I$88,3,0)*0.475*44/12</f>
        <v>#N/A</v>
      </c>
      <c r="AW39" s="23" t="e">
        <f>EXP(-LN(2)/2)*AW38+(1-EXP(-LN(2)/2))/(LN(2)/2)*AQ39*AT39*VLOOKUP('Données projet'!$B$10,Paramètres!$A$1:$I$88,3,0)*0.475*44/12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projet'!$B$11,Paramètres!$A$1:$I$88,3,0)*VLOOKUP('Données projet'!$B$11,Paramètres!$A$1:$I$88,5,0)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projet'!$B$11,Paramètres!$A$1:$I$88,7,0))</f>
        <v>0</v>
      </c>
      <c r="BN39" s="17">
        <f>IF(ISNA(VLOOKUP(A39,'Données projet'!$A$87:$I$107,6,0)),0%,VLOOKUP(A39,'Données projet'!$A$87:$I$107,6,0)*VLOOKUP('Données projet'!$B$11,Paramètres!$A$1:$I$88,7,0))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projet'!$B$11,Paramètres!$A$1:$I$88,3,0)*0.475*44/12</f>
        <v>#N/A</v>
      </c>
      <c r="BQ39" s="23" t="e">
        <f>EXP(-LN(2)/25)*BQ38+(1-EXP(-LN(2)/25))/(LN(2)/25)*Calculateur!BL39*Calculateur!BN39*VLOOKUP('Données projet'!$B$11,Paramètres!$A$1:$I$88,3,0)*0.475*44/12</f>
        <v>#N/A</v>
      </c>
      <c r="BR39" s="23" t="e">
        <f>EXP(-LN(2)/2)*BR38+(1-EXP(-LN(2)/2))/(LN(2)/2)*BL39*BO39*VLOOKUP('Données projet'!$B$11,Paramètres!$A$1:$I$88,3,0)*0.475*44/12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projet'!$B$12,Paramètres!$A$1:$I$88,3,0)*VLOOKUP('Données projet'!$B$12,Paramètres!$A$1:$I$88,5,0)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projet'!$B$12,Paramètres!$A$1:$I$88,7,0))</f>
        <v>0</v>
      </c>
      <c r="CI39" s="17">
        <f>IF(ISNA(VLOOKUP(A39,'Données projet'!$A$113:$I$133,6,0)),0%,VLOOKUP(A39,'Données projet'!$A$113:$I$133,6,0)*VLOOKUP('Données projet'!$B$12,Paramètres!$A$1:$I$88,7,0))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projet'!$B$12,Paramètres!$A$1:$I$88,3,0)*0.475*44/12</f>
        <v>#N/A</v>
      </c>
      <c r="CL39" s="23" t="e">
        <f>EXP(-LN(2)/25)*CL38+(1-EXP(-LN(2)/25))/(LN(2)/25)*Calculateur!CG39*Calculateur!CI39*VLOOKUP('Données projet'!$B$12,Paramètres!$A$1:$I$88,3,0)*0.475*44/12</f>
        <v>#N/A</v>
      </c>
      <c r="CM39" s="23" t="e">
        <f>EXP(-LN(2)/2)*CM38+(1-EXP(-LN(2)/2))/(LN(2)/2)*CG39*CJ39*VLOOKUP('Données projet'!$B$12,Paramètres!$A$1:$I$88,3,0)*0.475*44/12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projet'!$B$13,Paramètres!$A$1:$I$88,3,0)*VLOOKUP('Données projet'!$B$13,Paramètres!$A$1:$I$88,5,0)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projet'!$B$13,Paramètres!$A$1:$I$88,7,0))</f>
        <v>0</v>
      </c>
      <c r="DD39" s="17">
        <f>IF(ISNA(VLOOKUP(A39,'Données projet'!$A$139:$I$159,6,0)),0%,VLOOKUP(A39,'Données projet'!$A$139:$I$159,6,0)*VLOOKUP('Données projet'!$B$13,Paramètres!$A$1:$I$88,7,0))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projet'!$B$13,Paramètres!$A$1:$I$88,3,0)*0.475*44/12</f>
        <v>#N/A</v>
      </c>
      <c r="DG39" s="23" t="e">
        <f>EXP(-LN(2)/25)*DG38+(1-EXP(-LN(2)/25))/(LN(2)/25)*Calculateur!DB39*Calculateur!DD39*VLOOKUP('Données projet'!$B$13,Paramètres!$A$1:$I$88,3,0)*0.475*44/12</f>
        <v>#N/A</v>
      </c>
      <c r="DH39" s="23" t="e">
        <f>EXP(-LN(2)/2)*DH38+(1-EXP(-LN(2)/2))/(LN(2)/2)*DB39*DE39*VLOOKUP('Données projet'!$B$13,Paramètres!$A$1:$I$88,3,0)*0.475*44/12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projet'!$B$14,Paramètres!$A$1:$I$88,3,0)*VLOOKUP('Données projet'!$B$14,Paramètres!$A$1:$I$88,5,0)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projet'!$B$14,Paramètres!$A$1:$I$88,7,0))</f>
        <v>0</v>
      </c>
      <c r="DY39" s="17">
        <f>IF(ISNA(VLOOKUP(A39,'Données projet'!$A$165:$I$185,6,0)),0%,VLOOKUP(A39,'Données projet'!$A$165:$I$185,6,0)*VLOOKUP('Données projet'!$B$14,Paramètres!$A$1:$I$88,7,0))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projet'!$B$14,Paramètres!$A$1:$I$88,3,0)*0.475*44/12</f>
        <v>#N/A</v>
      </c>
      <c r="EB39" s="23" t="e">
        <f>EXP(-LN(2)/25)*EB38+(1-EXP(-LN(2)/25))/(LN(2)/25)*Calculateur!DW39*Calculateur!DY39*VLOOKUP('Données projet'!$B$14,Paramètres!$A$1:$I$88,3,0)*0.475*44/12</f>
        <v>#N/A</v>
      </c>
      <c r="EC39" s="23" t="e">
        <f>EXP(-LN(2)/2)*EC38+(1-EXP(-LN(2)/2))/(LN(2)/2)*DW39*DZ39*VLOOKUP('Données projet'!$B$14,Paramètres!$A$1:$I$88,3,0)*0.475*44/12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projet'!$B$15,Paramètres!$A$1:$I$88,3,0)*VLOOKUP('Données projet'!$B$15,Paramètres!$A$1:$I$88,5,0)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projet'!$B$15,Paramètres!$A$1:$I$88,7,0))</f>
        <v>0</v>
      </c>
      <c r="ET39" s="17">
        <f>IF(ISNA(VLOOKUP(A39,'Données projet'!$A$191:$I$211,6,0)),0%,VLOOKUP(A39,'Données projet'!$A$191:$I$211,6,0)*VLOOKUP('Données projet'!$B$15,Paramètres!$A$1:$I$88,7,0))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projet'!$B$15,Paramètres!$A$1:$I$88,3,0)*0.475*44/12</f>
        <v>#N/A</v>
      </c>
      <c r="EW39" s="23" t="e">
        <f>EXP(-LN(2)/25)*EW38+(1-EXP(-LN(2)/25))/(LN(2)/25)*Calculateur!ER39*Calculateur!ET39*VLOOKUP('Données projet'!$B$15,Paramètres!$A$1:$I$88,3,0)*0.475*44/12</f>
        <v>#N/A</v>
      </c>
      <c r="EX39" s="23" t="e">
        <f>EXP(-LN(2)/2)*EX38+(1-EXP(-LN(2)/2))/(LN(2)/2)*ER39*EU39*VLOOKUP('Données projet'!$B$15,Paramètres!$A$1:$I$88,3,0)*0.475*44/12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projet'!$B$16,Paramètres!$A$1:$I$88,3,0)*VLOOKUP('Données projet'!$B$16,Paramètres!$A$1:$I$88,5,0)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projet'!$B$16,Paramètres!$A$1:$I$88,7,0))</f>
        <v>0</v>
      </c>
      <c r="FO39" s="17">
        <f>IF(ISNA(VLOOKUP(A39,'Données projet'!$A$217:$I$237,6,0)),0%,VLOOKUP(A39,'Données projet'!$A$217:$I$237,6,0)*VLOOKUP('Données projet'!$B$16,Paramètres!$A$1:$I$88,7,0))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projet'!$B$16,Paramètres!$A$1:$I$88,3,0)*0.475*44/12</f>
        <v>#N/A</v>
      </c>
      <c r="FR39" s="23" t="e">
        <f>EXP(-LN(2)/25)*FR38+(1-EXP(-LN(2)/25))/(LN(2)/25)*Calculateur!FM39*Calculateur!FO39*VLOOKUP('Données projet'!$B$16,Paramètres!$A$1:$I$88,3,0)*0.475*44/12</f>
        <v>#N/A</v>
      </c>
      <c r="FS39" s="23" t="e">
        <f>EXP(-LN(2)/2)*FS38+(1-EXP(-LN(2)/2))/(LN(2)/2)*FM39*FP39*VLOOKUP('Données projet'!$B$16,Paramètres!$A$1:$I$88,3,0)*0.475*44/12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projet'!$B$17,Paramètres!$A$1:$I$88,3,0)*VLOOKUP('Données projet'!$B$17,Paramètres!$A$1:$I$88,5,0)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projet'!$B$17,Paramètres!$A$1:$I$88,7,0))</f>
        <v>0</v>
      </c>
      <c r="GJ39" s="17">
        <f>IF(ISNA(VLOOKUP(A39,'Données projet'!$A$243:$I$263,6,0)),0%,VLOOKUP(A39,'Données projet'!$A$243:$I$263,6,0)*VLOOKUP('Données projet'!$B$17,Paramètres!$A$1:$I$88,7,0))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projet'!$B$17,Paramètres!$A$1:$I$88,3,0)*0.475*44/12</f>
        <v>#N/A</v>
      </c>
      <c r="GM39" s="23" t="e">
        <f>EXP(-LN(2)/25)*GM38+(1-EXP(-LN(2)/25))/(LN(2)/25)*Calculateur!GH39*Calculateur!GJ39*VLOOKUP('Données projet'!$B$17,Paramètres!$A$1:$I$88,3,0)*0.475*44/12</f>
        <v>#N/A</v>
      </c>
      <c r="GN39" s="23" t="e">
        <f>EXP(-LN(2)/2)*GN38+(1-EXP(-LN(2)/2))/(LN(2)/2)*GH39*GK39*VLOOKUP('Données projet'!$B$17,Paramètres!$A$1:$I$88,3,0)*0.475*44/12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projet'!$B$18,Paramètres!$A$1:$I$88,3,0)*VLOOKUP('Données projet'!$B$18,Paramètres!$A$1:$I$88,5,0)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projet'!$B$18,Paramètres!$A$1:$I$88,7,0))</f>
        <v>0</v>
      </c>
      <c r="HE39" s="17">
        <f>IF(ISNA(VLOOKUP(A39,'Données projet'!$A$269:$I$289,6,0)),0%,VLOOKUP(A39,'Données projet'!$A$269:$I$289,6,0)*VLOOKUP('Données projet'!$B$18,Paramètres!$A$1:$I$88,7,0))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projet'!$B$18,Paramètres!$A$1:$I$88,3,0)*0.475*44/12</f>
        <v>#N/A</v>
      </c>
      <c r="HH39" s="23" t="e">
        <f>EXP(-LN(2)/25)*HH38+(1-EXP(-LN(2)/25))/(LN(2)/25)*Calculateur!HC39*Calculateur!HE39*VLOOKUP('Données projet'!$B$18,Paramètres!$A$1:$I$88,3,0)*0.475*44/12</f>
        <v>#N/A</v>
      </c>
      <c r="HI39" s="23" t="e">
        <f>EXP(-LN(2)/2)*HI38+(1-EXP(-LN(2)/2))/(LN(2)/2)*HC39*HF39*VLOOKUP('Données projet'!$B$18,Paramètres!$A$1:$I$88,3,0)*0.475*44/12</f>
        <v>#N/A</v>
      </c>
      <c r="HJ39" s="24" t="e">
        <f t="shared" si="30"/>
        <v>#N/A</v>
      </c>
    </row>
    <row r="40" spans="1:218" s="5" customFormat="1" x14ac:dyDescent="0.3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19.714285714285715</v>
      </c>
      <c r="N40" s="14">
        <f>IF('Données projet'!$A$36&gt;35,N39+M40-V39,IF(A40&lt;'Données projet'!$A$36,$K$205^A40,IF(A40='Données projet'!$A$36,'Données projet'!$B$36,N39+M40-V39)))</f>
        <v>351.57142857142867</v>
      </c>
      <c r="O40" s="14">
        <f>N40*VLOOKUP('Données projet'!$B$9,Paramètres!$A$1:$I$88,3,0)*VLOOKUP('Données projet'!$B$9,Paramètres!$A$1:$I$88,5,0)</f>
        <v>196.52842857142863</v>
      </c>
      <c r="P40" s="14">
        <f t="shared" si="33"/>
        <v>48.980445625371871</v>
      </c>
      <c r="Q40" s="22">
        <f t="shared" si="53"/>
        <v>427.59462255942753</v>
      </c>
      <c r="R40" s="62">
        <f t="shared" si="0"/>
        <v>672.95397453009866</v>
      </c>
      <c r="S40" s="62">
        <f ca="1">AVERAGE(OFFSET($R$3,0,0,'Données projet'!$E$9+1,1))-AVERAGE(OFFSET($H$3,0,0,'Données projet'!$E$9+1,1))</f>
        <v>367.03450586441784</v>
      </c>
      <c r="T40" s="62">
        <f t="shared" si="34"/>
        <v>413.14502442862897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projet'!$B$9,Paramètres!$A$1:$I$88,7,0))</f>
        <v>0</v>
      </c>
      <c r="X40" s="17">
        <f>IF(ISNA(VLOOKUP(A40,'Données projet'!$A$35:$I$55,6,0)),0%,VLOOKUP(A40,'Données projet'!$A$35:$I$55,6,0)*VLOOKUP('Données projet'!$B$9,Paramètres!$A$1:$I$88,7,0))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projet'!$B$9,Paramètres!$A$1:$I$88,3,0)*0.475*44/12</f>
        <v>10.65215127838959</v>
      </c>
      <c r="AA40" s="23">
        <f>EXP(-LN(2)/25)*AA39+(1-EXP(-LN(2)/25))/(LN(2)/25)*Calculateur!V40*Calculateur!X40*VLOOKUP('Données projet'!$B$9,Paramètres!$A$1:$I$88,3,0)*0.475*44/12</f>
        <v>27.717414489118315</v>
      </c>
      <c r="AB40" s="23">
        <f>EXP(-LN(2)/2)*AB39+(1-EXP(-LN(2)/2))/(LN(2)/2)*V40*Y40*VLOOKUP('Données projet'!$B$9,Paramètres!$A$1:$I$88,3,0)*0.475*44/12</f>
        <v>0</v>
      </c>
      <c r="AC40" s="24">
        <f t="shared" si="3"/>
        <v>38.369565767507908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projet'!$B$10,Paramètres!$A$1:$I$88,3,0)*VLOOKUP('Données projet'!$B$10,Paramètres!$A$1:$I$88,5,0)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projet'!$B$10,Paramètres!$A$1:$I$88,7,0))</f>
        <v>0</v>
      </c>
      <c r="AS40" s="17">
        <f>IF(ISNA(VLOOKUP(A40,'Données projet'!$A$61:$I$81,6,0)),0%,VLOOKUP(A40,'Données projet'!$A$61:$I$81,6,0)*VLOOKUP('Données projet'!$B$10,Paramètres!$A$1:$I$88,7,0))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projet'!$B$10,Paramètres!$A$1:$I$88,3,0)*0.475*44/12</f>
        <v>#N/A</v>
      </c>
      <c r="AV40" s="23" t="e">
        <f>EXP(-LN(2)/25)*AV39+(1-EXP(-LN(2)/25))/(LN(2)/25)*Calculateur!AQ40*Calculateur!AS40*VLOOKUP('Données projet'!$B$10,Paramètres!$A$1:$I$88,3,0)*0.475*44/12</f>
        <v>#N/A</v>
      </c>
      <c r="AW40" s="23" t="e">
        <f>EXP(-LN(2)/2)*AW39+(1-EXP(-LN(2)/2))/(LN(2)/2)*AQ40*AT40*VLOOKUP('Données projet'!$B$10,Paramètres!$A$1:$I$88,3,0)*0.475*44/12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projet'!$B$11,Paramètres!$A$1:$I$88,3,0)*VLOOKUP('Données projet'!$B$11,Paramètres!$A$1:$I$88,5,0)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projet'!$B$11,Paramètres!$A$1:$I$88,7,0))</f>
        <v>0</v>
      </c>
      <c r="BN40" s="17">
        <f>IF(ISNA(VLOOKUP(A40,'Données projet'!$A$87:$I$107,6,0)),0%,VLOOKUP(A40,'Données projet'!$A$87:$I$107,6,0)*VLOOKUP('Données projet'!$B$11,Paramètres!$A$1:$I$88,7,0))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projet'!$B$11,Paramètres!$A$1:$I$88,3,0)*0.475*44/12</f>
        <v>#N/A</v>
      </c>
      <c r="BQ40" s="23" t="e">
        <f>EXP(-LN(2)/25)*BQ39+(1-EXP(-LN(2)/25))/(LN(2)/25)*Calculateur!BL40*Calculateur!BN40*VLOOKUP('Données projet'!$B$11,Paramètres!$A$1:$I$88,3,0)*0.475*44/12</f>
        <v>#N/A</v>
      </c>
      <c r="BR40" s="23" t="e">
        <f>EXP(-LN(2)/2)*BR39+(1-EXP(-LN(2)/2))/(LN(2)/2)*BL40*BO40*VLOOKUP('Données projet'!$B$11,Paramètres!$A$1:$I$88,3,0)*0.475*44/12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projet'!$B$12,Paramètres!$A$1:$I$88,3,0)*VLOOKUP('Données projet'!$B$12,Paramètres!$A$1:$I$88,5,0)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projet'!$B$12,Paramètres!$A$1:$I$88,7,0))</f>
        <v>0</v>
      </c>
      <c r="CI40" s="17">
        <f>IF(ISNA(VLOOKUP(A40,'Données projet'!$A$113:$I$133,6,0)),0%,VLOOKUP(A40,'Données projet'!$A$113:$I$133,6,0)*VLOOKUP('Données projet'!$B$12,Paramètres!$A$1:$I$88,7,0))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projet'!$B$12,Paramètres!$A$1:$I$88,3,0)*0.475*44/12</f>
        <v>#N/A</v>
      </c>
      <c r="CL40" s="23" t="e">
        <f>EXP(-LN(2)/25)*CL39+(1-EXP(-LN(2)/25))/(LN(2)/25)*Calculateur!CG40*Calculateur!CI40*VLOOKUP('Données projet'!$B$12,Paramètres!$A$1:$I$88,3,0)*0.475*44/12</f>
        <v>#N/A</v>
      </c>
      <c r="CM40" s="23" t="e">
        <f>EXP(-LN(2)/2)*CM39+(1-EXP(-LN(2)/2))/(LN(2)/2)*CG40*CJ40*VLOOKUP('Données projet'!$B$12,Paramètres!$A$1:$I$88,3,0)*0.475*44/12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projet'!$B$13,Paramètres!$A$1:$I$88,3,0)*VLOOKUP('Données projet'!$B$13,Paramètres!$A$1:$I$88,5,0)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projet'!$B$13,Paramètres!$A$1:$I$88,7,0))</f>
        <v>0</v>
      </c>
      <c r="DD40" s="17">
        <f>IF(ISNA(VLOOKUP(A40,'Données projet'!$A$139:$I$159,6,0)),0%,VLOOKUP(A40,'Données projet'!$A$139:$I$159,6,0)*VLOOKUP('Données projet'!$B$13,Paramètres!$A$1:$I$88,7,0))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projet'!$B$13,Paramètres!$A$1:$I$88,3,0)*0.475*44/12</f>
        <v>#N/A</v>
      </c>
      <c r="DG40" s="23" t="e">
        <f>EXP(-LN(2)/25)*DG39+(1-EXP(-LN(2)/25))/(LN(2)/25)*Calculateur!DB40*Calculateur!DD40*VLOOKUP('Données projet'!$B$13,Paramètres!$A$1:$I$88,3,0)*0.475*44/12</f>
        <v>#N/A</v>
      </c>
      <c r="DH40" s="23" t="e">
        <f>EXP(-LN(2)/2)*DH39+(1-EXP(-LN(2)/2))/(LN(2)/2)*DB40*DE40*VLOOKUP('Données projet'!$B$13,Paramètres!$A$1:$I$88,3,0)*0.475*44/12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projet'!$B$14,Paramètres!$A$1:$I$88,3,0)*VLOOKUP('Données projet'!$B$14,Paramètres!$A$1:$I$88,5,0)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projet'!$B$14,Paramètres!$A$1:$I$88,7,0))</f>
        <v>0</v>
      </c>
      <c r="DY40" s="17">
        <f>IF(ISNA(VLOOKUP(A40,'Données projet'!$A$165:$I$185,6,0)),0%,VLOOKUP(A40,'Données projet'!$A$165:$I$185,6,0)*VLOOKUP('Données projet'!$B$14,Paramètres!$A$1:$I$88,7,0))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projet'!$B$14,Paramètres!$A$1:$I$88,3,0)*0.475*44/12</f>
        <v>#N/A</v>
      </c>
      <c r="EB40" s="23" t="e">
        <f>EXP(-LN(2)/25)*EB39+(1-EXP(-LN(2)/25))/(LN(2)/25)*Calculateur!DW40*Calculateur!DY40*VLOOKUP('Données projet'!$B$14,Paramètres!$A$1:$I$88,3,0)*0.475*44/12</f>
        <v>#N/A</v>
      </c>
      <c r="EC40" s="23" t="e">
        <f>EXP(-LN(2)/2)*EC39+(1-EXP(-LN(2)/2))/(LN(2)/2)*DW40*DZ40*VLOOKUP('Données projet'!$B$14,Paramètres!$A$1:$I$88,3,0)*0.475*44/12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projet'!$B$15,Paramètres!$A$1:$I$88,3,0)*VLOOKUP('Données projet'!$B$15,Paramètres!$A$1:$I$88,5,0)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projet'!$B$15,Paramètres!$A$1:$I$88,7,0))</f>
        <v>0</v>
      </c>
      <c r="ET40" s="17">
        <f>IF(ISNA(VLOOKUP(A40,'Données projet'!$A$191:$I$211,6,0)),0%,VLOOKUP(A40,'Données projet'!$A$191:$I$211,6,0)*VLOOKUP('Données projet'!$B$15,Paramètres!$A$1:$I$88,7,0))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projet'!$B$15,Paramètres!$A$1:$I$88,3,0)*0.475*44/12</f>
        <v>#N/A</v>
      </c>
      <c r="EW40" s="23" t="e">
        <f>EXP(-LN(2)/25)*EW39+(1-EXP(-LN(2)/25))/(LN(2)/25)*Calculateur!ER40*Calculateur!ET40*VLOOKUP('Données projet'!$B$15,Paramètres!$A$1:$I$88,3,0)*0.475*44/12</f>
        <v>#N/A</v>
      </c>
      <c r="EX40" s="23" t="e">
        <f>EXP(-LN(2)/2)*EX39+(1-EXP(-LN(2)/2))/(LN(2)/2)*ER40*EU40*VLOOKUP('Données projet'!$B$15,Paramètres!$A$1:$I$88,3,0)*0.475*44/12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projet'!$B$16,Paramètres!$A$1:$I$88,3,0)*VLOOKUP('Données projet'!$B$16,Paramètres!$A$1:$I$88,5,0)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projet'!$B$16,Paramètres!$A$1:$I$88,7,0))</f>
        <v>0</v>
      </c>
      <c r="FO40" s="17">
        <f>IF(ISNA(VLOOKUP(A40,'Données projet'!$A$217:$I$237,6,0)),0%,VLOOKUP(A40,'Données projet'!$A$217:$I$237,6,0)*VLOOKUP('Données projet'!$B$16,Paramètres!$A$1:$I$88,7,0))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projet'!$B$16,Paramètres!$A$1:$I$88,3,0)*0.475*44/12</f>
        <v>#N/A</v>
      </c>
      <c r="FR40" s="23" t="e">
        <f>EXP(-LN(2)/25)*FR39+(1-EXP(-LN(2)/25))/(LN(2)/25)*Calculateur!FM40*Calculateur!FO40*VLOOKUP('Données projet'!$B$16,Paramètres!$A$1:$I$88,3,0)*0.475*44/12</f>
        <v>#N/A</v>
      </c>
      <c r="FS40" s="23" t="e">
        <f>EXP(-LN(2)/2)*FS39+(1-EXP(-LN(2)/2))/(LN(2)/2)*FM40*FP40*VLOOKUP('Données projet'!$B$16,Paramètres!$A$1:$I$88,3,0)*0.475*44/12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projet'!$B$17,Paramètres!$A$1:$I$88,3,0)*VLOOKUP('Données projet'!$B$17,Paramètres!$A$1:$I$88,5,0)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projet'!$B$17,Paramètres!$A$1:$I$88,7,0))</f>
        <v>0</v>
      </c>
      <c r="GJ40" s="17">
        <f>IF(ISNA(VLOOKUP(A40,'Données projet'!$A$243:$I$263,6,0)),0%,VLOOKUP(A40,'Données projet'!$A$243:$I$263,6,0)*VLOOKUP('Données projet'!$B$17,Paramètres!$A$1:$I$88,7,0))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projet'!$B$17,Paramètres!$A$1:$I$88,3,0)*0.475*44/12</f>
        <v>#N/A</v>
      </c>
      <c r="GM40" s="23" t="e">
        <f>EXP(-LN(2)/25)*GM39+(1-EXP(-LN(2)/25))/(LN(2)/25)*Calculateur!GH40*Calculateur!GJ40*VLOOKUP('Données projet'!$B$17,Paramètres!$A$1:$I$88,3,0)*0.475*44/12</f>
        <v>#N/A</v>
      </c>
      <c r="GN40" s="23" t="e">
        <f>EXP(-LN(2)/2)*GN39+(1-EXP(-LN(2)/2))/(LN(2)/2)*GH40*GK40*VLOOKUP('Données projet'!$B$17,Paramètres!$A$1:$I$88,3,0)*0.475*44/12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projet'!$B$18,Paramètres!$A$1:$I$88,3,0)*VLOOKUP('Données projet'!$B$18,Paramètres!$A$1:$I$88,5,0)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projet'!$B$18,Paramètres!$A$1:$I$88,7,0))</f>
        <v>0</v>
      </c>
      <c r="HE40" s="17">
        <f>IF(ISNA(VLOOKUP(A40,'Données projet'!$A$269:$I$289,6,0)),0%,VLOOKUP(A40,'Données projet'!$A$269:$I$289,6,0)*VLOOKUP('Données projet'!$B$18,Paramètres!$A$1:$I$88,7,0))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projet'!$B$18,Paramètres!$A$1:$I$88,3,0)*0.475*44/12</f>
        <v>#N/A</v>
      </c>
      <c r="HH40" s="23" t="e">
        <f>EXP(-LN(2)/25)*HH39+(1-EXP(-LN(2)/25))/(LN(2)/25)*Calculateur!HC40*Calculateur!HE40*VLOOKUP('Données projet'!$B$18,Paramètres!$A$1:$I$88,3,0)*0.475*44/12</f>
        <v>#N/A</v>
      </c>
      <c r="HI40" s="23" t="e">
        <f>EXP(-LN(2)/2)*HI39+(1-EXP(-LN(2)/2))/(LN(2)/2)*HC40*HF40*VLOOKUP('Données projet'!$B$18,Paramètres!$A$1:$I$88,3,0)*0.475*44/12</f>
        <v>#N/A</v>
      </c>
      <c r="HJ40" s="24" t="e">
        <f t="shared" si="30"/>
        <v>#N/A</v>
      </c>
    </row>
    <row r="41" spans="1:218" s="5" customFormat="1" x14ac:dyDescent="0.3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19.714285714285715</v>
      </c>
      <c r="N41" s="14">
        <f>IF('Données projet'!$A$36&gt;35,N40+M41-V40,IF(A41&lt;'Données projet'!$A$36,$K$205^A41,IF(A41='Données projet'!$A$36,'Données projet'!$B$36,N40+M41-V40)))</f>
        <v>371.28571428571439</v>
      </c>
      <c r="O41" s="14">
        <f>N41*VLOOKUP('Données projet'!$B$9,Paramètres!$A$1:$I$88,3,0)*VLOOKUP('Données projet'!$B$9,Paramètres!$A$1:$I$88,5,0)</f>
        <v>207.54871428571434</v>
      </c>
      <c r="P41" s="14">
        <f t="shared" si="33"/>
        <v>51.3995525965097</v>
      </c>
      <c r="Q41" s="22">
        <f t="shared" si="53"/>
        <v>451.00156481987352</v>
      </c>
      <c r="R41" s="62">
        <f t="shared" si="0"/>
        <v>697.19315811343222</v>
      </c>
      <c r="S41" s="62">
        <f ca="1">AVERAGE(OFFSET($R$3,0,0,'Données projet'!$E$9+1,1))-AVERAGE(OFFSET($H$3,0,0,'Données projet'!$E$9+1,1))</f>
        <v>367.03450586441784</v>
      </c>
      <c r="T41" s="62">
        <f t="shared" si="34"/>
        <v>413.14502442862897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projet'!$B$9,Paramètres!$A$1:$I$88,7,0))</f>
        <v>0</v>
      </c>
      <c r="X41" s="17">
        <f>IF(ISNA(VLOOKUP(A41,'Données projet'!$A$35:$I$55,6,0)),0%,VLOOKUP(A41,'Données projet'!$A$35:$I$55,6,0)*VLOOKUP('Données projet'!$B$9,Paramètres!$A$1:$I$88,7,0))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projet'!$B$9,Paramètres!$A$1:$I$88,3,0)*0.475*44/12</f>
        <v>10.443269088991109</v>
      </c>
      <c r="AA41" s="23">
        <f>EXP(-LN(2)/25)*AA40+(1-EXP(-LN(2)/25))/(LN(2)/25)*Calculateur!V41*Calculateur!X41*VLOOKUP('Données projet'!$B$9,Paramètres!$A$1:$I$88,3,0)*0.475*44/12</f>
        <v>26.959480332317895</v>
      </c>
      <c r="AB41" s="23">
        <f>EXP(-LN(2)/2)*AB40+(1-EXP(-LN(2)/2))/(LN(2)/2)*V41*Y41*VLOOKUP('Données projet'!$B$9,Paramètres!$A$1:$I$88,3,0)*0.475*44/12</f>
        <v>0</v>
      </c>
      <c r="AC41" s="24">
        <f t="shared" si="3"/>
        <v>37.402749421309004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projet'!$B$10,Paramètres!$A$1:$I$88,3,0)*VLOOKUP('Données projet'!$B$10,Paramètres!$A$1:$I$88,5,0)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projet'!$B$10,Paramètres!$A$1:$I$88,7,0))</f>
        <v>0</v>
      </c>
      <c r="AS41" s="17">
        <f>IF(ISNA(VLOOKUP(A41,'Données projet'!$A$61:$I$81,6,0)),0%,VLOOKUP(A41,'Données projet'!$A$61:$I$81,6,0)*VLOOKUP('Données projet'!$B$10,Paramètres!$A$1:$I$88,7,0))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projet'!$B$10,Paramètres!$A$1:$I$88,3,0)*0.475*44/12</f>
        <v>#N/A</v>
      </c>
      <c r="AV41" s="23" t="e">
        <f>EXP(-LN(2)/25)*AV40+(1-EXP(-LN(2)/25))/(LN(2)/25)*Calculateur!AQ41*Calculateur!AS41*VLOOKUP('Données projet'!$B$10,Paramètres!$A$1:$I$88,3,0)*0.475*44/12</f>
        <v>#N/A</v>
      </c>
      <c r="AW41" s="23" t="e">
        <f>EXP(-LN(2)/2)*AW40+(1-EXP(-LN(2)/2))/(LN(2)/2)*AQ41*AT41*VLOOKUP('Données projet'!$B$10,Paramètres!$A$1:$I$88,3,0)*0.475*44/12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projet'!$B$11,Paramètres!$A$1:$I$88,3,0)*VLOOKUP('Données projet'!$B$11,Paramètres!$A$1:$I$88,5,0)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projet'!$B$11,Paramètres!$A$1:$I$88,7,0))</f>
        <v>0</v>
      </c>
      <c r="BN41" s="17">
        <f>IF(ISNA(VLOOKUP(A41,'Données projet'!$A$87:$I$107,6,0)),0%,VLOOKUP(A41,'Données projet'!$A$87:$I$107,6,0)*VLOOKUP('Données projet'!$B$11,Paramètres!$A$1:$I$88,7,0))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projet'!$B$11,Paramètres!$A$1:$I$88,3,0)*0.475*44/12</f>
        <v>#N/A</v>
      </c>
      <c r="BQ41" s="23" t="e">
        <f>EXP(-LN(2)/25)*BQ40+(1-EXP(-LN(2)/25))/(LN(2)/25)*Calculateur!BL41*Calculateur!BN41*VLOOKUP('Données projet'!$B$11,Paramètres!$A$1:$I$88,3,0)*0.475*44/12</f>
        <v>#N/A</v>
      </c>
      <c r="BR41" s="23" t="e">
        <f>EXP(-LN(2)/2)*BR40+(1-EXP(-LN(2)/2))/(LN(2)/2)*BL41*BO41*VLOOKUP('Données projet'!$B$11,Paramètres!$A$1:$I$88,3,0)*0.475*44/12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projet'!$B$12,Paramètres!$A$1:$I$88,3,0)*VLOOKUP('Données projet'!$B$12,Paramètres!$A$1:$I$88,5,0)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projet'!$B$12,Paramètres!$A$1:$I$88,7,0))</f>
        <v>0</v>
      </c>
      <c r="CI41" s="17">
        <f>IF(ISNA(VLOOKUP(A41,'Données projet'!$A$113:$I$133,6,0)),0%,VLOOKUP(A41,'Données projet'!$A$113:$I$133,6,0)*VLOOKUP('Données projet'!$B$12,Paramètres!$A$1:$I$88,7,0))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projet'!$B$12,Paramètres!$A$1:$I$88,3,0)*0.475*44/12</f>
        <v>#N/A</v>
      </c>
      <c r="CL41" s="23" t="e">
        <f>EXP(-LN(2)/25)*CL40+(1-EXP(-LN(2)/25))/(LN(2)/25)*Calculateur!CG41*Calculateur!CI41*VLOOKUP('Données projet'!$B$12,Paramètres!$A$1:$I$88,3,0)*0.475*44/12</f>
        <v>#N/A</v>
      </c>
      <c r="CM41" s="23" t="e">
        <f>EXP(-LN(2)/2)*CM40+(1-EXP(-LN(2)/2))/(LN(2)/2)*CG41*CJ41*VLOOKUP('Données projet'!$B$12,Paramètres!$A$1:$I$88,3,0)*0.475*44/12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projet'!$B$13,Paramètres!$A$1:$I$88,3,0)*VLOOKUP('Données projet'!$B$13,Paramètres!$A$1:$I$88,5,0)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projet'!$B$13,Paramètres!$A$1:$I$88,7,0))</f>
        <v>0</v>
      </c>
      <c r="DD41" s="17">
        <f>IF(ISNA(VLOOKUP(A41,'Données projet'!$A$139:$I$159,6,0)),0%,VLOOKUP(A41,'Données projet'!$A$139:$I$159,6,0)*VLOOKUP('Données projet'!$B$13,Paramètres!$A$1:$I$88,7,0))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projet'!$B$13,Paramètres!$A$1:$I$88,3,0)*0.475*44/12</f>
        <v>#N/A</v>
      </c>
      <c r="DG41" s="23" t="e">
        <f>EXP(-LN(2)/25)*DG40+(1-EXP(-LN(2)/25))/(LN(2)/25)*Calculateur!DB41*Calculateur!DD41*VLOOKUP('Données projet'!$B$13,Paramètres!$A$1:$I$88,3,0)*0.475*44/12</f>
        <v>#N/A</v>
      </c>
      <c r="DH41" s="23" t="e">
        <f>EXP(-LN(2)/2)*DH40+(1-EXP(-LN(2)/2))/(LN(2)/2)*DB41*DE41*VLOOKUP('Données projet'!$B$13,Paramètres!$A$1:$I$88,3,0)*0.475*44/12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projet'!$B$14,Paramètres!$A$1:$I$88,3,0)*VLOOKUP('Données projet'!$B$14,Paramètres!$A$1:$I$88,5,0)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projet'!$B$14,Paramètres!$A$1:$I$88,7,0))</f>
        <v>0</v>
      </c>
      <c r="DY41" s="17">
        <f>IF(ISNA(VLOOKUP(A41,'Données projet'!$A$165:$I$185,6,0)),0%,VLOOKUP(A41,'Données projet'!$A$165:$I$185,6,0)*VLOOKUP('Données projet'!$B$14,Paramètres!$A$1:$I$88,7,0))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projet'!$B$14,Paramètres!$A$1:$I$88,3,0)*0.475*44/12</f>
        <v>#N/A</v>
      </c>
      <c r="EB41" s="23" t="e">
        <f>EXP(-LN(2)/25)*EB40+(1-EXP(-LN(2)/25))/(LN(2)/25)*Calculateur!DW41*Calculateur!DY41*VLOOKUP('Données projet'!$B$14,Paramètres!$A$1:$I$88,3,0)*0.475*44/12</f>
        <v>#N/A</v>
      </c>
      <c r="EC41" s="23" t="e">
        <f>EXP(-LN(2)/2)*EC40+(1-EXP(-LN(2)/2))/(LN(2)/2)*DW41*DZ41*VLOOKUP('Données projet'!$B$14,Paramètres!$A$1:$I$88,3,0)*0.475*44/12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projet'!$B$15,Paramètres!$A$1:$I$88,3,0)*VLOOKUP('Données projet'!$B$15,Paramètres!$A$1:$I$88,5,0)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projet'!$B$15,Paramètres!$A$1:$I$88,7,0))</f>
        <v>0</v>
      </c>
      <c r="ET41" s="17">
        <f>IF(ISNA(VLOOKUP(A41,'Données projet'!$A$191:$I$211,6,0)),0%,VLOOKUP(A41,'Données projet'!$A$191:$I$211,6,0)*VLOOKUP('Données projet'!$B$15,Paramètres!$A$1:$I$88,7,0))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projet'!$B$15,Paramètres!$A$1:$I$88,3,0)*0.475*44/12</f>
        <v>#N/A</v>
      </c>
      <c r="EW41" s="23" t="e">
        <f>EXP(-LN(2)/25)*EW40+(1-EXP(-LN(2)/25))/(LN(2)/25)*Calculateur!ER41*Calculateur!ET41*VLOOKUP('Données projet'!$B$15,Paramètres!$A$1:$I$88,3,0)*0.475*44/12</f>
        <v>#N/A</v>
      </c>
      <c r="EX41" s="23" t="e">
        <f>EXP(-LN(2)/2)*EX40+(1-EXP(-LN(2)/2))/(LN(2)/2)*ER41*EU41*VLOOKUP('Données projet'!$B$15,Paramètres!$A$1:$I$88,3,0)*0.475*44/12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projet'!$B$16,Paramètres!$A$1:$I$88,3,0)*VLOOKUP('Données projet'!$B$16,Paramètres!$A$1:$I$88,5,0)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projet'!$B$16,Paramètres!$A$1:$I$88,7,0))</f>
        <v>0</v>
      </c>
      <c r="FO41" s="17">
        <f>IF(ISNA(VLOOKUP(A41,'Données projet'!$A$217:$I$237,6,0)),0%,VLOOKUP(A41,'Données projet'!$A$217:$I$237,6,0)*VLOOKUP('Données projet'!$B$16,Paramètres!$A$1:$I$88,7,0))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projet'!$B$16,Paramètres!$A$1:$I$88,3,0)*0.475*44/12</f>
        <v>#N/A</v>
      </c>
      <c r="FR41" s="23" t="e">
        <f>EXP(-LN(2)/25)*FR40+(1-EXP(-LN(2)/25))/(LN(2)/25)*Calculateur!FM41*Calculateur!FO41*VLOOKUP('Données projet'!$B$16,Paramètres!$A$1:$I$88,3,0)*0.475*44/12</f>
        <v>#N/A</v>
      </c>
      <c r="FS41" s="23" t="e">
        <f>EXP(-LN(2)/2)*FS40+(1-EXP(-LN(2)/2))/(LN(2)/2)*FM41*FP41*VLOOKUP('Données projet'!$B$16,Paramètres!$A$1:$I$88,3,0)*0.475*44/12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projet'!$B$17,Paramètres!$A$1:$I$88,3,0)*VLOOKUP('Données projet'!$B$17,Paramètres!$A$1:$I$88,5,0)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projet'!$B$17,Paramètres!$A$1:$I$88,7,0))</f>
        <v>0</v>
      </c>
      <c r="GJ41" s="17">
        <f>IF(ISNA(VLOOKUP(A41,'Données projet'!$A$243:$I$263,6,0)),0%,VLOOKUP(A41,'Données projet'!$A$243:$I$263,6,0)*VLOOKUP('Données projet'!$B$17,Paramètres!$A$1:$I$88,7,0))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projet'!$B$17,Paramètres!$A$1:$I$88,3,0)*0.475*44/12</f>
        <v>#N/A</v>
      </c>
      <c r="GM41" s="23" t="e">
        <f>EXP(-LN(2)/25)*GM40+(1-EXP(-LN(2)/25))/(LN(2)/25)*Calculateur!GH41*Calculateur!GJ41*VLOOKUP('Données projet'!$B$17,Paramètres!$A$1:$I$88,3,0)*0.475*44/12</f>
        <v>#N/A</v>
      </c>
      <c r="GN41" s="23" t="e">
        <f>EXP(-LN(2)/2)*GN40+(1-EXP(-LN(2)/2))/(LN(2)/2)*GH41*GK41*VLOOKUP('Données projet'!$B$17,Paramètres!$A$1:$I$88,3,0)*0.475*44/12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projet'!$B$18,Paramètres!$A$1:$I$88,3,0)*VLOOKUP('Données projet'!$B$18,Paramètres!$A$1:$I$88,5,0)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projet'!$B$18,Paramètres!$A$1:$I$88,7,0))</f>
        <v>0</v>
      </c>
      <c r="HE41" s="17">
        <f>IF(ISNA(VLOOKUP(A41,'Données projet'!$A$269:$I$289,6,0)),0%,VLOOKUP(A41,'Données projet'!$A$269:$I$289,6,0)*VLOOKUP('Données projet'!$B$18,Paramètres!$A$1:$I$88,7,0))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projet'!$B$18,Paramètres!$A$1:$I$88,3,0)*0.475*44/12</f>
        <v>#N/A</v>
      </c>
      <c r="HH41" s="23" t="e">
        <f>EXP(-LN(2)/25)*HH40+(1-EXP(-LN(2)/25))/(LN(2)/25)*Calculateur!HC41*Calculateur!HE41*VLOOKUP('Données projet'!$B$18,Paramètres!$A$1:$I$88,3,0)*0.475*44/12</f>
        <v>#N/A</v>
      </c>
      <c r="HI41" s="23" t="e">
        <f>EXP(-LN(2)/2)*HI40+(1-EXP(-LN(2)/2))/(LN(2)/2)*HC41*HF41*VLOOKUP('Données projet'!$B$18,Paramètres!$A$1:$I$88,3,0)*0.475*44/12</f>
        <v>#N/A</v>
      </c>
      <c r="HJ41" s="24" t="e">
        <f t="shared" si="30"/>
        <v>#N/A</v>
      </c>
    </row>
    <row r="42" spans="1:218" s="5" customFormat="1" x14ac:dyDescent="0.3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>
        <f>VLOOKUP(A42,'Données projet'!$A$35:$I$55,2,0)</f>
        <v>391</v>
      </c>
      <c r="L42" s="13">
        <f>VLOOKUP(A42,'Données projet'!$A$35:$I$55,9,0)</f>
        <v>19.714285714285715</v>
      </c>
      <c r="M42" s="13">
        <f t="array" ref="M42">INDEX(L:L,MIN(IF(ISNUMBER(L42:L238),ROW(L42:L238),"")))</f>
        <v>19.714285714285715</v>
      </c>
      <c r="N42" s="14">
        <f>IF('Données projet'!$A$36&gt;35,N41+M42-V41,IF(A42&lt;'Données projet'!$A$36,$K$205^A42,IF(A42='Données projet'!$A$36,'Données projet'!$B$36,N41+M42-V41)))</f>
        <v>391.00000000000011</v>
      </c>
      <c r="O42" s="14">
        <f>N42*VLOOKUP('Données projet'!$B$9,Paramètres!$A$1:$I$88,3,0)*VLOOKUP('Données projet'!$B$9,Paramètres!$A$1:$I$88,5,0)</f>
        <v>218.56900000000007</v>
      </c>
      <c r="P42" s="14">
        <f t="shared" si="33"/>
        <v>53.803746913464231</v>
      </c>
      <c r="Q42" s="22">
        <f t="shared" si="53"/>
        <v>474.38253420761703</v>
      </c>
      <c r="R42" s="62">
        <f t="shared" si="0"/>
        <v>721.39193129772411</v>
      </c>
      <c r="S42" s="62">
        <f ca="1">AVERAGE(OFFSET($R$3,0,0,'Données projet'!$E$9+1,1))-AVERAGE(OFFSET($H$3,0,0,'Données projet'!$E$9+1,1))</f>
        <v>367.03450586441784</v>
      </c>
      <c r="T42" s="62">
        <f t="shared" si="34"/>
        <v>413.14502442862897</v>
      </c>
      <c r="U42" s="16">
        <f>IF(ISNA(VLOOKUP(A42,'Données projet'!$A$35:$I$55,3,0)),0,VLOOKUP(A42,'Données projet'!$A$35:$I$55,3,0))</f>
        <v>3</v>
      </c>
      <c r="V42" s="16">
        <f>IF(ISNA(VLOOKUP(A42,'Données projet'!$A$35:$I$55,4,0)),0,VLOOKUP(A42,'Données projet'!$A$35:$I$55,4,0))</f>
        <v>80</v>
      </c>
      <c r="W42" s="17">
        <f>IF(ISNA(VLOOKUP(A42,'Données projet'!$A$35:$I$55,5,0)),0%,VLOOKUP(A42,'Données projet'!$A$35:$I$55,5,0)*VLOOKUP('Données projet'!$B$9,Paramètres!$A$1:$I$88,7,0))</f>
        <v>0.16500000000000001</v>
      </c>
      <c r="X42" s="17">
        <f>IF(ISNA(VLOOKUP(A42,'Données projet'!$A$35:$I$55,6,0)),0%,VLOOKUP(A42,'Données projet'!$A$35:$I$55,6,0)*VLOOKUP('Données projet'!$B$9,Paramètres!$A$1:$I$88,7,0))</f>
        <v>0.27500000000000002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projet'!$B$9,Paramètres!$A$1:$I$88,3,0)*0.475*44/12</f>
        <v>20.026936755718456</v>
      </c>
      <c r="AA42" s="23">
        <f>EXP(-LN(2)/25)*AA41+(1-EXP(-LN(2)/25))/(LN(2)/25)*Calculateur!V42*Calculateur!X42*VLOOKUP('Données projet'!$B$9,Paramètres!$A$1:$I$88,3,0)*0.475*44/12</f>
        <v>42.472126810690582</v>
      </c>
      <c r="AB42" s="23">
        <f>EXP(-LN(2)/2)*AB41+(1-EXP(-LN(2)/2))/(LN(2)/2)*V42*Y42*VLOOKUP('Données projet'!$B$9,Paramètres!$A$1:$I$88,3,0)*0.475*44/12</f>
        <v>0</v>
      </c>
      <c r="AC42" s="24">
        <f t="shared" si="3"/>
        <v>62.499063566409035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projet'!$B$10,Paramètres!$A$1:$I$88,3,0)*VLOOKUP('Données projet'!$B$10,Paramètres!$A$1:$I$88,5,0)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projet'!$B$10,Paramètres!$A$1:$I$88,7,0))</f>
        <v>0</v>
      </c>
      <c r="AS42" s="17">
        <f>IF(ISNA(VLOOKUP(A42,'Données projet'!$A$61:$I$81,6,0)),0%,VLOOKUP(A42,'Données projet'!$A$61:$I$81,6,0)*VLOOKUP('Données projet'!$B$10,Paramètres!$A$1:$I$88,7,0))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projet'!$B$10,Paramètres!$A$1:$I$88,3,0)*0.475*44/12</f>
        <v>#N/A</v>
      </c>
      <c r="AV42" s="23" t="e">
        <f>EXP(-LN(2)/25)*AV41+(1-EXP(-LN(2)/25))/(LN(2)/25)*Calculateur!AQ42*Calculateur!AS42*VLOOKUP('Données projet'!$B$10,Paramètres!$A$1:$I$88,3,0)*0.475*44/12</f>
        <v>#N/A</v>
      </c>
      <c r="AW42" s="23" t="e">
        <f>EXP(-LN(2)/2)*AW41+(1-EXP(-LN(2)/2))/(LN(2)/2)*AQ42*AT42*VLOOKUP('Données projet'!$B$10,Paramètres!$A$1:$I$88,3,0)*0.475*44/12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projet'!$B$11,Paramètres!$A$1:$I$88,3,0)*VLOOKUP('Données projet'!$B$11,Paramètres!$A$1:$I$88,5,0)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projet'!$B$11,Paramètres!$A$1:$I$88,7,0))</f>
        <v>0</v>
      </c>
      <c r="BN42" s="17">
        <f>IF(ISNA(VLOOKUP(A42,'Données projet'!$A$87:$I$107,6,0)),0%,VLOOKUP(A42,'Données projet'!$A$87:$I$107,6,0)*VLOOKUP('Données projet'!$B$11,Paramètres!$A$1:$I$88,7,0))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projet'!$B$11,Paramètres!$A$1:$I$88,3,0)*0.475*44/12</f>
        <v>#N/A</v>
      </c>
      <c r="BQ42" s="23" t="e">
        <f>EXP(-LN(2)/25)*BQ41+(1-EXP(-LN(2)/25))/(LN(2)/25)*Calculateur!BL42*Calculateur!BN42*VLOOKUP('Données projet'!$B$11,Paramètres!$A$1:$I$88,3,0)*0.475*44/12</f>
        <v>#N/A</v>
      </c>
      <c r="BR42" s="23" t="e">
        <f>EXP(-LN(2)/2)*BR41+(1-EXP(-LN(2)/2))/(LN(2)/2)*BL42*BO42*VLOOKUP('Données projet'!$B$11,Paramètres!$A$1:$I$88,3,0)*0.475*44/12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projet'!$B$12,Paramètres!$A$1:$I$88,3,0)*VLOOKUP('Données projet'!$B$12,Paramètres!$A$1:$I$88,5,0)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projet'!$B$12,Paramètres!$A$1:$I$88,7,0))</f>
        <v>0</v>
      </c>
      <c r="CI42" s="17">
        <f>IF(ISNA(VLOOKUP(A42,'Données projet'!$A$113:$I$133,6,0)),0%,VLOOKUP(A42,'Données projet'!$A$113:$I$133,6,0)*VLOOKUP('Données projet'!$B$12,Paramètres!$A$1:$I$88,7,0))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projet'!$B$12,Paramètres!$A$1:$I$88,3,0)*0.475*44/12</f>
        <v>#N/A</v>
      </c>
      <c r="CL42" s="23" t="e">
        <f>EXP(-LN(2)/25)*CL41+(1-EXP(-LN(2)/25))/(LN(2)/25)*Calculateur!CG42*Calculateur!CI42*VLOOKUP('Données projet'!$B$12,Paramètres!$A$1:$I$88,3,0)*0.475*44/12</f>
        <v>#N/A</v>
      </c>
      <c r="CM42" s="23" t="e">
        <f>EXP(-LN(2)/2)*CM41+(1-EXP(-LN(2)/2))/(LN(2)/2)*CG42*CJ42*VLOOKUP('Données projet'!$B$12,Paramètres!$A$1:$I$88,3,0)*0.475*44/12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projet'!$B$13,Paramètres!$A$1:$I$88,3,0)*VLOOKUP('Données projet'!$B$13,Paramètres!$A$1:$I$88,5,0)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projet'!$B$13,Paramètres!$A$1:$I$88,7,0))</f>
        <v>0</v>
      </c>
      <c r="DD42" s="17">
        <f>IF(ISNA(VLOOKUP(A42,'Données projet'!$A$139:$I$159,6,0)),0%,VLOOKUP(A42,'Données projet'!$A$139:$I$159,6,0)*VLOOKUP('Données projet'!$B$13,Paramètres!$A$1:$I$88,7,0))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projet'!$B$13,Paramètres!$A$1:$I$88,3,0)*0.475*44/12</f>
        <v>#N/A</v>
      </c>
      <c r="DG42" s="23" t="e">
        <f>EXP(-LN(2)/25)*DG41+(1-EXP(-LN(2)/25))/(LN(2)/25)*Calculateur!DB42*Calculateur!DD42*VLOOKUP('Données projet'!$B$13,Paramètres!$A$1:$I$88,3,0)*0.475*44/12</f>
        <v>#N/A</v>
      </c>
      <c r="DH42" s="23" t="e">
        <f>EXP(-LN(2)/2)*DH41+(1-EXP(-LN(2)/2))/(LN(2)/2)*DB42*DE42*VLOOKUP('Données projet'!$B$13,Paramètres!$A$1:$I$88,3,0)*0.475*44/12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projet'!$B$14,Paramètres!$A$1:$I$88,3,0)*VLOOKUP('Données projet'!$B$14,Paramètres!$A$1:$I$88,5,0)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projet'!$B$14,Paramètres!$A$1:$I$88,7,0))</f>
        <v>0</v>
      </c>
      <c r="DY42" s="17">
        <f>IF(ISNA(VLOOKUP(A42,'Données projet'!$A$165:$I$185,6,0)),0%,VLOOKUP(A42,'Données projet'!$A$165:$I$185,6,0)*VLOOKUP('Données projet'!$B$14,Paramètres!$A$1:$I$88,7,0))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projet'!$B$14,Paramètres!$A$1:$I$88,3,0)*0.475*44/12</f>
        <v>#N/A</v>
      </c>
      <c r="EB42" s="23" t="e">
        <f>EXP(-LN(2)/25)*EB41+(1-EXP(-LN(2)/25))/(LN(2)/25)*Calculateur!DW42*Calculateur!DY42*VLOOKUP('Données projet'!$B$14,Paramètres!$A$1:$I$88,3,0)*0.475*44/12</f>
        <v>#N/A</v>
      </c>
      <c r="EC42" s="23" t="e">
        <f>EXP(-LN(2)/2)*EC41+(1-EXP(-LN(2)/2))/(LN(2)/2)*DW42*DZ42*VLOOKUP('Données projet'!$B$14,Paramètres!$A$1:$I$88,3,0)*0.475*44/12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projet'!$B$15,Paramètres!$A$1:$I$88,3,0)*VLOOKUP('Données projet'!$B$15,Paramètres!$A$1:$I$88,5,0)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projet'!$B$15,Paramètres!$A$1:$I$88,7,0))</f>
        <v>0</v>
      </c>
      <c r="ET42" s="17">
        <f>IF(ISNA(VLOOKUP(A42,'Données projet'!$A$191:$I$211,6,0)),0%,VLOOKUP(A42,'Données projet'!$A$191:$I$211,6,0)*VLOOKUP('Données projet'!$B$15,Paramètres!$A$1:$I$88,7,0))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projet'!$B$15,Paramètres!$A$1:$I$88,3,0)*0.475*44/12</f>
        <v>#N/A</v>
      </c>
      <c r="EW42" s="23" t="e">
        <f>EXP(-LN(2)/25)*EW41+(1-EXP(-LN(2)/25))/(LN(2)/25)*Calculateur!ER42*Calculateur!ET42*VLOOKUP('Données projet'!$B$15,Paramètres!$A$1:$I$88,3,0)*0.475*44/12</f>
        <v>#N/A</v>
      </c>
      <c r="EX42" s="23" t="e">
        <f>EXP(-LN(2)/2)*EX41+(1-EXP(-LN(2)/2))/(LN(2)/2)*ER42*EU42*VLOOKUP('Données projet'!$B$15,Paramètres!$A$1:$I$88,3,0)*0.475*44/12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projet'!$B$16,Paramètres!$A$1:$I$88,3,0)*VLOOKUP('Données projet'!$B$16,Paramètres!$A$1:$I$88,5,0)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projet'!$B$16,Paramètres!$A$1:$I$88,7,0))</f>
        <v>0</v>
      </c>
      <c r="FO42" s="17">
        <f>IF(ISNA(VLOOKUP(A42,'Données projet'!$A$217:$I$237,6,0)),0%,VLOOKUP(A42,'Données projet'!$A$217:$I$237,6,0)*VLOOKUP('Données projet'!$B$16,Paramètres!$A$1:$I$88,7,0))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projet'!$B$16,Paramètres!$A$1:$I$88,3,0)*0.475*44/12</f>
        <v>#N/A</v>
      </c>
      <c r="FR42" s="23" t="e">
        <f>EXP(-LN(2)/25)*FR41+(1-EXP(-LN(2)/25))/(LN(2)/25)*Calculateur!FM42*Calculateur!FO42*VLOOKUP('Données projet'!$B$16,Paramètres!$A$1:$I$88,3,0)*0.475*44/12</f>
        <v>#N/A</v>
      </c>
      <c r="FS42" s="23" t="e">
        <f>EXP(-LN(2)/2)*FS41+(1-EXP(-LN(2)/2))/(LN(2)/2)*FM42*FP42*VLOOKUP('Données projet'!$B$16,Paramètres!$A$1:$I$88,3,0)*0.475*44/12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projet'!$B$17,Paramètres!$A$1:$I$88,3,0)*VLOOKUP('Données projet'!$B$17,Paramètres!$A$1:$I$88,5,0)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projet'!$B$17,Paramètres!$A$1:$I$88,7,0))</f>
        <v>0</v>
      </c>
      <c r="GJ42" s="17">
        <f>IF(ISNA(VLOOKUP(A42,'Données projet'!$A$243:$I$263,6,0)),0%,VLOOKUP(A42,'Données projet'!$A$243:$I$263,6,0)*VLOOKUP('Données projet'!$B$17,Paramètres!$A$1:$I$88,7,0))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projet'!$B$17,Paramètres!$A$1:$I$88,3,0)*0.475*44/12</f>
        <v>#N/A</v>
      </c>
      <c r="GM42" s="23" t="e">
        <f>EXP(-LN(2)/25)*GM41+(1-EXP(-LN(2)/25))/(LN(2)/25)*Calculateur!GH42*Calculateur!GJ42*VLOOKUP('Données projet'!$B$17,Paramètres!$A$1:$I$88,3,0)*0.475*44/12</f>
        <v>#N/A</v>
      </c>
      <c r="GN42" s="23" t="e">
        <f>EXP(-LN(2)/2)*GN41+(1-EXP(-LN(2)/2))/(LN(2)/2)*GH42*GK42*VLOOKUP('Données projet'!$B$17,Paramètres!$A$1:$I$88,3,0)*0.475*44/12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projet'!$B$18,Paramètres!$A$1:$I$88,3,0)*VLOOKUP('Données projet'!$B$18,Paramètres!$A$1:$I$88,5,0)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projet'!$B$18,Paramètres!$A$1:$I$88,7,0))</f>
        <v>0</v>
      </c>
      <c r="HE42" s="17">
        <f>IF(ISNA(VLOOKUP(A42,'Données projet'!$A$269:$I$289,6,0)),0%,VLOOKUP(A42,'Données projet'!$A$269:$I$289,6,0)*VLOOKUP('Données projet'!$B$18,Paramètres!$A$1:$I$88,7,0))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projet'!$B$18,Paramètres!$A$1:$I$88,3,0)*0.475*44/12</f>
        <v>#N/A</v>
      </c>
      <c r="HH42" s="23" t="e">
        <f>EXP(-LN(2)/25)*HH41+(1-EXP(-LN(2)/25))/(LN(2)/25)*Calculateur!HC42*Calculateur!HE42*VLOOKUP('Données projet'!$B$18,Paramètres!$A$1:$I$88,3,0)*0.475*44/12</f>
        <v>#N/A</v>
      </c>
      <c r="HI42" s="23" t="e">
        <f>EXP(-LN(2)/2)*HI41+(1-EXP(-LN(2)/2))/(LN(2)/2)*HC42*HF42*VLOOKUP('Données projet'!$B$18,Paramètres!$A$1:$I$88,3,0)*0.475*44/12</f>
        <v>#N/A</v>
      </c>
      <c r="HJ42" s="24" t="e">
        <f t="shared" si="30"/>
        <v>#N/A</v>
      </c>
    </row>
    <row r="43" spans="1:218" s="5" customFormat="1" x14ac:dyDescent="0.3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22.166666666666668</v>
      </c>
      <c r="N43" s="14">
        <f>IF('Données projet'!$A$36&gt;35,N42+M43-V42,IF(A43&lt;'Données projet'!$A$36,$K$205^A43,IF(A43='Données projet'!$A$36,'Données projet'!$B$36,N42+M43-V42)))</f>
        <v>333.1666666666668</v>
      </c>
      <c r="O43" s="14">
        <f>N43*VLOOKUP('Données projet'!$B$9,Paramètres!$A$1:$I$88,3,0)*VLOOKUP('Données projet'!$B$9,Paramètres!$A$1:$I$88,5,0)</f>
        <v>186.24016666666674</v>
      </c>
      <c r="P43" s="14">
        <f t="shared" si="33"/>
        <v>46.707742616854574</v>
      </c>
      <c r="Q43" s="22">
        <f t="shared" si="53"/>
        <v>405.71760866879958</v>
      </c>
      <c r="R43" s="62">
        <f t="shared" si="0"/>
        <v>653.53062248792037</v>
      </c>
      <c r="S43" s="62">
        <f ca="1">AVERAGE(OFFSET($R$3,0,0,'Données projet'!$E$9+1,1))-AVERAGE(OFFSET($H$3,0,0,'Données projet'!$E$9+1,1))</f>
        <v>367.03450586441784</v>
      </c>
      <c r="T43" s="62">
        <f t="shared" si="34"/>
        <v>413.14502442862897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projet'!$B$9,Paramètres!$A$1:$I$88,7,0))</f>
        <v>0</v>
      </c>
      <c r="X43" s="17">
        <f>IF(ISNA(VLOOKUP(A43,'Données projet'!$A$35:$I$55,6,0)),0%,VLOOKUP(A43,'Données projet'!$A$35:$I$55,6,0)*VLOOKUP('Données projet'!$B$9,Paramètres!$A$1:$I$88,7,0))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projet'!$B$9,Paramètres!$A$1:$I$88,3,0)*0.475*44/12</f>
        <v>19.634220741164086</v>
      </c>
      <c r="AA43" s="23">
        <f>EXP(-LN(2)/25)*AA42+(1-EXP(-LN(2)/25))/(LN(2)/25)*Calculateur!V43*Calculateur!X43*VLOOKUP('Données projet'!$B$9,Paramètres!$A$1:$I$88,3,0)*0.475*44/12</f>
        <v>41.310724269540174</v>
      </c>
      <c r="AB43" s="23">
        <f>EXP(-LN(2)/2)*AB42+(1-EXP(-LN(2)/2))/(LN(2)/2)*V43*Y43*VLOOKUP('Données projet'!$B$9,Paramètres!$A$1:$I$88,3,0)*0.475*44/12</f>
        <v>0</v>
      </c>
      <c r="AC43" s="24">
        <f t="shared" si="3"/>
        <v>60.944945010704259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projet'!$B$10,Paramètres!$A$1:$I$88,3,0)*VLOOKUP('Données projet'!$B$10,Paramètres!$A$1:$I$88,5,0)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projet'!$B$10,Paramètres!$A$1:$I$88,7,0))</f>
        <v>0</v>
      </c>
      <c r="AS43" s="17">
        <f>IF(ISNA(VLOOKUP(A43,'Données projet'!$A$61:$I$81,6,0)),0%,VLOOKUP(A43,'Données projet'!$A$61:$I$81,6,0)*VLOOKUP('Données projet'!$B$10,Paramètres!$A$1:$I$88,7,0))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projet'!$B$10,Paramètres!$A$1:$I$88,3,0)*0.475*44/12</f>
        <v>#N/A</v>
      </c>
      <c r="AV43" s="23" t="e">
        <f>EXP(-LN(2)/25)*AV42+(1-EXP(-LN(2)/25))/(LN(2)/25)*Calculateur!AQ43*Calculateur!AS43*VLOOKUP('Données projet'!$B$10,Paramètres!$A$1:$I$88,3,0)*0.475*44/12</f>
        <v>#N/A</v>
      </c>
      <c r="AW43" s="23" t="e">
        <f>EXP(-LN(2)/2)*AW42+(1-EXP(-LN(2)/2))/(LN(2)/2)*AQ43*AT43*VLOOKUP('Données projet'!$B$10,Paramètres!$A$1:$I$88,3,0)*0.475*44/12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projet'!$B$11,Paramètres!$A$1:$I$88,3,0)*VLOOKUP('Données projet'!$B$11,Paramètres!$A$1:$I$88,5,0)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projet'!$B$11,Paramètres!$A$1:$I$88,7,0))</f>
        <v>0</v>
      </c>
      <c r="BN43" s="17">
        <f>IF(ISNA(VLOOKUP(A43,'Données projet'!$A$87:$I$107,6,0)),0%,VLOOKUP(A43,'Données projet'!$A$87:$I$107,6,0)*VLOOKUP('Données projet'!$B$11,Paramètres!$A$1:$I$88,7,0))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projet'!$B$11,Paramètres!$A$1:$I$88,3,0)*0.475*44/12</f>
        <v>#N/A</v>
      </c>
      <c r="BQ43" s="23" t="e">
        <f>EXP(-LN(2)/25)*BQ42+(1-EXP(-LN(2)/25))/(LN(2)/25)*Calculateur!BL43*Calculateur!BN43*VLOOKUP('Données projet'!$B$11,Paramètres!$A$1:$I$88,3,0)*0.475*44/12</f>
        <v>#N/A</v>
      </c>
      <c r="BR43" s="23" t="e">
        <f>EXP(-LN(2)/2)*BR42+(1-EXP(-LN(2)/2))/(LN(2)/2)*BL43*BO43*VLOOKUP('Données projet'!$B$11,Paramètres!$A$1:$I$88,3,0)*0.475*44/12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projet'!$B$12,Paramètres!$A$1:$I$88,3,0)*VLOOKUP('Données projet'!$B$12,Paramètres!$A$1:$I$88,5,0)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projet'!$B$12,Paramètres!$A$1:$I$88,7,0))</f>
        <v>0</v>
      </c>
      <c r="CI43" s="17">
        <f>IF(ISNA(VLOOKUP(A43,'Données projet'!$A$113:$I$133,6,0)),0%,VLOOKUP(A43,'Données projet'!$A$113:$I$133,6,0)*VLOOKUP('Données projet'!$B$12,Paramètres!$A$1:$I$88,7,0))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projet'!$B$12,Paramètres!$A$1:$I$88,3,0)*0.475*44/12</f>
        <v>#N/A</v>
      </c>
      <c r="CL43" s="23" t="e">
        <f>EXP(-LN(2)/25)*CL42+(1-EXP(-LN(2)/25))/(LN(2)/25)*Calculateur!CG43*Calculateur!CI43*VLOOKUP('Données projet'!$B$12,Paramètres!$A$1:$I$88,3,0)*0.475*44/12</f>
        <v>#N/A</v>
      </c>
      <c r="CM43" s="23" t="e">
        <f>EXP(-LN(2)/2)*CM42+(1-EXP(-LN(2)/2))/(LN(2)/2)*CG43*CJ43*VLOOKUP('Données projet'!$B$12,Paramètres!$A$1:$I$88,3,0)*0.475*44/12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projet'!$B$13,Paramètres!$A$1:$I$88,3,0)*VLOOKUP('Données projet'!$B$13,Paramètres!$A$1:$I$88,5,0)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projet'!$B$13,Paramètres!$A$1:$I$88,7,0))</f>
        <v>0</v>
      </c>
      <c r="DD43" s="17">
        <f>IF(ISNA(VLOOKUP(A43,'Données projet'!$A$139:$I$159,6,0)),0%,VLOOKUP(A43,'Données projet'!$A$139:$I$159,6,0)*VLOOKUP('Données projet'!$B$13,Paramètres!$A$1:$I$88,7,0))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projet'!$B$13,Paramètres!$A$1:$I$88,3,0)*0.475*44/12</f>
        <v>#N/A</v>
      </c>
      <c r="DG43" s="23" t="e">
        <f>EXP(-LN(2)/25)*DG42+(1-EXP(-LN(2)/25))/(LN(2)/25)*Calculateur!DB43*Calculateur!DD43*VLOOKUP('Données projet'!$B$13,Paramètres!$A$1:$I$88,3,0)*0.475*44/12</f>
        <v>#N/A</v>
      </c>
      <c r="DH43" s="23" t="e">
        <f>EXP(-LN(2)/2)*DH42+(1-EXP(-LN(2)/2))/(LN(2)/2)*DB43*DE43*VLOOKUP('Données projet'!$B$13,Paramètres!$A$1:$I$88,3,0)*0.475*44/12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projet'!$B$14,Paramètres!$A$1:$I$88,3,0)*VLOOKUP('Données projet'!$B$14,Paramètres!$A$1:$I$88,5,0)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projet'!$B$14,Paramètres!$A$1:$I$88,7,0))</f>
        <v>0</v>
      </c>
      <c r="DY43" s="17">
        <f>IF(ISNA(VLOOKUP(A43,'Données projet'!$A$165:$I$185,6,0)),0%,VLOOKUP(A43,'Données projet'!$A$165:$I$185,6,0)*VLOOKUP('Données projet'!$B$14,Paramètres!$A$1:$I$88,7,0))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projet'!$B$14,Paramètres!$A$1:$I$88,3,0)*0.475*44/12</f>
        <v>#N/A</v>
      </c>
      <c r="EB43" s="23" t="e">
        <f>EXP(-LN(2)/25)*EB42+(1-EXP(-LN(2)/25))/(LN(2)/25)*Calculateur!DW43*Calculateur!DY43*VLOOKUP('Données projet'!$B$14,Paramètres!$A$1:$I$88,3,0)*0.475*44/12</f>
        <v>#N/A</v>
      </c>
      <c r="EC43" s="23" t="e">
        <f>EXP(-LN(2)/2)*EC42+(1-EXP(-LN(2)/2))/(LN(2)/2)*DW43*DZ43*VLOOKUP('Données projet'!$B$14,Paramètres!$A$1:$I$88,3,0)*0.475*44/12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projet'!$B$15,Paramètres!$A$1:$I$88,3,0)*VLOOKUP('Données projet'!$B$15,Paramètres!$A$1:$I$88,5,0)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projet'!$B$15,Paramètres!$A$1:$I$88,7,0))</f>
        <v>0</v>
      </c>
      <c r="ET43" s="17">
        <f>IF(ISNA(VLOOKUP(A43,'Données projet'!$A$191:$I$211,6,0)),0%,VLOOKUP(A43,'Données projet'!$A$191:$I$211,6,0)*VLOOKUP('Données projet'!$B$15,Paramètres!$A$1:$I$88,7,0))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projet'!$B$15,Paramètres!$A$1:$I$88,3,0)*0.475*44/12</f>
        <v>#N/A</v>
      </c>
      <c r="EW43" s="23" t="e">
        <f>EXP(-LN(2)/25)*EW42+(1-EXP(-LN(2)/25))/(LN(2)/25)*Calculateur!ER43*Calculateur!ET43*VLOOKUP('Données projet'!$B$15,Paramètres!$A$1:$I$88,3,0)*0.475*44/12</f>
        <v>#N/A</v>
      </c>
      <c r="EX43" s="23" t="e">
        <f>EXP(-LN(2)/2)*EX42+(1-EXP(-LN(2)/2))/(LN(2)/2)*ER43*EU43*VLOOKUP('Données projet'!$B$15,Paramètres!$A$1:$I$88,3,0)*0.475*44/12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projet'!$B$16,Paramètres!$A$1:$I$88,3,0)*VLOOKUP('Données projet'!$B$16,Paramètres!$A$1:$I$88,5,0)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projet'!$B$16,Paramètres!$A$1:$I$88,7,0))</f>
        <v>0</v>
      </c>
      <c r="FO43" s="17">
        <f>IF(ISNA(VLOOKUP(A43,'Données projet'!$A$217:$I$237,6,0)),0%,VLOOKUP(A43,'Données projet'!$A$217:$I$237,6,0)*VLOOKUP('Données projet'!$B$16,Paramètres!$A$1:$I$88,7,0))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projet'!$B$16,Paramètres!$A$1:$I$88,3,0)*0.475*44/12</f>
        <v>#N/A</v>
      </c>
      <c r="FR43" s="23" t="e">
        <f>EXP(-LN(2)/25)*FR42+(1-EXP(-LN(2)/25))/(LN(2)/25)*Calculateur!FM43*Calculateur!FO43*VLOOKUP('Données projet'!$B$16,Paramètres!$A$1:$I$88,3,0)*0.475*44/12</f>
        <v>#N/A</v>
      </c>
      <c r="FS43" s="23" t="e">
        <f>EXP(-LN(2)/2)*FS42+(1-EXP(-LN(2)/2))/(LN(2)/2)*FM43*FP43*VLOOKUP('Données projet'!$B$16,Paramètres!$A$1:$I$88,3,0)*0.475*44/12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projet'!$B$17,Paramètres!$A$1:$I$88,3,0)*VLOOKUP('Données projet'!$B$17,Paramètres!$A$1:$I$88,5,0)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projet'!$B$17,Paramètres!$A$1:$I$88,7,0))</f>
        <v>0</v>
      </c>
      <c r="GJ43" s="17">
        <f>IF(ISNA(VLOOKUP(A43,'Données projet'!$A$243:$I$263,6,0)),0%,VLOOKUP(A43,'Données projet'!$A$243:$I$263,6,0)*VLOOKUP('Données projet'!$B$17,Paramètres!$A$1:$I$88,7,0))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projet'!$B$17,Paramètres!$A$1:$I$88,3,0)*0.475*44/12</f>
        <v>#N/A</v>
      </c>
      <c r="GM43" s="23" t="e">
        <f>EXP(-LN(2)/25)*GM42+(1-EXP(-LN(2)/25))/(LN(2)/25)*Calculateur!GH43*Calculateur!GJ43*VLOOKUP('Données projet'!$B$17,Paramètres!$A$1:$I$88,3,0)*0.475*44/12</f>
        <v>#N/A</v>
      </c>
      <c r="GN43" s="23" t="e">
        <f>EXP(-LN(2)/2)*GN42+(1-EXP(-LN(2)/2))/(LN(2)/2)*GH43*GK43*VLOOKUP('Données projet'!$B$17,Paramètres!$A$1:$I$88,3,0)*0.475*44/12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projet'!$B$18,Paramètres!$A$1:$I$88,3,0)*VLOOKUP('Données projet'!$B$18,Paramètres!$A$1:$I$88,5,0)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projet'!$B$18,Paramètres!$A$1:$I$88,7,0))</f>
        <v>0</v>
      </c>
      <c r="HE43" s="17">
        <f>IF(ISNA(VLOOKUP(A43,'Données projet'!$A$269:$I$289,6,0)),0%,VLOOKUP(A43,'Données projet'!$A$269:$I$289,6,0)*VLOOKUP('Données projet'!$B$18,Paramètres!$A$1:$I$88,7,0))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projet'!$B$18,Paramètres!$A$1:$I$88,3,0)*0.475*44/12</f>
        <v>#N/A</v>
      </c>
      <c r="HH43" s="23" t="e">
        <f>EXP(-LN(2)/25)*HH42+(1-EXP(-LN(2)/25))/(LN(2)/25)*Calculateur!HC43*Calculateur!HE43*VLOOKUP('Données projet'!$B$18,Paramètres!$A$1:$I$88,3,0)*0.475*44/12</f>
        <v>#N/A</v>
      </c>
      <c r="HI43" s="23" t="e">
        <f>EXP(-LN(2)/2)*HI42+(1-EXP(-LN(2)/2))/(LN(2)/2)*HC43*HF43*VLOOKUP('Données projet'!$B$18,Paramètres!$A$1:$I$88,3,0)*0.475*44/12</f>
        <v>#N/A</v>
      </c>
      <c r="HJ43" s="24" t="e">
        <f t="shared" si="30"/>
        <v>#N/A</v>
      </c>
    </row>
    <row r="44" spans="1:218" s="5" customFormat="1" x14ac:dyDescent="0.3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22.166666666666668</v>
      </c>
      <c r="N44" s="14">
        <f>IF('Données projet'!$A$36&gt;35,N43+M44-V43,IF(A44&lt;'Données projet'!$A$36,$K$205^A44,IF(A44='Données projet'!$A$36,'Données projet'!$B$36,N43+M44-V43)))</f>
        <v>355.33333333333348</v>
      </c>
      <c r="O44" s="14">
        <f>N44*VLOOKUP('Données projet'!$B$9,Paramètres!$A$1:$I$88,3,0)*VLOOKUP('Données projet'!$B$9,Paramètres!$A$1:$I$88,5,0)</f>
        <v>198.63133333333343</v>
      </c>
      <c r="P44" s="14">
        <f t="shared" si="33"/>
        <v>49.443256111430259</v>
      </c>
      <c r="Q44" s="22">
        <f t="shared" si="53"/>
        <v>432.06324328296341</v>
      </c>
      <c r="R44" s="62">
        <f t="shared" si="0"/>
        <v>680.66593287746741</v>
      </c>
      <c r="S44" s="62">
        <f ca="1">AVERAGE(OFFSET($R$3,0,0,'Données projet'!$E$9+1,1))-AVERAGE(OFFSET($H$3,0,0,'Données projet'!$E$9+1,1))</f>
        <v>367.03450586441784</v>
      </c>
      <c r="T44" s="62">
        <f t="shared" si="34"/>
        <v>413.14502442862897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projet'!$B$9,Paramètres!$A$1:$I$88,7,0))</f>
        <v>0</v>
      </c>
      <c r="X44" s="17">
        <f>IF(ISNA(VLOOKUP(A44,'Données projet'!$A$35:$I$55,6,0)),0%,VLOOKUP(A44,'Données projet'!$A$35:$I$55,6,0)*VLOOKUP('Données projet'!$B$9,Paramètres!$A$1:$I$88,7,0))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projet'!$B$9,Paramètres!$A$1:$I$88,3,0)*0.475*44/12</f>
        <v>19.249205648122008</v>
      </c>
      <c r="AA44" s="23">
        <f>EXP(-LN(2)/25)*AA43+(1-EXP(-LN(2)/25))/(LN(2)/25)*Calculateur!V44*Calculateur!X44*VLOOKUP('Données projet'!$B$9,Paramètres!$A$1:$I$88,3,0)*0.475*44/12</f>
        <v>40.181080341953027</v>
      </c>
      <c r="AB44" s="23">
        <f>EXP(-LN(2)/2)*AB43+(1-EXP(-LN(2)/2))/(LN(2)/2)*V44*Y44*VLOOKUP('Données projet'!$B$9,Paramètres!$A$1:$I$88,3,0)*0.475*44/12</f>
        <v>0</v>
      </c>
      <c r="AC44" s="24">
        <f t="shared" si="3"/>
        <v>59.430285990075035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projet'!$B$10,Paramètres!$A$1:$I$88,3,0)*VLOOKUP('Données projet'!$B$10,Paramètres!$A$1:$I$88,5,0)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projet'!$B$10,Paramètres!$A$1:$I$88,7,0))</f>
        <v>0</v>
      </c>
      <c r="AS44" s="17">
        <f>IF(ISNA(VLOOKUP(A44,'Données projet'!$A$61:$I$81,6,0)),0%,VLOOKUP(A44,'Données projet'!$A$61:$I$81,6,0)*VLOOKUP('Données projet'!$B$10,Paramètres!$A$1:$I$88,7,0))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projet'!$B$10,Paramètres!$A$1:$I$88,3,0)*0.475*44/12</f>
        <v>#N/A</v>
      </c>
      <c r="AV44" s="23" t="e">
        <f>EXP(-LN(2)/25)*AV43+(1-EXP(-LN(2)/25))/(LN(2)/25)*Calculateur!AQ44*Calculateur!AS44*VLOOKUP('Données projet'!$B$10,Paramètres!$A$1:$I$88,3,0)*0.475*44/12</f>
        <v>#N/A</v>
      </c>
      <c r="AW44" s="23" t="e">
        <f>EXP(-LN(2)/2)*AW43+(1-EXP(-LN(2)/2))/(LN(2)/2)*AQ44*AT44*VLOOKUP('Données projet'!$B$10,Paramètres!$A$1:$I$88,3,0)*0.475*44/12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projet'!$B$11,Paramètres!$A$1:$I$88,3,0)*VLOOKUP('Données projet'!$B$11,Paramètres!$A$1:$I$88,5,0)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projet'!$B$11,Paramètres!$A$1:$I$88,7,0))</f>
        <v>0</v>
      </c>
      <c r="BN44" s="17">
        <f>IF(ISNA(VLOOKUP(A44,'Données projet'!$A$87:$I$107,6,0)),0%,VLOOKUP(A44,'Données projet'!$A$87:$I$107,6,0)*VLOOKUP('Données projet'!$B$11,Paramètres!$A$1:$I$88,7,0))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projet'!$B$11,Paramètres!$A$1:$I$88,3,0)*0.475*44/12</f>
        <v>#N/A</v>
      </c>
      <c r="BQ44" s="23" t="e">
        <f>EXP(-LN(2)/25)*BQ43+(1-EXP(-LN(2)/25))/(LN(2)/25)*Calculateur!BL44*Calculateur!BN44*VLOOKUP('Données projet'!$B$11,Paramètres!$A$1:$I$88,3,0)*0.475*44/12</f>
        <v>#N/A</v>
      </c>
      <c r="BR44" s="23" t="e">
        <f>EXP(-LN(2)/2)*BR43+(1-EXP(-LN(2)/2))/(LN(2)/2)*BL44*BO44*VLOOKUP('Données projet'!$B$11,Paramètres!$A$1:$I$88,3,0)*0.475*44/12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projet'!$B$12,Paramètres!$A$1:$I$88,3,0)*VLOOKUP('Données projet'!$B$12,Paramètres!$A$1:$I$88,5,0)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projet'!$B$12,Paramètres!$A$1:$I$88,7,0))</f>
        <v>0</v>
      </c>
      <c r="CI44" s="17">
        <f>IF(ISNA(VLOOKUP(A44,'Données projet'!$A$113:$I$133,6,0)),0%,VLOOKUP(A44,'Données projet'!$A$113:$I$133,6,0)*VLOOKUP('Données projet'!$B$12,Paramètres!$A$1:$I$88,7,0))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projet'!$B$12,Paramètres!$A$1:$I$88,3,0)*0.475*44/12</f>
        <v>#N/A</v>
      </c>
      <c r="CL44" s="23" t="e">
        <f>EXP(-LN(2)/25)*CL43+(1-EXP(-LN(2)/25))/(LN(2)/25)*Calculateur!CG44*Calculateur!CI44*VLOOKUP('Données projet'!$B$12,Paramètres!$A$1:$I$88,3,0)*0.475*44/12</f>
        <v>#N/A</v>
      </c>
      <c r="CM44" s="23" t="e">
        <f>EXP(-LN(2)/2)*CM43+(1-EXP(-LN(2)/2))/(LN(2)/2)*CG44*CJ44*VLOOKUP('Données projet'!$B$12,Paramètres!$A$1:$I$88,3,0)*0.475*44/12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projet'!$B$13,Paramètres!$A$1:$I$88,3,0)*VLOOKUP('Données projet'!$B$13,Paramètres!$A$1:$I$88,5,0)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projet'!$B$13,Paramètres!$A$1:$I$88,7,0))</f>
        <v>0</v>
      </c>
      <c r="DD44" s="17">
        <f>IF(ISNA(VLOOKUP(A44,'Données projet'!$A$139:$I$159,6,0)),0%,VLOOKUP(A44,'Données projet'!$A$139:$I$159,6,0)*VLOOKUP('Données projet'!$B$13,Paramètres!$A$1:$I$88,7,0))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projet'!$B$13,Paramètres!$A$1:$I$88,3,0)*0.475*44/12</f>
        <v>#N/A</v>
      </c>
      <c r="DG44" s="23" t="e">
        <f>EXP(-LN(2)/25)*DG43+(1-EXP(-LN(2)/25))/(LN(2)/25)*Calculateur!DB44*Calculateur!DD44*VLOOKUP('Données projet'!$B$13,Paramètres!$A$1:$I$88,3,0)*0.475*44/12</f>
        <v>#N/A</v>
      </c>
      <c r="DH44" s="23" t="e">
        <f>EXP(-LN(2)/2)*DH43+(1-EXP(-LN(2)/2))/(LN(2)/2)*DB44*DE44*VLOOKUP('Données projet'!$B$13,Paramètres!$A$1:$I$88,3,0)*0.475*44/12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projet'!$B$14,Paramètres!$A$1:$I$88,3,0)*VLOOKUP('Données projet'!$B$14,Paramètres!$A$1:$I$88,5,0)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projet'!$B$14,Paramètres!$A$1:$I$88,7,0))</f>
        <v>0</v>
      </c>
      <c r="DY44" s="17">
        <f>IF(ISNA(VLOOKUP(A44,'Données projet'!$A$165:$I$185,6,0)),0%,VLOOKUP(A44,'Données projet'!$A$165:$I$185,6,0)*VLOOKUP('Données projet'!$B$14,Paramètres!$A$1:$I$88,7,0))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projet'!$B$14,Paramètres!$A$1:$I$88,3,0)*0.475*44/12</f>
        <v>#N/A</v>
      </c>
      <c r="EB44" s="23" t="e">
        <f>EXP(-LN(2)/25)*EB43+(1-EXP(-LN(2)/25))/(LN(2)/25)*Calculateur!DW44*Calculateur!DY44*VLOOKUP('Données projet'!$B$14,Paramètres!$A$1:$I$88,3,0)*0.475*44/12</f>
        <v>#N/A</v>
      </c>
      <c r="EC44" s="23" t="e">
        <f>EXP(-LN(2)/2)*EC43+(1-EXP(-LN(2)/2))/(LN(2)/2)*DW44*DZ44*VLOOKUP('Données projet'!$B$14,Paramètres!$A$1:$I$88,3,0)*0.475*44/12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projet'!$B$15,Paramètres!$A$1:$I$88,3,0)*VLOOKUP('Données projet'!$B$15,Paramètres!$A$1:$I$88,5,0)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projet'!$B$15,Paramètres!$A$1:$I$88,7,0))</f>
        <v>0</v>
      </c>
      <c r="ET44" s="17">
        <f>IF(ISNA(VLOOKUP(A44,'Données projet'!$A$191:$I$211,6,0)),0%,VLOOKUP(A44,'Données projet'!$A$191:$I$211,6,0)*VLOOKUP('Données projet'!$B$15,Paramètres!$A$1:$I$88,7,0))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projet'!$B$15,Paramètres!$A$1:$I$88,3,0)*0.475*44/12</f>
        <v>#N/A</v>
      </c>
      <c r="EW44" s="23" t="e">
        <f>EXP(-LN(2)/25)*EW43+(1-EXP(-LN(2)/25))/(LN(2)/25)*Calculateur!ER44*Calculateur!ET44*VLOOKUP('Données projet'!$B$15,Paramètres!$A$1:$I$88,3,0)*0.475*44/12</f>
        <v>#N/A</v>
      </c>
      <c r="EX44" s="23" t="e">
        <f>EXP(-LN(2)/2)*EX43+(1-EXP(-LN(2)/2))/(LN(2)/2)*ER44*EU44*VLOOKUP('Données projet'!$B$15,Paramètres!$A$1:$I$88,3,0)*0.475*44/12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projet'!$B$16,Paramètres!$A$1:$I$88,3,0)*VLOOKUP('Données projet'!$B$16,Paramètres!$A$1:$I$88,5,0)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projet'!$B$16,Paramètres!$A$1:$I$88,7,0))</f>
        <v>0</v>
      </c>
      <c r="FO44" s="17">
        <f>IF(ISNA(VLOOKUP(A44,'Données projet'!$A$217:$I$237,6,0)),0%,VLOOKUP(A44,'Données projet'!$A$217:$I$237,6,0)*VLOOKUP('Données projet'!$B$16,Paramètres!$A$1:$I$88,7,0))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projet'!$B$16,Paramètres!$A$1:$I$88,3,0)*0.475*44/12</f>
        <v>#N/A</v>
      </c>
      <c r="FR44" s="23" t="e">
        <f>EXP(-LN(2)/25)*FR43+(1-EXP(-LN(2)/25))/(LN(2)/25)*Calculateur!FM44*Calculateur!FO44*VLOOKUP('Données projet'!$B$16,Paramètres!$A$1:$I$88,3,0)*0.475*44/12</f>
        <v>#N/A</v>
      </c>
      <c r="FS44" s="23" t="e">
        <f>EXP(-LN(2)/2)*FS43+(1-EXP(-LN(2)/2))/(LN(2)/2)*FM44*FP44*VLOOKUP('Données projet'!$B$16,Paramètres!$A$1:$I$88,3,0)*0.475*44/12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projet'!$B$17,Paramètres!$A$1:$I$88,3,0)*VLOOKUP('Données projet'!$B$17,Paramètres!$A$1:$I$88,5,0)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projet'!$B$17,Paramètres!$A$1:$I$88,7,0))</f>
        <v>0</v>
      </c>
      <c r="GJ44" s="17">
        <f>IF(ISNA(VLOOKUP(A44,'Données projet'!$A$243:$I$263,6,0)),0%,VLOOKUP(A44,'Données projet'!$A$243:$I$263,6,0)*VLOOKUP('Données projet'!$B$17,Paramètres!$A$1:$I$88,7,0))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projet'!$B$17,Paramètres!$A$1:$I$88,3,0)*0.475*44/12</f>
        <v>#N/A</v>
      </c>
      <c r="GM44" s="23" t="e">
        <f>EXP(-LN(2)/25)*GM43+(1-EXP(-LN(2)/25))/(LN(2)/25)*Calculateur!GH44*Calculateur!GJ44*VLOOKUP('Données projet'!$B$17,Paramètres!$A$1:$I$88,3,0)*0.475*44/12</f>
        <v>#N/A</v>
      </c>
      <c r="GN44" s="23" t="e">
        <f>EXP(-LN(2)/2)*GN43+(1-EXP(-LN(2)/2))/(LN(2)/2)*GH44*GK44*VLOOKUP('Données projet'!$B$17,Paramètres!$A$1:$I$88,3,0)*0.475*44/12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projet'!$B$18,Paramètres!$A$1:$I$88,3,0)*VLOOKUP('Données projet'!$B$18,Paramètres!$A$1:$I$88,5,0)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projet'!$B$18,Paramètres!$A$1:$I$88,7,0))</f>
        <v>0</v>
      </c>
      <c r="HE44" s="17">
        <f>IF(ISNA(VLOOKUP(A44,'Données projet'!$A$269:$I$289,6,0)),0%,VLOOKUP(A44,'Données projet'!$A$269:$I$289,6,0)*VLOOKUP('Données projet'!$B$18,Paramètres!$A$1:$I$88,7,0))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projet'!$B$18,Paramètres!$A$1:$I$88,3,0)*0.475*44/12</f>
        <v>#N/A</v>
      </c>
      <c r="HH44" s="23" t="e">
        <f>EXP(-LN(2)/25)*HH43+(1-EXP(-LN(2)/25))/(LN(2)/25)*Calculateur!HC44*Calculateur!HE44*VLOOKUP('Données projet'!$B$18,Paramètres!$A$1:$I$88,3,0)*0.475*44/12</f>
        <v>#N/A</v>
      </c>
      <c r="HI44" s="23" t="e">
        <f>EXP(-LN(2)/2)*HI43+(1-EXP(-LN(2)/2))/(LN(2)/2)*HC44*HF44*VLOOKUP('Données projet'!$B$18,Paramètres!$A$1:$I$88,3,0)*0.475*44/12</f>
        <v>#N/A</v>
      </c>
      <c r="HJ44" s="24" t="e">
        <f t="shared" si="30"/>
        <v>#N/A</v>
      </c>
    </row>
    <row r="45" spans="1:218" s="5" customFormat="1" x14ac:dyDescent="0.3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22.166666666666668</v>
      </c>
      <c r="N45" s="14">
        <f>IF('Données projet'!$A$36&gt;35,N44+M45-V44,IF(A45&lt;'Données projet'!$A$36,$K$205^A45,IF(A45='Données projet'!$A$36,'Données projet'!$B$36,N44+M45-V44)))</f>
        <v>377.50000000000017</v>
      </c>
      <c r="O45" s="14">
        <f>N45*VLOOKUP('Données projet'!$B$9,Paramètres!$A$1:$I$88,3,0)*VLOOKUP('Données projet'!$B$9,Paramètres!$A$1:$I$88,5,0)</f>
        <v>211.02250000000009</v>
      </c>
      <c r="P45" s="14">
        <f t="shared" si="33"/>
        <v>52.158964469792892</v>
      </c>
      <c r="Q45" s="22">
        <f t="shared" si="53"/>
        <v>458.37438395155618</v>
      </c>
      <c r="R45" s="62">
        <f t="shared" si="0"/>
        <v>707.75305021219094</v>
      </c>
      <c r="S45" s="62">
        <f ca="1">AVERAGE(OFFSET($R$3,0,0,'Données projet'!$E$9+1,1))-AVERAGE(OFFSET($H$3,0,0,'Données projet'!$E$9+1,1))</f>
        <v>367.03450586441784</v>
      </c>
      <c r="T45" s="62">
        <f t="shared" si="34"/>
        <v>413.14502442862897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projet'!$B$9,Paramètres!$A$1:$I$88,7,0))</f>
        <v>0</v>
      </c>
      <c r="X45" s="17">
        <f>IF(ISNA(VLOOKUP(A45,'Données projet'!$A$35:$I$55,6,0)),0%,VLOOKUP(A45,'Données projet'!$A$35:$I$55,6,0)*VLOOKUP('Données projet'!$B$9,Paramètres!$A$1:$I$88,7,0))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projet'!$B$9,Paramètres!$A$1:$I$88,3,0)*0.475*44/12</f>
        <v>18.871740466218466</v>
      </c>
      <c r="AA45" s="23">
        <f>EXP(-LN(2)/25)*AA44+(1-EXP(-LN(2)/25))/(LN(2)/25)*Calculateur!V45*Calculateur!X45*VLOOKUP('Données projet'!$B$9,Paramètres!$A$1:$I$88,3,0)*0.475*44/12</f>
        <v>39.082326586971142</v>
      </c>
      <c r="AB45" s="23">
        <f>EXP(-LN(2)/2)*AB44+(1-EXP(-LN(2)/2))/(LN(2)/2)*V45*Y45*VLOOKUP('Données projet'!$B$9,Paramètres!$A$1:$I$88,3,0)*0.475*44/12</f>
        <v>0</v>
      </c>
      <c r="AC45" s="24">
        <f t="shared" si="3"/>
        <v>57.954067053189604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projet'!$B$10,Paramètres!$A$1:$I$88,3,0)*VLOOKUP('Données projet'!$B$10,Paramètres!$A$1:$I$88,5,0)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projet'!$B$10,Paramètres!$A$1:$I$88,7,0))</f>
        <v>0</v>
      </c>
      <c r="AS45" s="17">
        <f>IF(ISNA(VLOOKUP(A45,'Données projet'!$A$61:$I$81,6,0)),0%,VLOOKUP(A45,'Données projet'!$A$61:$I$81,6,0)*VLOOKUP('Données projet'!$B$10,Paramètres!$A$1:$I$88,7,0))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projet'!$B$10,Paramètres!$A$1:$I$88,3,0)*0.475*44/12</f>
        <v>#N/A</v>
      </c>
      <c r="AV45" s="23" t="e">
        <f>EXP(-LN(2)/25)*AV44+(1-EXP(-LN(2)/25))/(LN(2)/25)*Calculateur!AQ45*Calculateur!AS45*VLOOKUP('Données projet'!$B$10,Paramètres!$A$1:$I$88,3,0)*0.475*44/12</f>
        <v>#N/A</v>
      </c>
      <c r="AW45" s="23" t="e">
        <f>EXP(-LN(2)/2)*AW44+(1-EXP(-LN(2)/2))/(LN(2)/2)*AQ45*AT45*VLOOKUP('Données projet'!$B$10,Paramètres!$A$1:$I$88,3,0)*0.475*44/12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projet'!$B$11,Paramètres!$A$1:$I$88,3,0)*VLOOKUP('Données projet'!$B$11,Paramètres!$A$1:$I$88,5,0)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projet'!$B$11,Paramètres!$A$1:$I$88,7,0))</f>
        <v>0</v>
      </c>
      <c r="BN45" s="17">
        <f>IF(ISNA(VLOOKUP(A45,'Données projet'!$A$87:$I$107,6,0)),0%,VLOOKUP(A45,'Données projet'!$A$87:$I$107,6,0)*VLOOKUP('Données projet'!$B$11,Paramètres!$A$1:$I$88,7,0))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projet'!$B$11,Paramètres!$A$1:$I$88,3,0)*0.475*44/12</f>
        <v>#N/A</v>
      </c>
      <c r="BQ45" s="23" t="e">
        <f>EXP(-LN(2)/25)*BQ44+(1-EXP(-LN(2)/25))/(LN(2)/25)*Calculateur!BL45*Calculateur!BN45*VLOOKUP('Données projet'!$B$11,Paramètres!$A$1:$I$88,3,0)*0.475*44/12</f>
        <v>#N/A</v>
      </c>
      <c r="BR45" s="23" t="e">
        <f>EXP(-LN(2)/2)*BR44+(1-EXP(-LN(2)/2))/(LN(2)/2)*BL45*BO45*VLOOKUP('Données projet'!$B$11,Paramètres!$A$1:$I$88,3,0)*0.475*44/12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projet'!$B$12,Paramètres!$A$1:$I$88,3,0)*VLOOKUP('Données projet'!$B$12,Paramètres!$A$1:$I$88,5,0)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projet'!$B$12,Paramètres!$A$1:$I$88,7,0))</f>
        <v>0</v>
      </c>
      <c r="CI45" s="17">
        <f>IF(ISNA(VLOOKUP(A45,'Données projet'!$A$113:$I$133,6,0)),0%,VLOOKUP(A45,'Données projet'!$A$113:$I$133,6,0)*VLOOKUP('Données projet'!$B$12,Paramètres!$A$1:$I$88,7,0))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projet'!$B$12,Paramètres!$A$1:$I$88,3,0)*0.475*44/12</f>
        <v>#N/A</v>
      </c>
      <c r="CL45" s="23" t="e">
        <f>EXP(-LN(2)/25)*CL44+(1-EXP(-LN(2)/25))/(LN(2)/25)*Calculateur!CG45*Calculateur!CI45*VLOOKUP('Données projet'!$B$12,Paramètres!$A$1:$I$88,3,0)*0.475*44/12</f>
        <v>#N/A</v>
      </c>
      <c r="CM45" s="23" t="e">
        <f>EXP(-LN(2)/2)*CM44+(1-EXP(-LN(2)/2))/(LN(2)/2)*CG45*CJ45*VLOOKUP('Données projet'!$B$12,Paramètres!$A$1:$I$88,3,0)*0.475*44/12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projet'!$B$13,Paramètres!$A$1:$I$88,3,0)*VLOOKUP('Données projet'!$B$13,Paramètres!$A$1:$I$88,5,0)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projet'!$B$13,Paramètres!$A$1:$I$88,7,0))</f>
        <v>0</v>
      </c>
      <c r="DD45" s="17">
        <f>IF(ISNA(VLOOKUP(A45,'Données projet'!$A$139:$I$159,6,0)),0%,VLOOKUP(A45,'Données projet'!$A$139:$I$159,6,0)*VLOOKUP('Données projet'!$B$13,Paramètres!$A$1:$I$88,7,0))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projet'!$B$13,Paramètres!$A$1:$I$88,3,0)*0.475*44/12</f>
        <v>#N/A</v>
      </c>
      <c r="DG45" s="23" t="e">
        <f>EXP(-LN(2)/25)*DG44+(1-EXP(-LN(2)/25))/(LN(2)/25)*Calculateur!DB45*Calculateur!DD45*VLOOKUP('Données projet'!$B$13,Paramètres!$A$1:$I$88,3,0)*0.475*44/12</f>
        <v>#N/A</v>
      </c>
      <c r="DH45" s="23" t="e">
        <f>EXP(-LN(2)/2)*DH44+(1-EXP(-LN(2)/2))/(LN(2)/2)*DB45*DE45*VLOOKUP('Données projet'!$B$13,Paramètres!$A$1:$I$88,3,0)*0.475*44/12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projet'!$B$14,Paramètres!$A$1:$I$88,3,0)*VLOOKUP('Données projet'!$B$14,Paramètres!$A$1:$I$88,5,0)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projet'!$B$14,Paramètres!$A$1:$I$88,7,0))</f>
        <v>0</v>
      </c>
      <c r="DY45" s="17">
        <f>IF(ISNA(VLOOKUP(A45,'Données projet'!$A$165:$I$185,6,0)),0%,VLOOKUP(A45,'Données projet'!$A$165:$I$185,6,0)*VLOOKUP('Données projet'!$B$14,Paramètres!$A$1:$I$88,7,0))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projet'!$B$14,Paramètres!$A$1:$I$88,3,0)*0.475*44/12</f>
        <v>#N/A</v>
      </c>
      <c r="EB45" s="23" t="e">
        <f>EXP(-LN(2)/25)*EB44+(1-EXP(-LN(2)/25))/(LN(2)/25)*Calculateur!DW45*Calculateur!DY45*VLOOKUP('Données projet'!$B$14,Paramètres!$A$1:$I$88,3,0)*0.475*44/12</f>
        <v>#N/A</v>
      </c>
      <c r="EC45" s="23" t="e">
        <f>EXP(-LN(2)/2)*EC44+(1-EXP(-LN(2)/2))/(LN(2)/2)*DW45*DZ45*VLOOKUP('Données projet'!$B$14,Paramètres!$A$1:$I$88,3,0)*0.475*44/12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projet'!$B$15,Paramètres!$A$1:$I$88,3,0)*VLOOKUP('Données projet'!$B$15,Paramètres!$A$1:$I$88,5,0)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projet'!$B$15,Paramètres!$A$1:$I$88,7,0))</f>
        <v>0</v>
      </c>
      <c r="ET45" s="17">
        <f>IF(ISNA(VLOOKUP(A45,'Données projet'!$A$191:$I$211,6,0)),0%,VLOOKUP(A45,'Données projet'!$A$191:$I$211,6,0)*VLOOKUP('Données projet'!$B$15,Paramètres!$A$1:$I$88,7,0))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projet'!$B$15,Paramètres!$A$1:$I$88,3,0)*0.475*44/12</f>
        <v>#N/A</v>
      </c>
      <c r="EW45" s="23" t="e">
        <f>EXP(-LN(2)/25)*EW44+(1-EXP(-LN(2)/25))/(LN(2)/25)*Calculateur!ER45*Calculateur!ET45*VLOOKUP('Données projet'!$B$15,Paramètres!$A$1:$I$88,3,0)*0.475*44/12</f>
        <v>#N/A</v>
      </c>
      <c r="EX45" s="23" t="e">
        <f>EXP(-LN(2)/2)*EX44+(1-EXP(-LN(2)/2))/(LN(2)/2)*ER45*EU45*VLOOKUP('Données projet'!$B$15,Paramètres!$A$1:$I$88,3,0)*0.475*44/12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projet'!$B$16,Paramètres!$A$1:$I$88,3,0)*VLOOKUP('Données projet'!$B$16,Paramètres!$A$1:$I$88,5,0)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projet'!$B$16,Paramètres!$A$1:$I$88,7,0))</f>
        <v>0</v>
      </c>
      <c r="FO45" s="17">
        <f>IF(ISNA(VLOOKUP(A45,'Données projet'!$A$217:$I$237,6,0)),0%,VLOOKUP(A45,'Données projet'!$A$217:$I$237,6,0)*VLOOKUP('Données projet'!$B$16,Paramètres!$A$1:$I$88,7,0))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projet'!$B$16,Paramètres!$A$1:$I$88,3,0)*0.475*44/12</f>
        <v>#N/A</v>
      </c>
      <c r="FR45" s="23" t="e">
        <f>EXP(-LN(2)/25)*FR44+(1-EXP(-LN(2)/25))/(LN(2)/25)*Calculateur!FM45*Calculateur!FO45*VLOOKUP('Données projet'!$B$16,Paramètres!$A$1:$I$88,3,0)*0.475*44/12</f>
        <v>#N/A</v>
      </c>
      <c r="FS45" s="23" t="e">
        <f>EXP(-LN(2)/2)*FS44+(1-EXP(-LN(2)/2))/(LN(2)/2)*FM45*FP45*VLOOKUP('Données projet'!$B$16,Paramètres!$A$1:$I$88,3,0)*0.475*44/12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projet'!$B$17,Paramètres!$A$1:$I$88,3,0)*VLOOKUP('Données projet'!$B$17,Paramètres!$A$1:$I$88,5,0)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projet'!$B$17,Paramètres!$A$1:$I$88,7,0))</f>
        <v>0</v>
      </c>
      <c r="GJ45" s="17">
        <f>IF(ISNA(VLOOKUP(A45,'Données projet'!$A$243:$I$263,6,0)),0%,VLOOKUP(A45,'Données projet'!$A$243:$I$263,6,0)*VLOOKUP('Données projet'!$B$17,Paramètres!$A$1:$I$88,7,0))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projet'!$B$17,Paramètres!$A$1:$I$88,3,0)*0.475*44/12</f>
        <v>#N/A</v>
      </c>
      <c r="GM45" s="23" t="e">
        <f>EXP(-LN(2)/25)*GM44+(1-EXP(-LN(2)/25))/(LN(2)/25)*Calculateur!GH45*Calculateur!GJ45*VLOOKUP('Données projet'!$B$17,Paramètres!$A$1:$I$88,3,0)*0.475*44/12</f>
        <v>#N/A</v>
      </c>
      <c r="GN45" s="23" t="e">
        <f>EXP(-LN(2)/2)*GN44+(1-EXP(-LN(2)/2))/(LN(2)/2)*GH45*GK45*VLOOKUP('Données projet'!$B$17,Paramètres!$A$1:$I$88,3,0)*0.475*44/12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projet'!$B$18,Paramètres!$A$1:$I$88,3,0)*VLOOKUP('Données projet'!$B$18,Paramètres!$A$1:$I$88,5,0)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projet'!$B$18,Paramètres!$A$1:$I$88,7,0))</f>
        <v>0</v>
      </c>
      <c r="HE45" s="17">
        <f>IF(ISNA(VLOOKUP(A45,'Données projet'!$A$269:$I$289,6,0)),0%,VLOOKUP(A45,'Données projet'!$A$269:$I$289,6,0)*VLOOKUP('Données projet'!$B$18,Paramètres!$A$1:$I$88,7,0))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projet'!$B$18,Paramètres!$A$1:$I$88,3,0)*0.475*44/12</f>
        <v>#N/A</v>
      </c>
      <c r="HH45" s="23" t="e">
        <f>EXP(-LN(2)/25)*HH44+(1-EXP(-LN(2)/25))/(LN(2)/25)*Calculateur!HC45*Calculateur!HE45*VLOOKUP('Données projet'!$B$18,Paramètres!$A$1:$I$88,3,0)*0.475*44/12</f>
        <v>#N/A</v>
      </c>
      <c r="HI45" s="23" t="e">
        <f>EXP(-LN(2)/2)*HI44+(1-EXP(-LN(2)/2))/(LN(2)/2)*HC45*HF45*VLOOKUP('Données projet'!$B$18,Paramètres!$A$1:$I$88,3,0)*0.475*44/12</f>
        <v>#N/A</v>
      </c>
      <c r="HJ45" s="24" t="e">
        <f t="shared" si="30"/>
        <v>#N/A</v>
      </c>
    </row>
    <row r="46" spans="1:218" s="5" customFormat="1" x14ac:dyDescent="0.3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22.166666666666668</v>
      </c>
      <c r="N46" s="14">
        <f>IF('Données projet'!$A$36&gt;35,N45+M46-V45,IF(A46&lt;'Données projet'!$A$36,$K$205^A46,IF(A46='Données projet'!$A$36,'Données projet'!$B$36,N45+M46-V45)))</f>
        <v>399.66666666666686</v>
      </c>
      <c r="O46" s="14">
        <f>N46*VLOOKUP('Données projet'!$B$9,Paramètres!$A$1:$I$88,3,0)*VLOOKUP('Données projet'!$B$9,Paramètres!$A$1:$I$88,5,0)</f>
        <v>223.41366666666676</v>
      </c>
      <c r="P46" s="14">
        <f t="shared" si="33"/>
        <v>54.856163114796395</v>
      </c>
      <c r="Q46" s="22">
        <f t="shared" si="53"/>
        <v>484.65328686938165</v>
      </c>
      <c r="R46" s="62">
        <f t="shared" si="0"/>
        <v>734.79446833581369</v>
      </c>
      <c r="S46" s="62">
        <f ca="1">AVERAGE(OFFSET($R$3,0,0,'Données projet'!$E$9+1,1))-AVERAGE(OFFSET($H$3,0,0,'Données projet'!$E$9+1,1))</f>
        <v>367.03450586441784</v>
      </c>
      <c r="T46" s="62">
        <f t="shared" si="34"/>
        <v>413.14502442862897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projet'!$B$9,Paramètres!$A$1:$I$88,7,0))</f>
        <v>0</v>
      </c>
      <c r="X46" s="17">
        <f>IF(ISNA(VLOOKUP(A46,'Données projet'!$A$35:$I$55,6,0)),0%,VLOOKUP(A46,'Données projet'!$A$35:$I$55,6,0)*VLOOKUP('Données projet'!$B$9,Paramètres!$A$1:$I$88,7,0))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projet'!$B$9,Paramètres!$A$1:$I$88,3,0)*0.475*44/12</f>
        <v>18.501677146301027</v>
      </c>
      <c r="AA46" s="23">
        <f>EXP(-LN(2)/25)*AA45+(1-EXP(-LN(2)/25))/(LN(2)/25)*Calculateur!V46*Calculateur!X46*VLOOKUP('Données projet'!$B$9,Paramètres!$A$1:$I$88,3,0)*0.475*44/12</f>
        <v>38.013618311200183</v>
      </c>
      <c r="AB46" s="23">
        <f>EXP(-LN(2)/2)*AB45+(1-EXP(-LN(2)/2))/(LN(2)/2)*V46*Y46*VLOOKUP('Données projet'!$B$9,Paramètres!$A$1:$I$88,3,0)*0.475*44/12</f>
        <v>0</v>
      </c>
      <c r="AC46" s="24">
        <f t="shared" si="3"/>
        <v>56.51529545750121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projet'!$B$10,Paramètres!$A$1:$I$88,3,0)*VLOOKUP('Données projet'!$B$10,Paramètres!$A$1:$I$88,5,0)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projet'!$B$10,Paramètres!$A$1:$I$88,7,0))</f>
        <v>0</v>
      </c>
      <c r="AS46" s="17">
        <f>IF(ISNA(VLOOKUP(A46,'Données projet'!$A$61:$I$81,6,0)),0%,VLOOKUP(A46,'Données projet'!$A$61:$I$81,6,0)*VLOOKUP('Données projet'!$B$10,Paramètres!$A$1:$I$88,7,0))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projet'!$B$10,Paramètres!$A$1:$I$88,3,0)*0.475*44/12</f>
        <v>#N/A</v>
      </c>
      <c r="AV46" s="23" t="e">
        <f>EXP(-LN(2)/25)*AV45+(1-EXP(-LN(2)/25))/(LN(2)/25)*Calculateur!AQ46*Calculateur!AS46*VLOOKUP('Données projet'!$B$10,Paramètres!$A$1:$I$88,3,0)*0.475*44/12</f>
        <v>#N/A</v>
      </c>
      <c r="AW46" s="23" t="e">
        <f>EXP(-LN(2)/2)*AW45+(1-EXP(-LN(2)/2))/(LN(2)/2)*AQ46*AT46*VLOOKUP('Données projet'!$B$10,Paramètres!$A$1:$I$88,3,0)*0.475*44/12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projet'!$B$11,Paramètres!$A$1:$I$88,3,0)*VLOOKUP('Données projet'!$B$11,Paramètres!$A$1:$I$88,5,0)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projet'!$B$11,Paramètres!$A$1:$I$88,7,0))</f>
        <v>0</v>
      </c>
      <c r="BN46" s="17">
        <f>IF(ISNA(VLOOKUP(A46,'Données projet'!$A$87:$I$107,6,0)),0%,VLOOKUP(A46,'Données projet'!$A$87:$I$107,6,0)*VLOOKUP('Données projet'!$B$11,Paramètres!$A$1:$I$88,7,0))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projet'!$B$11,Paramètres!$A$1:$I$88,3,0)*0.475*44/12</f>
        <v>#N/A</v>
      </c>
      <c r="BQ46" s="23" t="e">
        <f>EXP(-LN(2)/25)*BQ45+(1-EXP(-LN(2)/25))/(LN(2)/25)*Calculateur!BL46*Calculateur!BN46*VLOOKUP('Données projet'!$B$11,Paramètres!$A$1:$I$88,3,0)*0.475*44/12</f>
        <v>#N/A</v>
      </c>
      <c r="BR46" s="23" t="e">
        <f>EXP(-LN(2)/2)*BR45+(1-EXP(-LN(2)/2))/(LN(2)/2)*BL46*BO46*VLOOKUP('Données projet'!$B$11,Paramètres!$A$1:$I$88,3,0)*0.475*44/12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projet'!$B$12,Paramètres!$A$1:$I$88,3,0)*VLOOKUP('Données projet'!$B$12,Paramètres!$A$1:$I$88,5,0)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projet'!$B$12,Paramètres!$A$1:$I$88,7,0))</f>
        <v>0</v>
      </c>
      <c r="CI46" s="17">
        <f>IF(ISNA(VLOOKUP(A46,'Données projet'!$A$113:$I$133,6,0)),0%,VLOOKUP(A46,'Données projet'!$A$113:$I$133,6,0)*VLOOKUP('Données projet'!$B$12,Paramètres!$A$1:$I$88,7,0))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projet'!$B$12,Paramètres!$A$1:$I$88,3,0)*0.475*44/12</f>
        <v>#N/A</v>
      </c>
      <c r="CL46" s="23" t="e">
        <f>EXP(-LN(2)/25)*CL45+(1-EXP(-LN(2)/25))/(LN(2)/25)*Calculateur!CG46*Calculateur!CI46*VLOOKUP('Données projet'!$B$12,Paramètres!$A$1:$I$88,3,0)*0.475*44/12</f>
        <v>#N/A</v>
      </c>
      <c r="CM46" s="23" t="e">
        <f>EXP(-LN(2)/2)*CM45+(1-EXP(-LN(2)/2))/(LN(2)/2)*CG46*CJ46*VLOOKUP('Données projet'!$B$12,Paramètres!$A$1:$I$88,3,0)*0.475*44/12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projet'!$B$13,Paramètres!$A$1:$I$88,3,0)*VLOOKUP('Données projet'!$B$13,Paramètres!$A$1:$I$88,5,0)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projet'!$B$13,Paramètres!$A$1:$I$88,7,0))</f>
        <v>0</v>
      </c>
      <c r="DD46" s="17">
        <f>IF(ISNA(VLOOKUP(A46,'Données projet'!$A$139:$I$159,6,0)),0%,VLOOKUP(A46,'Données projet'!$A$139:$I$159,6,0)*VLOOKUP('Données projet'!$B$13,Paramètres!$A$1:$I$88,7,0))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projet'!$B$13,Paramètres!$A$1:$I$88,3,0)*0.475*44/12</f>
        <v>#N/A</v>
      </c>
      <c r="DG46" s="23" t="e">
        <f>EXP(-LN(2)/25)*DG45+(1-EXP(-LN(2)/25))/(LN(2)/25)*Calculateur!DB46*Calculateur!DD46*VLOOKUP('Données projet'!$B$13,Paramètres!$A$1:$I$88,3,0)*0.475*44/12</f>
        <v>#N/A</v>
      </c>
      <c r="DH46" s="23" t="e">
        <f>EXP(-LN(2)/2)*DH45+(1-EXP(-LN(2)/2))/(LN(2)/2)*DB46*DE46*VLOOKUP('Données projet'!$B$13,Paramètres!$A$1:$I$88,3,0)*0.475*44/12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projet'!$B$14,Paramètres!$A$1:$I$88,3,0)*VLOOKUP('Données projet'!$B$14,Paramètres!$A$1:$I$88,5,0)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projet'!$B$14,Paramètres!$A$1:$I$88,7,0))</f>
        <v>0</v>
      </c>
      <c r="DY46" s="17">
        <f>IF(ISNA(VLOOKUP(A46,'Données projet'!$A$165:$I$185,6,0)),0%,VLOOKUP(A46,'Données projet'!$A$165:$I$185,6,0)*VLOOKUP('Données projet'!$B$14,Paramètres!$A$1:$I$88,7,0))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projet'!$B$14,Paramètres!$A$1:$I$88,3,0)*0.475*44/12</f>
        <v>#N/A</v>
      </c>
      <c r="EB46" s="23" t="e">
        <f>EXP(-LN(2)/25)*EB45+(1-EXP(-LN(2)/25))/(LN(2)/25)*Calculateur!DW46*Calculateur!DY46*VLOOKUP('Données projet'!$B$14,Paramètres!$A$1:$I$88,3,0)*0.475*44/12</f>
        <v>#N/A</v>
      </c>
      <c r="EC46" s="23" t="e">
        <f>EXP(-LN(2)/2)*EC45+(1-EXP(-LN(2)/2))/(LN(2)/2)*DW46*DZ46*VLOOKUP('Données projet'!$B$14,Paramètres!$A$1:$I$88,3,0)*0.475*44/12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projet'!$B$15,Paramètres!$A$1:$I$88,3,0)*VLOOKUP('Données projet'!$B$15,Paramètres!$A$1:$I$88,5,0)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projet'!$B$15,Paramètres!$A$1:$I$88,7,0))</f>
        <v>0</v>
      </c>
      <c r="ET46" s="17">
        <f>IF(ISNA(VLOOKUP(A46,'Données projet'!$A$191:$I$211,6,0)),0%,VLOOKUP(A46,'Données projet'!$A$191:$I$211,6,0)*VLOOKUP('Données projet'!$B$15,Paramètres!$A$1:$I$88,7,0))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projet'!$B$15,Paramètres!$A$1:$I$88,3,0)*0.475*44/12</f>
        <v>#N/A</v>
      </c>
      <c r="EW46" s="23" t="e">
        <f>EXP(-LN(2)/25)*EW45+(1-EXP(-LN(2)/25))/(LN(2)/25)*Calculateur!ER46*Calculateur!ET46*VLOOKUP('Données projet'!$B$15,Paramètres!$A$1:$I$88,3,0)*0.475*44/12</f>
        <v>#N/A</v>
      </c>
      <c r="EX46" s="23" t="e">
        <f>EXP(-LN(2)/2)*EX45+(1-EXP(-LN(2)/2))/(LN(2)/2)*ER46*EU46*VLOOKUP('Données projet'!$B$15,Paramètres!$A$1:$I$88,3,0)*0.475*44/12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projet'!$B$16,Paramètres!$A$1:$I$88,3,0)*VLOOKUP('Données projet'!$B$16,Paramètres!$A$1:$I$88,5,0)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projet'!$B$16,Paramètres!$A$1:$I$88,7,0))</f>
        <v>0</v>
      </c>
      <c r="FO46" s="17">
        <f>IF(ISNA(VLOOKUP(A46,'Données projet'!$A$217:$I$237,6,0)),0%,VLOOKUP(A46,'Données projet'!$A$217:$I$237,6,0)*VLOOKUP('Données projet'!$B$16,Paramètres!$A$1:$I$88,7,0))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projet'!$B$16,Paramètres!$A$1:$I$88,3,0)*0.475*44/12</f>
        <v>#N/A</v>
      </c>
      <c r="FR46" s="23" t="e">
        <f>EXP(-LN(2)/25)*FR45+(1-EXP(-LN(2)/25))/(LN(2)/25)*Calculateur!FM46*Calculateur!FO46*VLOOKUP('Données projet'!$B$16,Paramètres!$A$1:$I$88,3,0)*0.475*44/12</f>
        <v>#N/A</v>
      </c>
      <c r="FS46" s="23" t="e">
        <f>EXP(-LN(2)/2)*FS45+(1-EXP(-LN(2)/2))/(LN(2)/2)*FM46*FP46*VLOOKUP('Données projet'!$B$16,Paramètres!$A$1:$I$88,3,0)*0.475*44/12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projet'!$B$17,Paramètres!$A$1:$I$88,3,0)*VLOOKUP('Données projet'!$B$17,Paramètres!$A$1:$I$88,5,0)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projet'!$B$17,Paramètres!$A$1:$I$88,7,0))</f>
        <v>0</v>
      </c>
      <c r="GJ46" s="17">
        <f>IF(ISNA(VLOOKUP(A46,'Données projet'!$A$243:$I$263,6,0)),0%,VLOOKUP(A46,'Données projet'!$A$243:$I$263,6,0)*VLOOKUP('Données projet'!$B$17,Paramètres!$A$1:$I$88,7,0))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projet'!$B$17,Paramètres!$A$1:$I$88,3,0)*0.475*44/12</f>
        <v>#N/A</v>
      </c>
      <c r="GM46" s="23" t="e">
        <f>EXP(-LN(2)/25)*GM45+(1-EXP(-LN(2)/25))/(LN(2)/25)*Calculateur!GH46*Calculateur!GJ46*VLOOKUP('Données projet'!$B$17,Paramètres!$A$1:$I$88,3,0)*0.475*44/12</f>
        <v>#N/A</v>
      </c>
      <c r="GN46" s="23" t="e">
        <f>EXP(-LN(2)/2)*GN45+(1-EXP(-LN(2)/2))/(LN(2)/2)*GH46*GK46*VLOOKUP('Données projet'!$B$17,Paramètres!$A$1:$I$88,3,0)*0.475*44/12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projet'!$B$18,Paramètres!$A$1:$I$88,3,0)*VLOOKUP('Données projet'!$B$18,Paramètres!$A$1:$I$88,5,0)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projet'!$B$18,Paramètres!$A$1:$I$88,7,0))</f>
        <v>0</v>
      </c>
      <c r="HE46" s="17">
        <f>IF(ISNA(VLOOKUP(A46,'Données projet'!$A$269:$I$289,6,0)),0%,VLOOKUP(A46,'Données projet'!$A$269:$I$289,6,0)*VLOOKUP('Données projet'!$B$18,Paramètres!$A$1:$I$88,7,0))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projet'!$B$18,Paramètres!$A$1:$I$88,3,0)*0.475*44/12</f>
        <v>#N/A</v>
      </c>
      <c r="HH46" s="23" t="e">
        <f>EXP(-LN(2)/25)*HH45+(1-EXP(-LN(2)/25))/(LN(2)/25)*Calculateur!HC46*Calculateur!HE46*VLOOKUP('Données projet'!$B$18,Paramètres!$A$1:$I$88,3,0)*0.475*44/12</f>
        <v>#N/A</v>
      </c>
      <c r="HI46" s="23" t="e">
        <f>EXP(-LN(2)/2)*HI45+(1-EXP(-LN(2)/2))/(LN(2)/2)*HC46*HF46*VLOOKUP('Données projet'!$B$18,Paramètres!$A$1:$I$88,3,0)*0.475*44/12</f>
        <v>#N/A</v>
      </c>
      <c r="HJ46" s="24" t="e">
        <f t="shared" si="30"/>
        <v>#N/A</v>
      </c>
    </row>
    <row r="47" spans="1:218" s="5" customFormat="1" x14ac:dyDescent="0.3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22.166666666666668</v>
      </c>
      <c r="N47" s="14">
        <f>IF('Données projet'!$A$36&gt;35,N46+M47-V46,IF(A47&lt;'Données projet'!$A$36,$K$205^A47,IF(A47='Données projet'!$A$36,'Données projet'!$B$36,N46+M47-V46)))</f>
        <v>421.83333333333354</v>
      </c>
      <c r="O47" s="14">
        <f>N47*VLOOKUP('Données projet'!$B$9,Paramètres!$A$1:$I$88,3,0)*VLOOKUP('Données projet'!$B$9,Paramètres!$A$1:$I$88,5,0)</f>
        <v>235.80483333333345</v>
      </c>
      <c r="P47" s="14">
        <f t="shared" si="33"/>
        <v>57.535995657748863</v>
      </c>
      <c r="Q47" s="22">
        <f t="shared" si="53"/>
        <v>510.90194382613504</v>
      </c>
      <c r="R47" s="62">
        <f t="shared" si="0"/>
        <v>761.79241256427247</v>
      </c>
      <c r="S47" s="62">
        <f ca="1">AVERAGE(OFFSET($R$3,0,0,'Données projet'!$E$9+1,1))-AVERAGE(OFFSET($H$3,0,0,'Données projet'!$E$9+1,1))</f>
        <v>367.03450586441784</v>
      </c>
      <c r="T47" s="62">
        <f t="shared" si="34"/>
        <v>413.14502442862897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projet'!$B$9,Paramètres!$A$1:$I$88,7,0))</f>
        <v>0</v>
      </c>
      <c r="X47" s="17">
        <f>IF(ISNA(VLOOKUP(A47,'Données projet'!$A$35:$I$55,6,0)),0%,VLOOKUP(A47,'Données projet'!$A$35:$I$55,6,0)*VLOOKUP('Données projet'!$B$9,Paramètres!$A$1:$I$88,7,0))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projet'!$B$9,Paramètres!$A$1:$I$88,3,0)*0.475*44/12</f>
        <v>18.138870542370832</v>
      </c>
      <c r="AA47" s="23">
        <f>EXP(-LN(2)/25)*AA46+(1-EXP(-LN(2)/25))/(LN(2)/25)*Calculateur!V47*Calculateur!X47*VLOOKUP('Données projet'!$B$9,Paramètres!$A$1:$I$88,3,0)*0.475*44/12</f>
        <v>36.974133919431111</v>
      </c>
      <c r="AB47" s="23">
        <f>EXP(-LN(2)/2)*AB46+(1-EXP(-LN(2)/2))/(LN(2)/2)*V47*Y47*VLOOKUP('Données projet'!$B$9,Paramètres!$A$1:$I$88,3,0)*0.475*44/12</f>
        <v>0</v>
      </c>
      <c r="AC47" s="24">
        <f t="shared" si="3"/>
        <v>55.113004461801943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projet'!$B$10,Paramètres!$A$1:$I$88,3,0)*VLOOKUP('Données projet'!$B$10,Paramètres!$A$1:$I$88,5,0)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projet'!$B$10,Paramètres!$A$1:$I$88,7,0))</f>
        <v>0</v>
      </c>
      <c r="AS47" s="17">
        <f>IF(ISNA(VLOOKUP(A47,'Données projet'!$A$61:$I$81,6,0)),0%,VLOOKUP(A47,'Données projet'!$A$61:$I$81,6,0)*VLOOKUP('Données projet'!$B$10,Paramètres!$A$1:$I$88,7,0))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projet'!$B$10,Paramètres!$A$1:$I$88,3,0)*0.475*44/12</f>
        <v>#N/A</v>
      </c>
      <c r="AV47" s="23" t="e">
        <f>EXP(-LN(2)/25)*AV46+(1-EXP(-LN(2)/25))/(LN(2)/25)*Calculateur!AQ47*Calculateur!AS47*VLOOKUP('Données projet'!$B$10,Paramètres!$A$1:$I$88,3,0)*0.475*44/12</f>
        <v>#N/A</v>
      </c>
      <c r="AW47" s="23" t="e">
        <f>EXP(-LN(2)/2)*AW46+(1-EXP(-LN(2)/2))/(LN(2)/2)*AQ47*AT47*VLOOKUP('Données projet'!$B$10,Paramètres!$A$1:$I$88,3,0)*0.475*44/12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projet'!$B$11,Paramètres!$A$1:$I$88,3,0)*VLOOKUP('Données projet'!$B$11,Paramètres!$A$1:$I$88,5,0)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projet'!$B$11,Paramètres!$A$1:$I$88,7,0))</f>
        <v>0</v>
      </c>
      <c r="BN47" s="17">
        <f>IF(ISNA(VLOOKUP(A47,'Données projet'!$A$87:$I$107,6,0)),0%,VLOOKUP(A47,'Données projet'!$A$87:$I$107,6,0)*VLOOKUP('Données projet'!$B$11,Paramètres!$A$1:$I$88,7,0))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projet'!$B$11,Paramètres!$A$1:$I$88,3,0)*0.475*44/12</f>
        <v>#N/A</v>
      </c>
      <c r="BQ47" s="23" t="e">
        <f>EXP(-LN(2)/25)*BQ46+(1-EXP(-LN(2)/25))/(LN(2)/25)*Calculateur!BL47*Calculateur!BN47*VLOOKUP('Données projet'!$B$11,Paramètres!$A$1:$I$88,3,0)*0.475*44/12</f>
        <v>#N/A</v>
      </c>
      <c r="BR47" s="23" t="e">
        <f>EXP(-LN(2)/2)*BR46+(1-EXP(-LN(2)/2))/(LN(2)/2)*BL47*BO47*VLOOKUP('Données projet'!$B$11,Paramètres!$A$1:$I$88,3,0)*0.475*44/12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projet'!$B$12,Paramètres!$A$1:$I$88,3,0)*VLOOKUP('Données projet'!$B$12,Paramètres!$A$1:$I$88,5,0)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projet'!$B$12,Paramètres!$A$1:$I$88,7,0))</f>
        <v>0</v>
      </c>
      <c r="CI47" s="17">
        <f>IF(ISNA(VLOOKUP(A47,'Données projet'!$A$113:$I$133,6,0)),0%,VLOOKUP(A47,'Données projet'!$A$113:$I$133,6,0)*VLOOKUP('Données projet'!$B$12,Paramètres!$A$1:$I$88,7,0))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projet'!$B$12,Paramètres!$A$1:$I$88,3,0)*0.475*44/12</f>
        <v>#N/A</v>
      </c>
      <c r="CL47" s="23" t="e">
        <f>EXP(-LN(2)/25)*CL46+(1-EXP(-LN(2)/25))/(LN(2)/25)*Calculateur!CG47*Calculateur!CI47*VLOOKUP('Données projet'!$B$12,Paramètres!$A$1:$I$88,3,0)*0.475*44/12</f>
        <v>#N/A</v>
      </c>
      <c r="CM47" s="23" t="e">
        <f>EXP(-LN(2)/2)*CM46+(1-EXP(-LN(2)/2))/(LN(2)/2)*CG47*CJ47*VLOOKUP('Données projet'!$B$12,Paramètres!$A$1:$I$88,3,0)*0.475*44/12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projet'!$B$13,Paramètres!$A$1:$I$88,3,0)*VLOOKUP('Données projet'!$B$13,Paramètres!$A$1:$I$88,5,0)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projet'!$B$13,Paramètres!$A$1:$I$88,7,0))</f>
        <v>0</v>
      </c>
      <c r="DD47" s="17">
        <f>IF(ISNA(VLOOKUP(A47,'Données projet'!$A$139:$I$159,6,0)),0%,VLOOKUP(A47,'Données projet'!$A$139:$I$159,6,0)*VLOOKUP('Données projet'!$B$13,Paramètres!$A$1:$I$88,7,0))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projet'!$B$13,Paramètres!$A$1:$I$88,3,0)*0.475*44/12</f>
        <v>#N/A</v>
      </c>
      <c r="DG47" s="23" t="e">
        <f>EXP(-LN(2)/25)*DG46+(1-EXP(-LN(2)/25))/(LN(2)/25)*Calculateur!DB47*Calculateur!DD47*VLOOKUP('Données projet'!$B$13,Paramètres!$A$1:$I$88,3,0)*0.475*44/12</f>
        <v>#N/A</v>
      </c>
      <c r="DH47" s="23" t="e">
        <f>EXP(-LN(2)/2)*DH46+(1-EXP(-LN(2)/2))/(LN(2)/2)*DB47*DE47*VLOOKUP('Données projet'!$B$13,Paramètres!$A$1:$I$88,3,0)*0.475*44/12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projet'!$B$14,Paramètres!$A$1:$I$88,3,0)*VLOOKUP('Données projet'!$B$14,Paramètres!$A$1:$I$88,5,0)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projet'!$B$14,Paramètres!$A$1:$I$88,7,0))</f>
        <v>0</v>
      </c>
      <c r="DY47" s="17">
        <f>IF(ISNA(VLOOKUP(A47,'Données projet'!$A$165:$I$185,6,0)),0%,VLOOKUP(A47,'Données projet'!$A$165:$I$185,6,0)*VLOOKUP('Données projet'!$B$14,Paramètres!$A$1:$I$88,7,0))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projet'!$B$14,Paramètres!$A$1:$I$88,3,0)*0.475*44/12</f>
        <v>#N/A</v>
      </c>
      <c r="EB47" s="23" t="e">
        <f>EXP(-LN(2)/25)*EB46+(1-EXP(-LN(2)/25))/(LN(2)/25)*Calculateur!DW47*Calculateur!DY47*VLOOKUP('Données projet'!$B$14,Paramètres!$A$1:$I$88,3,0)*0.475*44/12</f>
        <v>#N/A</v>
      </c>
      <c r="EC47" s="23" t="e">
        <f>EXP(-LN(2)/2)*EC46+(1-EXP(-LN(2)/2))/(LN(2)/2)*DW47*DZ47*VLOOKUP('Données projet'!$B$14,Paramètres!$A$1:$I$88,3,0)*0.475*44/12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projet'!$B$15,Paramètres!$A$1:$I$88,3,0)*VLOOKUP('Données projet'!$B$15,Paramètres!$A$1:$I$88,5,0)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projet'!$B$15,Paramètres!$A$1:$I$88,7,0))</f>
        <v>0</v>
      </c>
      <c r="ET47" s="17">
        <f>IF(ISNA(VLOOKUP(A47,'Données projet'!$A$191:$I$211,6,0)),0%,VLOOKUP(A47,'Données projet'!$A$191:$I$211,6,0)*VLOOKUP('Données projet'!$B$15,Paramètres!$A$1:$I$88,7,0))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projet'!$B$15,Paramètres!$A$1:$I$88,3,0)*0.475*44/12</f>
        <v>#N/A</v>
      </c>
      <c r="EW47" s="23" t="e">
        <f>EXP(-LN(2)/25)*EW46+(1-EXP(-LN(2)/25))/(LN(2)/25)*Calculateur!ER47*Calculateur!ET47*VLOOKUP('Données projet'!$B$15,Paramètres!$A$1:$I$88,3,0)*0.475*44/12</f>
        <v>#N/A</v>
      </c>
      <c r="EX47" s="23" t="e">
        <f>EXP(-LN(2)/2)*EX46+(1-EXP(-LN(2)/2))/(LN(2)/2)*ER47*EU47*VLOOKUP('Données projet'!$B$15,Paramètres!$A$1:$I$88,3,0)*0.475*44/12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projet'!$B$16,Paramètres!$A$1:$I$88,3,0)*VLOOKUP('Données projet'!$B$16,Paramètres!$A$1:$I$88,5,0)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projet'!$B$16,Paramètres!$A$1:$I$88,7,0))</f>
        <v>0</v>
      </c>
      <c r="FO47" s="17">
        <f>IF(ISNA(VLOOKUP(A47,'Données projet'!$A$217:$I$237,6,0)),0%,VLOOKUP(A47,'Données projet'!$A$217:$I$237,6,0)*VLOOKUP('Données projet'!$B$16,Paramètres!$A$1:$I$88,7,0))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projet'!$B$16,Paramètres!$A$1:$I$88,3,0)*0.475*44/12</f>
        <v>#N/A</v>
      </c>
      <c r="FR47" s="23" t="e">
        <f>EXP(-LN(2)/25)*FR46+(1-EXP(-LN(2)/25))/(LN(2)/25)*Calculateur!FM47*Calculateur!FO47*VLOOKUP('Données projet'!$B$16,Paramètres!$A$1:$I$88,3,0)*0.475*44/12</f>
        <v>#N/A</v>
      </c>
      <c r="FS47" s="23" t="e">
        <f>EXP(-LN(2)/2)*FS46+(1-EXP(-LN(2)/2))/(LN(2)/2)*FM47*FP47*VLOOKUP('Données projet'!$B$16,Paramètres!$A$1:$I$88,3,0)*0.475*44/12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projet'!$B$17,Paramètres!$A$1:$I$88,3,0)*VLOOKUP('Données projet'!$B$17,Paramètres!$A$1:$I$88,5,0)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projet'!$B$17,Paramètres!$A$1:$I$88,7,0))</f>
        <v>0</v>
      </c>
      <c r="GJ47" s="17">
        <f>IF(ISNA(VLOOKUP(A47,'Données projet'!$A$243:$I$263,6,0)),0%,VLOOKUP(A47,'Données projet'!$A$243:$I$263,6,0)*VLOOKUP('Données projet'!$B$17,Paramètres!$A$1:$I$88,7,0))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projet'!$B$17,Paramètres!$A$1:$I$88,3,0)*0.475*44/12</f>
        <v>#N/A</v>
      </c>
      <c r="GM47" s="23" t="e">
        <f>EXP(-LN(2)/25)*GM46+(1-EXP(-LN(2)/25))/(LN(2)/25)*Calculateur!GH47*Calculateur!GJ47*VLOOKUP('Données projet'!$B$17,Paramètres!$A$1:$I$88,3,0)*0.475*44/12</f>
        <v>#N/A</v>
      </c>
      <c r="GN47" s="23" t="e">
        <f>EXP(-LN(2)/2)*GN46+(1-EXP(-LN(2)/2))/(LN(2)/2)*GH47*GK47*VLOOKUP('Données projet'!$B$17,Paramètres!$A$1:$I$88,3,0)*0.475*44/12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projet'!$B$18,Paramètres!$A$1:$I$88,3,0)*VLOOKUP('Données projet'!$B$18,Paramètres!$A$1:$I$88,5,0)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projet'!$B$18,Paramètres!$A$1:$I$88,7,0))</f>
        <v>0</v>
      </c>
      <c r="HE47" s="17">
        <f>IF(ISNA(VLOOKUP(A47,'Données projet'!$A$269:$I$289,6,0)),0%,VLOOKUP(A47,'Données projet'!$A$269:$I$289,6,0)*VLOOKUP('Données projet'!$B$18,Paramètres!$A$1:$I$88,7,0))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projet'!$B$18,Paramètres!$A$1:$I$88,3,0)*0.475*44/12</f>
        <v>#N/A</v>
      </c>
      <c r="HH47" s="23" t="e">
        <f>EXP(-LN(2)/25)*HH46+(1-EXP(-LN(2)/25))/(LN(2)/25)*Calculateur!HC47*Calculateur!HE47*VLOOKUP('Données projet'!$B$18,Paramètres!$A$1:$I$88,3,0)*0.475*44/12</f>
        <v>#N/A</v>
      </c>
      <c r="HI47" s="23" t="e">
        <f>EXP(-LN(2)/2)*HI46+(1-EXP(-LN(2)/2))/(LN(2)/2)*HC47*HF47*VLOOKUP('Données projet'!$B$18,Paramètres!$A$1:$I$88,3,0)*0.475*44/12</f>
        <v>#N/A</v>
      </c>
      <c r="HJ47" s="24" t="e">
        <f t="shared" si="30"/>
        <v>#N/A</v>
      </c>
    </row>
    <row r="48" spans="1:218" s="5" customFormat="1" x14ac:dyDescent="0.3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444</v>
      </c>
      <c r="L48" s="13">
        <f>VLOOKUP(A48,'Données projet'!$A$35:$I$55,9,0)</f>
        <v>22.166666666666668</v>
      </c>
      <c r="M48" s="13">
        <f t="array" ref="M48">INDEX(L:L,MIN(IF(ISNUMBER(L48:L244),ROW(L48:L244),"")))</f>
        <v>22.166666666666668</v>
      </c>
      <c r="N48" s="14">
        <f>IF('Données projet'!$A$36&gt;35,N47+M48-V47,IF(A48&lt;'Données projet'!$A$36,$K$205^A48,IF(A48='Données projet'!$A$36,'Données projet'!$B$36,N47+M48-V47)))</f>
        <v>444.00000000000023</v>
      </c>
      <c r="O48" s="14">
        <f>N48*VLOOKUP('Données projet'!$B$9,Paramètres!$A$1:$I$88,3,0)*VLOOKUP('Données projet'!$B$9,Paramètres!$A$1:$I$88,5,0)</f>
        <v>248.19600000000014</v>
      </c>
      <c r="P48" s="14">
        <f t="shared" si="33"/>
        <v>60.199478731755242</v>
      </c>
      <c r="Q48" s="22">
        <f t="shared" si="53"/>
        <v>537.12212545780721</v>
      </c>
      <c r="R48" s="62">
        <f t="shared" si="0"/>
        <v>788.74888300864131</v>
      </c>
      <c r="S48" s="62">
        <f ca="1">AVERAGE(OFFSET($R$3,0,0,'Données projet'!$E$9+1,1))-AVERAGE(OFFSET($H$3,0,0,'Données projet'!$E$9+1,1))</f>
        <v>367.03450586441784</v>
      </c>
      <c r="T48" s="62">
        <f t="shared" si="34"/>
        <v>413.14502442862897</v>
      </c>
      <c r="U48" s="16">
        <f>IF(ISNA(VLOOKUP(A48,'Données projet'!$A$35:$I$55,3,0)),0,VLOOKUP(A48,'Données projet'!$A$35:$I$55,3,0))</f>
        <v>4</v>
      </c>
      <c r="V48" s="16">
        <f>IF(ISNA(VLOOKUP(A48,'Données projet'!$A$35:$I$55,4,0)),0,VLOOKUP(A48,'Données projet'!$A$35:$I$55,4,0))</f>
        <v>86</v>
      </c>
      <c r="W48" s="17">
        <f>IF(ISNA(VLOOKUP(A48,'Données projet'!$A$35:$I$55,5,0)),0%,VLOOKUP(A48,'Données projet'!$A$35:$I$55,5,0)*VLOOKUP('Données projet'!$B$9,Paramètres!$A$1:$I$88,7,0))</f>
        <v>0.16500000000000001</v>
      </c>
      <c r="X48" s="17">
        <f>IF(ISNA(VLOOKUP(A48,'Données projet'!$A$35:$I$55,6,0)),0%,VLOOKUP(A48,'Données projet'!$A$35:$I$55,6,0)*VLOOKUP('Données projet'!$B$9,Paramètres!$A$1:$I$88,7,0))</f>
        <v>0.27500000000000002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projet'!$B$9,Paramètres!$A$1:$I$88,3,0)*0.475*44/12</f>
        <v>28.305766193735604</v>
      </c>
      <c r="AA48" s="23">
        <f>EXP(-LN(2)/25)*AA47+(1-EXP(-LN(2)/25))/(LN(2)/25)*Calculateur!V48*Calculateur!X48*VLOOKUP('Données projet'!$B$9,Paramètres!$A$1:$I$88,3,0)*0.475*44/12</f>
        <v>53.431668285251249</v>
      </c>
      <c r="AB48" s="23">
        <f>EXP(-LN(2)/2)*AB47+(1-EXP(-LN(2)/2))/(LN(2)/2)*V48*Y48*VLOOKUP('Données projet'!$B$9,Paramètres!$A$1:$I$88,3,0)*0.475*44/12</f>
        <v>0</v>
      </c>
      <c r="AC48" s="24">
        <f t="shared" si="3"/>
        <v>81.737434478986856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projet'!$B$10,Paramètres!$A$1:$I$88,3,0)*VLOOKUP('Données projet'!$B$10,Paramètres!$A$1:$I$88,5,0)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projet'!$B$10,Paramètres!$A$1:$I$88,7,0))</f>
        <v>0</v>
      </c>
      <c r="AS48" s="17">
        <f>IF(ISNA(VLOOKUP(A48,'Données projet'!$A$61:$I$81,6,0)),0%,VLOOKUP(A48,'Données projet'!$A$61:$I$81,6,0)*VLOOKUP('Données projet'!$B$10,Paramètres!$A$1:$I$88,7,0))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projet'!$B$10,Paramètres!$A$1:$I$88,3,0)*0.475*44/12</f>
        <v>#N/A</v>
      </c>
      <c r="AV48" s="23" t="e">
        <f>EXP(-LN(2)/25)*AV47+(1-EXP(-LN(2)/25))/(LN(2)/25)*Calculateur!AQ48*Calculateur!AS48*VLOOKUP('Données projet'!$B$10,Paramètres!$A$1:$I$88,3,0)*0.475*44/12</f>
        <v>#N/A</v>
      </c>
      <c r="AW48" s="23" t="e">
        <f>EXP(-LN(2)/2)*AW47+(1-EXP(-LN(2)/2))/(LN(2)/2)*AQ48*AT48*VLOOKUP('Données projet'!$B$10,Paramètres!$A$1:$I$88,3,0)*0.475*44/12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projet'!$B$11,Paramètres!$A$1:$I$88,3,0)*VLOOKUP('Données projet'!$B$11,Paramètres!$A$1:$I$88,5,0)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projet'!$B$11,Paramètres!$A$1:$I$88,7,0))</f>
        <v>0</v>
      </c>
      <c r="BN48" s="17">
        <f>IF(ISNA(VLOOKUP(A48,'Données projet'!$A$87:$I$107,6,0)),0%,VLOOKUP(A48,'Données projet'!$A$87:$I$107,6,0)*VLOOKUP('Données projet'!$B$11,Paramètres!$A$1:$I$88,7,0))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projet'!$B$11,Paramètres!$A$1:$I$88,3,0)*0.475*44/12</f>
        <v>#N/A</v>
      </c>
      <c r="BQ48" s="23" t="e">
        <f>EXP(-LN(2)/25)*BQ47+(1-EXP(-LN(2)/25))/(LN(2)/25)*Calculateur!BL48*Calculateur!BN48*VLOOKUP('Données projet'!$B$11,Paramètres!$A$1:$I$88,3,0)*0.475*44/12</f>
        <v>#N/A</v>
      </c>
      <c r="BR48" s="23" t="e">
        <f>EXP(-LN(2)/2)*BR47+(1-EXP(-LN(2)/2))/(LN(2)/2)*BL48*BO48*VLOOKUP('Données projet'!$B$11,Paramètres!$A$1:$I$88,3,0)*0.475*44/12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projet'!$B$12,Paramètres!$A$1:$I$88,3,0)*VLOOKUP('Données projet'!$B$12,Paramètres!$A$1:$I$88,5,0)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projet'!$B$12,Paramètres!$A$1:$I$88,7,0))</f>
        <v>0</v>
      </c>
      <c r="CI48" s="17">
        <f>IF(ISNA(VLOOKUP(A48,'Données projet'!$A$113:$I$133,6,0)),0%,VLOOKUP(A48,'Données projet'!$A$113:$I$133,6,0)*VLOOKUP('Données projet'!$B$12,Paramètres!$A$1:$I$88,7,0))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projet'!$B$12,Paramètres!$A$1:$I$88,3,0)*0.475*44/12</f>
        <v>#N/A</v>
      </c>
      <c r="CL48" s="23" t="e">
        <f>EXP(-LN(2)/25)*CL47+(1-EXP(-LN(2)/25))/(LN(2)/25)*Calculateur!CG48*Calculateur!CI48*VLOOKUP('Données projet'!$B$12,Paramètres!$A$1:$I$88,3,0)*0.475*44/12</f>
        <v>#N/A</v>
      </c>
      <c r="CM48" s="23" t="e">
        <f>EXP(-LN(2)/2)*CM47+(1-EXP(-LN(2)/2))/(LN(2)/2)*CG48*CJ48*VLOOKUP('Données projet'!$B$12,Paramètres!$A$1:$I$88,3,0)*0.475*44/12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projet'!$B$13,Paramètres!$A$1:$I$88,3,0)*VLOOKUP('Données projet'!$B$13,Paramètres!$A$1:$I$88,5,0)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projet'!$B$13,Paramètres!$A$1:$I$88,7,0))</f>
        <v>0</v>
      </c>
      <c r="DD48" s="17">
        <f>IF(ISNA(VLOOKUP(A48,'Données projet'!$A$139:$I$159,6,0)),0%,VLOOKUP(A48,'Données projet'!$A$139:$I$159,6,0)*VLOOKUP('Données projet'!$B$13,Paramètres!$A$1:$I$88,7,0))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projet'!$B$13,Paramètres!$A$1:$I$88,3,0)*0.475*44/12</f>
        <v>#N/A</v>
      </c>
      <c r="DG48" s="23" t="e">
        <f>EXP(-LN(2)/25)*DG47+(1-EXP(-LN(2)/25))/(LN(2)/25)*Calculateur!DB48*Calculateur!DD48*VLOOKUP('Données projet'!$B$13,Paramètres!$A$1:$I$88,3,0)*0.475*44/12</f>
        <v>#N/A</v>
      </c>
      <c r="DH48" s="23" t="e">
        <f>EXP(-LN(2)/2)*DH47+(1-EXP(-LN(2)/2))/(LN(2)/2)*DB48*DE48*VLOOKUP('Données projet'!$B$13,Paramètres!$A$1:$I$88,3,0)*0.475*44/12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projet'!$B$14,Paramètres!$A$1:$I$88,3,0)*VLOOKUP('Données projet'!$B$14,Paramètres!$A$1:$I$88,5,0)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projet'!$B$14,Paramètres!$A$1:$I$88,7,0))</f>
        <v>0</v>
      </c>
      <c r="DY48" s="17">
        <f>IF(ISNA(VLOOKUP(A48,'Données projet'!$A$165:$I$185,6,0)),0%,VLOOKUP(A48,'Données projet'!$A$165:$I$185,6,0)*VLOOKUP('Données projet'!$B$14,Paramètres!$A$1:$I$88,7,0))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projet'!$B$14,Paramètres!$A$1:$I$88,3,0)*0.475*44/12</f>
        <v>#N/A</v>
      </c>
      <c r="EB48" s="23" t="e">
        <f>EXP(-LN(2)/25)*EB47+(1-EXP(-LN(2)/25))/(LN(2)/25)*Calculateur!DW48*Calculateur!DY48*VLOOKUP('Données projet'!$B$14,Paramètres!$A$1:$I$88,3,0)*0.475*44/12</f>
        <v>#N/A</v>
      </c>
      <c r="EC48" s="23" t="e">
        <f>EXP(-LN(2)/2)*EC47+(1-EXP(-LN(2)/2))/(LN(2)/2)*DW48*DZ48*VLOOKUP('Données projet'!$B$14,Paramètres!$A$1:$I$88,3,0)*0.475*44/12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projet'!$B$15,Paramètres!$A$1:$I$88,3,0)*VLOOKUP('Données projet'!$B$15,Paramètres!$A$1:$I$88,5,0)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projet'!$B$15,Paramètres!$A$1:$I$88,7,0))</f>
        <v>0</v>
      </c>
      <c r="ET48" s="17">
        <f>IF(ISNA(VLOOKUP(A48,'Données projet'!$A$191:$I$211,6,0)),0%,VLOOKUP(A48,'Données projet'!$A$191:$I$211,6,0)*VLOOKUP('Données projet'!$B$15,Paramètres!$A$1:$I$88,7,0))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projet'!$B$15,Paramètres!$A$1:$I$88,3,0)*0.475*44/12</f>
        <v>#N/A</v>
      </c>
      <c r="EW48" s="23" t="e">
        <f>EXP(-LN(2)/25)*EW47+(1-EXP(-LN(2)/25))/(LN(2)/25)*Calculateur!ER48*Calculateur!ET48*VLOOKUP('Données projet'!$B$15,Paramètres!$A$1:$I$88,3,0)*0.475*44/12</f>
        <v>#N/A</v>
      </c>
      <c r="EX48" s="23" t="e">
        <f>EXP(-LN(2)/2)*EX47+(1-EXP(-LN(2)/2))/(LN(2)/2)*ER48*EU48*VLOOKUP('Données projet'!$B$15,Paramètres!$A$1:$I$88,3,0)*0.475*44/12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projet'!$B$16,Paramètres!$A$1:$I$88,3,0)*VLOOKUP('Données projet'!$B$16,Paramètres!$A$1:$I$88,5,0)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projet'!$B$16,Paramètres!$A$1:$I$88,7,0))</f>
        <v>0</v>
      </c>
      <c r="FO48" s="17">
        <f>IF(ISNA(VLOOKUP(A48,'Données projet'!$A$217:$I$237,6,0)),0%,VLOOKUP(A48,'Données projet'!$A$217:$I$237,6,0)*VLOOKUP('Données projet'!$B$16,Paramètres!$A$1:$I$88,7,0))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projet'!$B$16,Paramètres!$A$1:$I$88,3,0)*0.475*44/12</f>
        <v>#N/A</v>
      </c>
      <c r="FR48" s="23" t="e">
        <f>EXP(-LN(2)/25)*FR47+(1-EXP(-LN(2)/25))/(LN(2)/25)*Calculateur!FM48*Calculateur!FO48*VLOOKUP('Données projet'!$B$16,Paramètres!$A$1:$I$88,3,0)*0.475*44/12</f>
        <v>#N/A</v>
      </c>
      <c r="FS48" s="23" t="e">
        <f>EXP(-LN(2)/2)*FS47+(1-EXP(-LN(2)/2))/(LN(2)/2)*FM48*FP48*VLOOKUP('Données projet'!$B$16,Paramètres!$A$1:$I$88,3,0)*0.475*44/12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projet'!$B$17,Paramètres!$A$1:$I$88,3,0)*VLOOKUP('Données projet'!$B$17,Paramètres!$A$1:$I$88,5,0)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projet'!$B$17,Paramètres!$A$1:$I$88,7,0))</f>
        <v>0</v>
      </c>
      <c r="GJ48" s="17">
        <f>IF(ISNA(VLOOKUP(A48,'Données projet'!$A$243:$I$263,6,0)),0%,VLOOKUP(A48,'Données projet'!$A$243:$I$263,6,0)*VLOOKUP('Données projet'!$B$17,Paramètres!$A$1:$I$88,7,0))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projet'!$B$17,Paramètres!$A$1:$I$88,3,0)*0.475*44/12</f>
        <v>#N/A</v>
      </c>
      <c r="GM48" s="23" t="e">
        <f>EXP(-LN(2)/25)*GM47+(1-EXP(-LN(2)/25))/(LN(2)/25)*Calculateur!GH48*Calculateur!GJ48*VLOOKUP('Données projet'!$B$17,Paramètres!$A$1:$I$88,3,0)*0.475*44/12</f>
        <v>#N/A</v>
      </c>
      <c r="GN48" s="23" t="e">
        <f>EXP(-LN(2)/2)*GN47+(1-EXP(-LN(2)/2))/(LN(2)/2)*GH48*GK48*VLOOKUP('Données projet'!$B$17,Paramètres!$A$1:$I$88,3,0)*0.475*44/12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projet'!$B$18,Paramètres!$A$1:$I$88,3,0)*VLOOKUP('Données projet'!$B$18,Paramètres!$A$1:$I$88,5,0)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projet'!$B$18,Paramètres!$A$1:$I$88,7,0))</f>
        <v>0</v>
      </c>
      <c r="HE48" s="17">
        <f>IF(ISNA(VLOOKUP(A48,'Données projet'!$A$269:$I$289,6,0)),0%,VLOOKUP(A48,'Données projet'!$A$269:$I$289,6,0)*VLOOKUP('Données projet'!$B$18,Paramètres!$A$1:$I$88,7,0))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projet'!$B$18,Paramètres!$A$1:$I$88,3,0)*0.475*44/12</f>
        <v>#N/A</v>
      </c>
      <c r="HH48" s="23" t="e">
        <f>EXP(-LN(2)/25)*HH47+(1-EXP(-LN(2)/25))/(LN(2)/25)*Calculateur!HC48*Calculateur!HE48*VLOOKUP('Données projet'!$B$18,Paramètres!$A$1:$I$88,3,0)*0.475*44/12</f>
        <v>#N/A</v>
      </c>
      <c r="HI48" s="23" t="e">
        <f>EXP(-LN(2)/2)*HI47+(1-EXP(-LN(2)/2))/(LN(2)/2)*HC48*HF48*VLOOKUP('Données projet'!$B$18,Paramètres!$A$1:$I$88,3,0)*0.475*44/12</f>
        <v>#N/A</v>
      </c>
      <c r="HJ48" s="24" t="e">
        <f t="shared" si="30"/>
        <v>#N/A</v>
      </c>
    </row>
    <row r="49" spans="1:218" s="5" customFormat="1" x14ac:dyDescent="0.3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15.5</v>
      </c>
      <c r="N49" s="14">
        <f>IF('Données projet'!$A$36&gt;35,N48+M49-V48,IF(A49&lt;'Données projet'!$A$36,$K$205^A49,IF(A49='Données projet'!$A$36,'Données projet'!$B$36,N48+M49-V48)))</f>
        <v>373.50000000000023</v>
      </c>
      <c r="O49" s="14">
        <f>N49*VLOOKUP('Données projet'!$B$9,Paramètres!$A$1:$I$88,3,0)*VLOOKUP('Données projet'!$B$9,Paramètres!$A$1:$I$88,5,0)</f>
        <v>208.78650000000013</v>
      </c>
      <c r="P49" s="14">
        <f t="shared" si="33"/>
        <v>51.670316041179106</v>
      </c>
      <c r="Q49" s="22">
        <f t="shared" si="53"/>
        <v>453.62895460505388</v>
      </c>
      <c r="R49" s="62">
        <f t="shared" si="0"/>
        <v>705.97922800377955</v>
      </c>
      <c r="S49" s="62">
        <f ca="1">AVERAGE(OFFSET($R$3,0,0,'Données projet'!$E$9+1,1))-AVERAGE(OFFSET($H$3,0,0,'Données projet'!$E$9+1,1))</f>
        <v>367.03450586441784</v>
      </c>
      <c r="T49" s="62">
        <f t="shared" si="34"/>
        <v>413.14502442862897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projet'!$B$9,Paramètres!$A$1:$I$88,7,0))</f>
        <v>0</v>
      </c>
      <c r="X49" s="17">
        <f>IF(ISNA(VLOOKUP(A49,'Données projet'!$A$35:$I$55,6,0)),0%,VLOOKUP(A49,'Données projet'!$A$35:$I$55,6,0)*VLOOKUP('Données projet'!$B$9,Paramètres!$A$1:$I$88,7,0))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projet'!$B$9,Paramètres!$A$1:$I$88,3,0)*0.475*44/12</f>
        <v>27.750707383489068</v>
      </c>
      <c r="AA49" s="23">
        <f>EXP(-LN(2)/25)*AA48+(1-EXP(-LN(2)/25))/(LN(2)/25)*Calculateur!V49*Calculateur!X49*VLOOKUP('Données projet'!$B$9,Paramètres!$A$1:$I$88,3,0)*0.475*44/12</f>
        <v>51.97057650614174</v>
      </c>
      <c r="AB49" s="23">
        <f>EXP(-LN(2)/2)*AB48+(1-EXP(-LN(2)/2))/(LN(2)/2)*V49*Y49*VLOOKUP('Données projet'!$B$9,Paramètres!$A$1:$I$88,3,0)*0.475*44/12</f>
        <v>0</v>
      </c>
      <c r="AC49" s="24">
        <f t="shared" si="3"/>
        <v>79.721283889630811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projet'!$B$10,Paramètres!$A$1:$I$88,3,0)*VLOOKUP('Données projet'!$B$10,Paramètres!$A$1:$I$88,5,0)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projet'!$B$10,Paramètres!$A$1:$I$88,7,0))</f>
        <v>0</v>
      </c>
      <c r="AS49" s="17">
        <f>IF(ISNA(VLOOKUP(A49,'Données projet'!$A$61:$I$81,6,0)),0%,VLOOKUP(A49,'Données projet'!$A$61:$I$81,6,0)*VLOOKUP('Données projet'!$B$10,Paramètres!$A$1:$I$88,7,0))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projet'!$B$10,Paramètres!$A$1:$I$88,3,0)*0.475*44/12</f>
        <v>#N/A</v>
      </c>
      <c r="AV49" s="23" t="e">
        <f>EXP(-LN(2)/25)*AV48+(1-EXP(-LN(2)/25))/(LN(2)/25)*Calculateur!AQ49*Calculateur!AS49*VLOOKUP('Données projet'!$B$10,Paramètres!$A$1:$I$88,3,0)*0.475*44/12</f>
        <v>#N/A</v>
      </c>
      <c r="AW49" s="23" t="e">
        <f>EXP(-LN(2)/2)*AW48+(1-EXP(-LN(2)/2))/(LN(2)/2)*AQ49*AT49*VLOOKUP('Données projet'!$B$10,Paramètres!$A$1:$I$88,3,0)*0.475*44/12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projet'!$B$11,Paramètres!$A$1:$I$88,3,0)*VLOOKUP('Données projet'!$B$11,Paramètres!$A$1:$I$88,5,0)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projet'!$B$11,Paramètres!$A$1:$I$88,7,0))</f>
        <v>0</v>
      </c>
      <c r="BN49" s="17">
        <f>IF(ISNA(VLOOKUP(A49,'Données projet'!$A$87:$I$107,6,0)),0%,VLOOKUP(A49,'Données projet'!$A$87:$I$107,6,0)*VLOOKUP('Données projet'!$B$11,Paramètres!$A$1:$I$88,7,0))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projet'!$B$11,Paramètres!$A$1:$I$88,3,0)*0.475*44/12</f>
        <v>#N/A</v>
      </c>
      <c r="BQ49" s="23" t="e">
        <f>EXP(-LN(2)/25)*BQ48+(1-EXP(-LN(2)/25))/(LN(2)/25)*Calculateur!BL49*Calculateur!BN49*VLOOKUP('Données projet'!$B$11,Paramètres!$A$1:$I$88,3,0)*0.475*44/12</f>
        <v>#N/A</v>
      </c>
      <c r="BR49" s="23" t="e">
        <f>EXP(-LN(2)/2)*BR48+(1-EXP(-LN(2)/2))/(LN(2)/2)*BL49*BO49*VLOOKUP('Données projet'!$B$11,Paramètres!$A$1:$I$88,3,0)*0.475*44/12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projet'!$B$12,Paramètres!$A$1:$I$88,3,0)*VLOOKUP('Données projet'!$B$12,Paramètres!$A$1:$I$88,5,0)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projet'!$B$12,Paramètres!$A$1:$I$88,7,0))</f>
        <v>0</v>
      </c>
      <c r="CI49" s="17">
        <f>IF(ISNA(VLOOKUP(A49,'Données projet'!$A$113:$I$133,6,0)),0%,VLOOKUP(A49,'Données projet'!$A$113:$I$133,6,0)*VLOOKUP('Données projet'!$B$12,Paramètres!$A$1:$I$88,7,0))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projet'!$B$12,Paramètres!$A$1:$I$88,3,0)*0.475*44/12</f>
        <v>#N/A</v>
      </c>
      <c r="CL49" s="23" t="e">
        <f>EXP(-LN(2)/25)*CL48+(1-EXP(-LN(2)/25))/(LN(2)/25)*Calculateur!CG49*Calculateur!CI49*VLOOKUP('Données projet'!$B$12,Paramètres!$A$1:$I$88,3,0)*0.475*44/12</f>
        <v>#N/A</v>
      </c>
      <c r="CM49" s="23" t="e">
        <f>EXP(-LN(2)/2)*CM48+(1-EXP(-LN(2)/2))/(LN(2)/2)*CG49*CJ49*VLOOKUP('Données projet'!$B$12,Paramètres!$A$1:$I$88,3,0)*0.475*44/12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projet'!$B$13,Paramètres!$A$1:$I$88,3,0)*VLOOKUP('Données projet'!$B$13,Paramètres!$A$1:$I$88,5,0)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projet'!$B$13,Paramètres!$A$1:$I$88,7,0))</f>
        <v>0</v>
      </c>
      <c r="DD49" s="17">
        <f>IF(ISNA(VLOOKUP(A49,'Données projet'!$A$139:$I$159,6,0)),0%,VLOOKUP(A49,'Données projet'!$A$139:$I$159,6,0)*VLOOKUP('Données projet'!$B$13,Paramètres!$A$1:$I$88,7,0))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projet'!$B$13,Paramètres!$A$1:$I$88,3,0)*0.475*44/12</f>
        <v>#N/A</v>
      </c>
      <c r="DG49" s="23" t="e">
        <f>EXP(-LN(2)/25)*DG48+(1-EXP(-LN(2)/25))/(LN(2)/25)*Calculateur!DB49*Calculateur!DD49*VLOOKUP('Données projet'!$B$13,Paramètres!$A$1:$I$88,3,0)*0.475*44/12</f>
        <v>#N/A</v>
      </c>
      <c r="DH49" s="23" t="e">
        <f>EXP(-LN(2)/2)*DH48+(1-EXP(-LN(2)/2))/(LN(2)/2)*DB49*DE49*VLOOKUP('Données projet'!$B$13,Paramètres!$A$1:$I$88,3,0)*0.475*44/12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projet'!$B$14,Paramètres!$A$1:$I$88,3,0)*VLOOKUP('Données projet'!$B$14,Paramètres!$A$1:$I$88,5,0)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projet'!$B$14,Paramètres!$A$1:$I$88,7,0))</f>
        <v>0</v>
      </c>
      <c r="DY49" s="17">
        <f>IF(ISNA(VLOOKUP(A49,'Données projet'!$A$165:$I$185,6,0)),0%,VLOOKUP(A49,'Données projet'!$A$165:$I$185,6,0)*VLOOKUP('Données projet'!$B$14,Paramètres!$A$1:$I$88,7,0))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projet'!$B$14,Paramètres!$A$1:$I$88,3,0)*0.475*44/12</f>
        <v>#N/A</v>
      </c>
      <c r="EB49" s="23" t="e">
        <f>EXP(-LN(2)/25)*EB48+(1-EXP(-LN(2)/25))/(LN(2)/25)*Calculateur!DW49*Calculateur!DY49*VLOOKUP('Données projet'!$B$14,Paramètres!$A$1:$I$88,3,0)*0.475*44/12</f>
        <v>#N/A</v>
      </c>
      <c r="EC49" s="23" t="e">
        <f>EXP(-LN(2)/2)*EC48+(1-EXP(-LN(2)/2))/(LN(2)/2)*DW49*DZ49*VLOOKUP('Données projet'!$B$14,Paramètres!$A$1:$I$88,3,0)*0.475*44/12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projet'!$B$15,Paramètres!$A$1:$I$88,3,0)*VLOOKUP('Données projet'!$B$15,Paramètres!$A$1:$I$88,5,0)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projet'!$B$15,Paramètres!$A$1:$I$88,7,0))</f>
        <v>0</v>
      </c>
      <c r="ET49" s="17">
        <f>IF(ISNA(VLOOKUP(A49,'Données projet'!$A$191:$I$211,6,0)),0%,VLOOKUP(A49,'Données projet'!$A$191:$I$211,6,0)*VLOOKUP('Données projet'!$B$15,Paramètres!$A$1:$I$88,7,0))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projet'!$B$15,Paramètres!$A$1:$I$88,3,0)*0.475*44/12</f>
        <v>#N/A</v>
      </c>
      <c r="EW49" s="23" t="e">
        <f>EXP(-LN(2)/25)*EW48+(1-EXP(-LN(2)/25))/(LN(2)/25)*Calculateur!ER49*Calculateur!ET49*VLOOKUP('Données projet'!$B$15,Paramètres!$A$1:$I$88,3,0)*0.475*44/12</f>
        <v>#N/A</v>
      </c>
      <c r="EX49" s="23" t="e">
        <f>EXP(-LN(2)/2)*EX48+(1-EXP(-LN(2)/2))/(LN(2)/2)*ER49*EU49*VLOOKUP('Données projet'!$B$15,Paramètres!$A$1:$I$88,3,0)*0.475*44/12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projet'!$B$16,Paramètres!$A$1:$I$88,3,0)*VLOOKUP('Données projet'!$B$16,Paramètres!$A$1:$I$88,5,0)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projet'!$B$16,Paramètres!$A$1:$I$88,7,0))</f>
        <v>0</v>
      </c>
      <c r="FO49" s="17">
        <f>IF(ISNA(VLOOKUP(A49,'Données projet'!$A$217:$I$237,6,0)),0%,VLOOKUP(A49,'Données projet'!$A$217:$I$237,6,0)*VLOOKUP('Données projet'!$B$16,Paramètres!$A$1:$I$88,7,0))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projet'!$B$16,Paramètres!$A$1:$I$88,3,0)*0.475*44/12</f>
        <v>#N/A</v>
      </c>
      <c r="FR49" s="23" t="e">
        <f>EXP(-LN(2)/25)*FR48+(1-EXP(-LN(2)/25))/(LN(2)/25)*Calculateur!FM49*Calculateur!FO49*VLOOKUP('Données projet'!$B$16,Paramètres!$A$1:$I$88,3,0)*0.475*44/12</f>
        <v>#N/A</v>
      </c>
      <c r="FS49" s="23" t="e">
        <f>EXP(-LN(2)/2)*FS48+(1-EXP(-LN(2)/2))/(LN(2)/2)*FM49*FP49*VLOOKUP('Données projet'!$B$16,Paramètres!$A$1:$I$88,3,0)*0.475*44/12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projet'!$B$17,Paramètres!$A$1:$I$88,3,0)*VLOOKUP('Données projet'!$B$17,Paramètres!$A$1:$I$88,5,0)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projet'!$B$17,Paramètres!$A$1:$I$88,7,0))</f>
        <v>0</v>
      </c>
      <c r="GJ49" s="17">
        <f>IF(ISNA(VLOOKUP(A49,'Données projet'!$A$243:$I$263,6,0)),0%,VLOOKUP(A49,'Données projet'!$A$243:$I$263,6,0)*VLOOKUP('Données projet'!$B$17,Paramètres!$A$1:$I$88,7,0))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projet'!$B$17,Paramètres!$A$1:$I$88,3,0)*0.475*44/12</f>
        <v>#N/A</v>
      </c>
      <c r="GM49" s="23" t="e">
        <f>EXP(-LN(2)/25)*GM48+(1-EXP(-LN(2)/25))/(LN(2)/25)*Calculateur!GH49*Calculateur!GJ49*VLOOKUP('Données projet'!$B$17,Paramètres!$A$1:$I$88,3,0)*0.475*44/12</f>
        <v>#N/A</v>
      </c>
      <c r="GN49" s="23" t="e">
        <f>EXP(-LN(2)/2)*GN48+(1-EXP(-LN(2)/2))/(LN(2)/2)*GH49*GK49*VLOOKUP('Données projet'!$B$17,Paramètres!$A$1:$I$88,3,0)*0.475*44/12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projet'!$B$18,Paramètres!$A$1:$I$88,3,0)*VLOOKUP('Données projet'!$B$18,Paramètres!$A$1:$I$88,5,0)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projet'!$B$18,Paramètres!$A$1:$I$88,7,0))</f>
        <v>0</v>
      </c>
      <c r="HE49" s="17">
        <f>IF(ISNA(VLOOKUP(A49,'Données projet'!$A$269:$I$289,6,0)),0%,VLOOKUP(A49,'Données projet'!$A$269:$I$289,6,0)*VLOOKUP('Données projet'!$B$18,Paramètres!$A$1:$I$88,7,0))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projet'!$B$18,Paramètres!$A$1:$I$88,3,0)*0.475*44/12</f>
        <v>#N/A</v>
      </c>
      <c r="HH49" s="23" t="e">
        <f>EXP(-LN(2)/25)*HH48+(1-EXP(-LN(2)/25))/(LN(2)/25)*Calculateur!HC49*Calculateur!HE49*VLOOKUP('Données projet'!$B$18,Paramètres!$A$1:$I$88,3,0)*0.475*44/12</f>
        <v>#N/A</v>
      </c>
      <c r="HI49" s="23" t="e">
        <f>EXP(-LN(2)/2)*HI48+(1-EXP(-LN(2)/2))/(LN(2)/2)*HC49*HF49*VLOOKUP('Données projet'!$B$18,Paramètres!$A$1:$I$88,3,0)*0.475*44/12</f>
        <v>#N/A</v>
      </c>
      <c r="HJ49" s="24" t="e">
        <f t="shared" si="30"/>
        <v>#N/A</v>
      </c>
    </row>
    <row r="50" spans="1:218" s="5" customFormat="1" x14ac:dyDescent="0.3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15.5</v>
      </c>
      <c r="N50" s="14">
        <f>IF('Données projet'!$A$36&gt;35,N49+M50-V49,IF(A50&lt;'Données projet'!$A$36,$K$205^A50,IF(A50='Données projet'!$A$36,'Données projet'!$B$36,N49+M50-V49)))</f>
        <v>389.00000000000023</v>
      </c>
      <c r="O50" s="14">
        <f>N50*VLOOKUP('Données projet'!$B$9,Paramètres!$A$1:$I$88,3,0)*VLOOKUP('Données projet'!$B$9,Paramètres!$A$1:$I$88,5,0)</f>
        <v>217.45100000000014</v>
      </c>
      <c r="P50" s="14">
        <f t="shared" si="33"/>
        <v>53.560497958714144</v>
      </c>
      <c r="Q50" s="22">
        <f t="shared" si="53"/>
        <v>472.01169227809402</v>
      </c>
      <c r="R50" s="62">
        <f t="shared" si="0"/>
        <v>725.07293014228935</v>
      </c>
      <c r="S50" s="62">
        <f ca="1">AVERAGE(OFFSET($R$3,0,0,'Données projet'!$E$9+1,1))-AVERAGE(OFFSET($H$3,0,0,'Données projet'!$E$9+1,1))</f>
        <v>367.03450586441784</v>
      </c>
      <c r="T50" s="62">
        <f t="shared" si="34"/>
        <v>413.14502442862897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projet'!$B$9,Paramètres!$A$1:$I$88,7,0))</f>
        <v>0</v>
      </c>
      <c r="X50" s="17">
        <f>IF(ISNA(VLOOKUP(A50,'Données projet'!$A$35:$I$55,6,0)),0%,VLOOKUP(A50,'Données projet'!$A$35:$I$55,6,0)*VLOOKUP('Données projet'!$B$9,Paramètres!$A$1:$I$88,7,0))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projet'!$B$9,Paramètres!$A$1:$I$88,3,0)*0.475*44/12</f>
        <v>27.206532937959022</v>
      </c>
      <c r="AA50" s="23">
        <f>EXP(-LN(2)/25)*AA49+(1-EXP(-LN(2)/25))/(LN(2)/25)*Calculateur!V50*Calculateur!X50*VLOOKUP('Données projet'!$B$9,Paramètres!$A$1:$I$88,3,0)*0.475*44/12</f>
        <v>50.549438358567457</v>
      </c>
      <c r="AB50" s="23">
        <f>EXP(-LN(2)/2)*AB49+(1-EXP(-LN(2)/2))/(LN(2)/2)*V50*Y50*VLOOKUP('Données projet'!$B$9,Paramètres!$A$1:$I$88,3,0)*0.475*44/12</f>
        <v>0</v>
      </c>
      <c r="AC50" s="24">
        <f t="shared" si="3"/>
        <v>77.755971296526482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projet'!$B$10,Paramètres!$A$1:$I$88,3,0)*VLOOKUP('Données projet'!$B$10,Paramètres!$A$1:$I$88,5,0)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projet'!$B$10,Paramètres!$A$1:$I$88,7,0))</f>
        <v>0</v>
      </c>
      <c r="AS50" s="17">
        <f>IF(ISNA(VLOOKUP(A50,'Données projet'!$A$61:$I$81,6,0)),0%,VLOOKUP(A50,'Données projet'!$A$61:$I$81,6,0)*VLOOKUP('Données projet'!$B$10,Paramètres!$A$1:$I$88,7,0))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projet'!$B$10,Paramètres!$A$1:$I$88,3,0)*0.475*44/12</f>
        <v>#N/A</v>
      </c>
      <c r="AV50" s="23" t="e">
        <f>EXP(-LN(2)/25)*AV49+(1-EXP(-LN(2)/25))/(LN(2)/25)*Calculateur!AQ50*Calculateur!AS50*VLOOKUP('Données projet'!$B$10,Paramètres!$A$1:$I$88,3,0)*0.475*44/12</f>
        <v>#N/A</v>
      </c>
      <c r="AW50" s="23" t="e">
        <f>EXP(-LN(2)/2)*AW49+(1-EXP(-LN(2)/2))/(LN(2)/2)*AQ50*AT50*VLOOKUP('Données projet'!$B$10,Paramètres!$A$1:$I$88,3,0)*0.475*44/12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projet'!$B$11,Paramètres!$A$1:$I$88,3,0)*VLOOKUP('Données projet'!$B$11,Paramètres!$A$1:$I$88,5,0)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projet'!$B$11,Paramètres!$A$1:$I$88,7,0))</f>
        <v>0</v>
      </c>
      <c r="BN50" s="17">
        <f>IF(ISNA(VLOOKUP(A50,'Données projet'!$A$87:$I$107,6,0)),0%,VLOOKUP(A50,'Données projet'!$A$87:$I$107,6,0)*VLOOKUP('Données projet'!$B$11,Paramètres!$A$1:$I$88,7,0))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projet'!$B$11,Paramètres!$A$1:$I$88,3,0)*0.475*44/12</f>
        <v>#N/A</v>
      </c>
      <c r="BQ50" s="23" t="e">
        <f>EXP(-LN(2)/25)*BQ49+(1-EXP(-LN(2)/25))/(LN(2)/25)*Calculateur!BL50*Calculateur!BN50*VLOOKUP('Données projet'!$B$11,Paramètres!$A$1:$I$88,3,0)*0.475*44/12</f>
        <v>#N/A</v>
      </c>
      <c r="BR50" s="23" t="e">
        <f>EXP(-LN(2)/2)*BR49+(1-EXP(-LN(2)/2))/(LN(2)/2)*BL50*BO50*VLOOKUP('Données projet'!$B$11,Paramètres!$A$1:$I$88,3,0)*0.475*44/12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projet'!$B$12,Paramètres!$A$1:$I$88,3,0)*VLOOKUP('Données projet'!$B$12,Paramètres!$A$1:$I$88,5,0)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projet'!$B$12,Paramètres!$A$1:$I$88,7,0))</f>
        <v>0</v>
      </c>
      <c r="CI50" s="17">
        <f>IF(ISNA(VLOOKUP(A50,'Données projet'!$A$113:$I$133,6,0)),0%,VLOOKUP(A50,'Données projet'!$A$113:$I$133,6,0)*VLOOKUP('Données projet'!$B$12,Paramètres!$A$1:$I$88,7,0))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projet'!$B$12,Paramètres!$A$1:$I$88,3,0)*0.475*44/12</f>
        <v>#N/A</v>
      </c>
      <c r="CL50" s="23" t="e">
        <f>EXP(-LN(2)/25)*CL49+(1-EXP(-LN(2)/25))/(LN(2)/25)*Calculateur!CG50*Calculateur!CI50*VLOOKUP('Données projet'!$B$12,Paramètres!$A$1:$I$88,3,0)*0.475*44/12</f>
        <v>#N/A</v>
      </c>
      <c r="CM50" s="23" t="e">
        <f>EXP(-LN(2)/2)*CM49+(1-EXP(-LN(2)/2))/(LN(2)/2)*CG50*CJ50*VLOOKUP('Données projet'!$B$12,Paramètres!$A$1:$I$88,3,0)*0.475*44/12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projet'!$B$13,Paramètres!$A$1:$I$88,3,0)*VLOOKUP('Données projet'!$B$13,Paramètres!$A$1:$I$88,5,0)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projet'!$B$13,Paramètres!$A$1:$I$88,7,0))</f>
        <v>0</v>
      </c>
      <c r="DD50" s="17">
        <f>IF(ISNA(VLOOKUP(A50,'Données projet'!$A$139:$I$159,6,0)),0%,VLOOKUP(A50,'Données projet'!$A$139:$I$159,6,0)*VLOOKUP('Données projet'!$B$13,Paramètres!$A$1:$I$88,7,0))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projet'!$B$13,Paramètres!$A$1:$I$88,3,0)*0.475*44/12</f>
        <v>#N/A</v>
      </c>
      <c r="DG50" s="23" t="e">
        <f>EXP(-LN(2)/25)*DG49+(1-EXP(-LN(2)/25))/(LN(2)/25)*Calculateur!DB50*Calculateur!DD50*VLOOKUP('Données projet'!$B$13,Paramètres!$A$1:$I$88,3,0)*0.475*44/12</f>
        <v>#N/A</v>
      </c>
      <c r="DH50" s="23" t="e">
        <f>EXP(-LN(2)/2)*DH49+(1-EXP(-LN(2)/2))/(LN(2)/2)*DB50*DE50*VLOOKUP('Données projet'!$B$13,Paramètres!$A$1:$I$88,3,0)*0.475*44/12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projet'!$B$14,Paramètres!$A$1:$I$88,3,0)*VLOOKUP('Données projet'!$B$14,Paramètres!$A$1:$I$88,5,0)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projet'!$B$14,Paramètres!$A$1:$I$88,7,0))</f>
        <v>0</v>
      </c>
      <c r="DY50" s="17">
        <f>IF(ISNA(VLOOKUP(A50,'Données projet'!$A$165:$I$185,6,0)),0%,VLOOKUP(A50,'Données projet'!$A$165:$I$185,6,0)*VLOOKUP('Données projet'!$B$14,Paramètres!$A$1:$I$88,7,0))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projet'!$B$14,Paramètres!$A$1:$I$88,3,0)*0.475*44/12</f>
        <v>#N/A</v>
      </c>
      <c r="EB50" s="23" t="e">
        <f>EXP(-LN(2)/25)*EB49+(1-EXP(-LN(2)/25))/(LN(2)/25)*Calculateur!DW50*Calculateur!DY50*VLOOKUP('Données projet'!$B$14,Paramètres!$A$1:$I$88,3,0)*0.475*44/12</f>
        <v>#N/A</v>
      </c>
      <c r="EC50" s="23" t="e">
        <f>EXP(-LN(2)/2)*EC49+(1-EXP(-LN(2)/2))/(LN(2)/2)*DW50*DZ50*VLOOKUP('Données projet'!$B$14,Paramètres!$A$1:$I$88,3,0)*0.475*44/12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projet'!$B$15,Paramètres!$A$1:$I$88,3,0)*VLOOKUP('Données projet'!$B$15,Paramètres!$A$1:$I$88,5,0)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projet'!$B$15,Paramètres!$A$1:$I$88,7,0))</f>
        <v>0</v>
      </c>
      <c r="ET50" s="17">
        <f>IF(ISNA(VLOOKUP(A50,'Données projet'!$A$191:$I$211,6,0)),0%,VLOOKUP(A50,'Données projet'!$A$191:$I$211,6,0)*VLOOKUP('Données projet'!$B$15,Paramètres!$A$1:$I$88,7,0))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projet'!$B$15,Paramètres!$A$1:$I$88,3,0)*0.475*44/12</f>
        <v>#N/A</v>
      </c>
      <c r="EW50" s="23" t="e">
        <f>EXP(-LN(2)/25)*EW49+(1-EXP(-LN(2)/25))/(LN(2)/25)*Calculateur!ER50*Calculateur!ET50*VLOOKUP('Données projet'!$B$15,Paramètres!$A$1:$I$88,3,0)*0.475*44/12</f>
        <v>#N/A</v>
      </c>
      <c r="EX50" s="23" t="e">
        <f>EXP(-LN(2)/2)*EX49+(1-EXP(-LN(2)/2))/(LN(2)/2)*ER50*EU50*VLOOKUP('Données projet'!$B$15,Paramètres!$A$1:$I$88,3,0)*0.475*44/12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projet'!$B$16,Paramètres!$A$1:$I$88,3,0)*VLOOKUP('Données projet'!$B$16,Paramètres!$A$1:$I$88,5,0)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projet'!$B$16,Paramètres!$A$1:$I$88,7,0))</f>
        <v>0</v>
      </c>
      <c r="FO50" s="17">
        <f>IF(ISNA(VLOOKUP(A50,'Données projet'!$A$217:$I$237,6,0)),0%,VLOOKUP(A50,'Données projet'!$A$217:$I$237,6,0)*VLOOKUP('Données projet'!$B$16,Paramètres!$A$1:$I$88,7,0))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projet'!$B$16,Paramètres!$A$1:$I$88,3,0)*0.475*44/12</f>
        <v>#N/A</v>
      </c>
      <c r="FR50" s="23" t="e">
        <f>EXP(-LN(2)/25)*FR49+(1-EXP(-LN(2)/25))/(LN(2)/25)*Calculateur!FM50*Calculateur!FO50*VLOOKUP('Données projet'!$B$16,Paramètres!$A$1:$I$88,3,0)*0.475*44/12</f>
        <v>#N/A</v>
      </c>
      <c r="FS50" s="23" t="e">
        <f>EXP(-LN(2)/2)*FS49+(1-EXP(-LN(2)/2))/(LN(2)/2)*FM50*FP50*VLOOKUP('Données projet'!$B$16,Paramètres!$A$1:$I$88,3,0)*0.475*44/12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projet'!$B$17,Paramètres!$A$1:$I$88,3,0)*VLOOKUP('Données projet'!$B$17,Paramètres!$A$1:$I$88,5,0)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projet'!$B$17,Paramètres!$A$1:$I$88,7,0))</f>
        <v>0</v>
      </c>
      <c r="GJ50" s="17">
        <f>IF(ISNA(VLOOKUP(A50,'Données projet'!$A$243:$I$263,6,0)),0%,VLOOKUP(A50,'Données projet'!$A$243:$I$263,6,0)*VLOOKUP('Données projet'!$B$17,Paramètres!$A$1:$I$88,7,0))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projet'!$B$17,Paramètres!$A$1:$I$88,3,0)*0.475*44/12</f>
        <v>#N/A</v>
      </c>
      <c r="GM50" s="23" t="e">
        <f>EXP(-LN(2)/25)*GM49+(1-EXP(-LN(2)/25))/(LN(2)/25)*Calculateur!GH50*Calculateur!GJ50*VLOOKUP('Données projet'!$B$17,Paramètres!$A$1:$I$88,3,0)*0.475*44/12</f>
        <v>#N/A</v>
      </c>
      <c r="GN50" s="23" t="e">
        <f>EXP(-LN(2)/2)*GN49+(1-EXP(-LN(2)/2))/(LN(2)/2)*GH50*GK50*VLOOKUP('Données projet'!$B$17,Paramètres!$A$1:$I$88,3,0)*0.475*44/12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projet'!$B$18,Paramètres!$A$1:$I$88,3,0)*VLOOKUP('Données projet'!$B$18,Paramètres!$A$1:$I$88,5,0)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projet'!$B$18,Paramètres!$A$1:$I$88,7,0))</f>
        <v>0</v>
      </c>
      <c r="HE50" s="17">
        <f>IF(ISNA(VLOOKUP(A50,'Données projet'!$A$269:$I$289,6,0)),0%,VLOOKUP(A50,'Données projet'!$A$269:$I$289,6,0)*VLOOKUP('Données projet'!$B$18,Paramètres!$A$1:$I$88,7,0))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projet'!$B$18,Paramètres!$A$1:$I$88,3,0)*0.475*44/12</f>
        <v>#N/A</v>
      </c>
      <c r="HH50" s="23" t="e">
        <f>EXP(-LN(2)/25)*HH49+(1-EXP(-LN(2)/25))/(LN(2)/25)*Calculateur!HC50*Calculateur!HE50*VLOOKUP('Données projet'!$B$18,Paramètres!$A$1:$I$88,3,0)*0.475*44/12</f>
        <v>#N/A</v>
      </c>
      <c r="HI50" s="23" t="e">
        <f>EXP(-LN(2)/2)*HI49+(1-EXP(-LN(2)/2))/(LN(2)/2)*HC50*HF50*VLOOKUP('Données projet'!$B$18,Paramètres!$A$1:$I$88,3,0)*0.475*44/12</f>
        <v>#N/A</v>
      </c>
      <c r="HJ50" s="24" t="e">
        <f t="shared" si="30"/>
        <v>#N/A</v>
      </c>
    </row>
    <row r="51" spans="1:218" s="5" customFormat="1" x14ac:dyDescent="0.3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15.5</v>
      </c>
      <c r="N51" s="14">
        <f>IF('Données projet'!$A$36&gt;35,N50+M51-V50,IF(A51&lt;'Données projet'!$A$36,$K$205^A51,IF(A51='Données projet'!$A$36,'Données projet'!$B$36,N50+M51-V50)))</f>
        <v>404.50000000000023</v>
      </c>
      <c r="O51" s="14">
        <f>N51*VLOOKUP('Données projet'!$B$9,Paramètres!$A$1:$I$88,3,0)*VLOOKUP('Données projet'!$B$9,Paramètres!$A$1:$I$88,5,0)</f>
        <v>226.11550000000011</v>
      </c>
      <c r="P51" s="14">
        <f t="shared" si="33"/>
        <v>55.441930978872911</v>
      </c>
      <c r="Q51" s="22">
        <f t="shared" si="53"/>
        <v>490.3791922882038</v>
      </c>
      <c r="R51" s="62">
        <f t="shared" si="0"/>
        <v>744.13906097387144</v>
      </c>
      <c r="S51" s="62">
        <f ca="1">AVERAGE(OFFSET($R$3,0,0,'Données projet'!$E$9+1,1))-AVERAGE(OFFSET($H$3,0,0,'Données projet'!$E$9+1,1))</f>
        <v>367.03450586441784</v>
      </c>
      <c r="T51" s="62">
        <f t="shared" si="34"/>
        <v>413.14502442862897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projet'!$B$9,Paramètres!$A$1:$I$88,7,0))</f>
        <v>0</v>
      </c>
      <c r="X51" s="17">
        <f>IF(ISNA(VLOOKUP(A51,'Données projet'!$A$35:$I$55,6,0)),0%,VLOOKUP(A51,'Données projet'!$A$35:$I$55,6,0)*VLOOKUP('Données projet'!$B$9,Paramètres!$A$1:$I$88,7,0))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projet'!$B$9,Paramètres!$A$1:$I$88,3,0)*0.475*44/12</f>
        <v>26.673029421392183</v>
      </c>
      <c r="AA51" s="23">
        <f>EXP(-LN(2)/25)*AA50+(1-EXP(-LN(2)/25))/(LN(2)/25)*Calculateur!V51*Calculateur!X51*VLOOKUP('Données projet'!$B$9,Paramètres!$A$1:$I$88,3,0)*0.475*44/12</f>
        <v>49.167161308372997</v>
      </c>
      <c r="AB51" s="23">
        <f>EXP(-LN(2)/2)*AB50+(1-EXP(-LN(2)/2))/(LN(2)/2)*V51*Y51*VLOOKUP('Données projet'!$B$9,Paramètres!$A$1:$I$88,3,0)*0.475*44/12</f>
        <v>0</v>
      </c>
      <c r="AC51" s="24">
        <f t="shared" si="3"/>
        <v>75.840190729765183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projet'!$B$10,Paramètres!$A$1:$I$88,3,0)*VLOOKUP('Données projet'!$B$10,Paramètres!$A$1:$I$88,5,0)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projet'!$B$10,Paramètres!$A$1:$I$88,7,0))</f>
        <v>0</v>
      </c>
      <c r="AS51" s="17">
        <f>IF(ISNA(VLOOKUP(A51,'Données projet'!$A$61:$I$81,6,0)),0%,VLOOKUP(A51,'Données projet'!$A$61:$I$81,6,0)*VLOOKUP('Données projet'!$B$10,Paramètres!$A$1:$I$88,7,0))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projet'!$B$10,Paramètres!$A$1:$I$88,3,0)*0.475*44/12</f>
        <v>#N/A</v>
      </c>
      <c r="AV51" s="23" t="e">
        <f>EXP(-LN(2)/25)*AV50+(1-EXP(-LN(2)/25))/(LN(2)/25)*Calculateur!AQ51*Calculateur!AS51*VLOOKUP('Données projet'!$B$10,Paramètres!$A$1:$I$88,3,0)*0.475*44/12</f>
        <v>#N/A</v>
      </c>
      <c r="AW51" s="23" t="e">
        <f>EXP(-LN(2)/2)*AW50+(1-EXP(-LN(2)/2))/(LN(2)/2)*AQ51*AT51*VLOOKUP('Données projet'!$B$10,Paramètres!$A$1:$I$88,3,0)*0.475*44/12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projet'!$B$11,Paramètres!$A$1:$I$88,3,0)*VLOOKUP('Données projet'!$B$11,Paramètres!$A$1:$I$88,5,0)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projet'!$B$11,Paramètres!$A$1:$I$88,7,0))</f>
        <v>0</v>
      </c>
      <c r="BN51" s="17">
        <f>IF(ISNA(VLOOKUP(A51,'Données projet'!$A$87:$I$107,6,0)),0%,VLOOKUP(A51,'Données projet'!$A$87:$I$107,6,0)*VLOOKUP('Données projet'!$B$11,Paramètres!$A$1:$I$88,7,0))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projet'!$B$11,Paramètres!$A$1:$I$88,3,0)*0.475*44/12</f>
        <v>#N/A</v>
      </c>
      <c r="BQ51" s="23" t="e">
        <f>EXP(-LN(2)/25)*BQ50+(1-EXP(-LN(2)/25))/(LN(2)/25)*Calculateur!BL51*Calculateur!BN51*VLOOKUP('Données projet'!$B$11,Paramètres!$A$1:$I$88,3,0)*0.475*44/12</f>
        <v>#N/A</v>
      </c>
      <c r="BR51" s="23" t="e">
        <f>EXP(-LN(2)/2)*BR50+(1-EXP(-LN(2)/2))/(LN(2)/2)*BL51*BO51*VLOOKUP('Données projet'!$B$11,Paramètres!$A$1:$I$88,3,0)*0.475*44/12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projet'!$B$12,Paramètres!$A$1:$I$88,3,0)*VLOOKUP('Données projet'!$B$12,Paramètres!$A$1:$I$88,5,0)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projet'!$B$12,Paramètres!$A$1:$I$88,7,0))</f>
        <v>0</v>
      </c>
      <c r="CI51" s="17">
        <f>IF(ISNA(VLOOKUP(A51,'Données projet'!$A$113:$I$133,6,0)),0%,VLOOKUP(A51,'Données projet'!$A$113:$I$133,6,0)*VLOOKUP('Données projet'!$B$12,Paramètres!$A$1:$I$88,7,0))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projet'!$B$12,Paramètres!$A$1:$I$88,3,0)*0.475*44/12</f>
        <v>#N/A</v>
      </c>
      <c r="CL51" s="23" t="e">
        <f>EXP(-LN(2)/25)*CL50+(1-EXP(-LN(2)/25))/(LN(2)/25)*Calculateur!CG51*Calculateur!CI51*VLOOKUP('Données projet'!$B$12,Paramètres!$A$1:$I$88,3,0)*0.475*44/12</f>
        <v>#N/A</v>
      </c>
      <c r="CM51" s="23" t="e">
        <f>EXP(-LN(2)/2)*CM50+(1-EXP(-LN(2)/2))/(LN(2)/2)*CG51*CJ51*VLOOKUP('Données projet'!$B$12,Paramètres!$A$1:$I$88,3,0)*0.475*44/12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projet'!$B$13,Paramètres!$A$1:$I$88,3,0)*VLOOKUP('Données projet'!$B$13,Paramètres!$A$1:$I$88,5,0)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projet'!$B$13,Paramètres!$A$1:$I$88,7,0))</f>
        <v>0</v>
      </c>
      <c r="DD51" s="17">
        <f>IF(ISNA(VLOOKUP(A51,'Données projet'!$A$139:$I$159,6,0)),0%,VLOOKUP(A51,'Données projet'!$A$139:$I$159,6,0)*VLOOKUP('Données projet'!$B$13,Paramètres!$A$1:$I$88,7,0))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projet'!$B$13,Paramètres!$A$1:$I$88,3,0)*0.475*44/12</f>
        <v>#N/A</v>
      </c>
      <c r="DG51" s="23" t="e">
        <f>EXP(-LN(2)/25)*DG50+(1-EXP(-LN(2)/25))/(LN(2)/25)*Calculateur!DB51*Calculateur!DD51*VLOOKUP('Données projet'!$B$13,Paramètres!$A$1:$I$88,3,0)*0.475*44/12</f>
        <v>#N/A</v>
      </c>
      <c r="DH51" s="23" t="e">
        <f>EXP(-LN(2)/2)*DH50+(1-EXP(-LN(2)/2))/(LN(2)/2)*DB51*DE51*VLOOKUP('Données projet'!$B$13,Paramètres!$A$1:$I$88,3,0)*0.475*44/12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projet'!$B$14,Paramètres!$A$1:$I$88,3,0)*VLOOKUP('Données projet'!$B$14,Paramètres!$A$1:$I$88,5,0)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projet'!$B$14,Paramètres!$A$1:$I$88,7,0))</f>
        <v>0</v>
      </c>
      <c r="DY51" s="17">
        <f>IF(ISNA(VLOOKUP(A51,'Données projet'!$A$165:$I$185,6,0)),0%,VLOOKUP(A51,'Données projet'!$A$165:$I$185,6,0)*VLOOKUP('Données projet'!$B$14,Paramètres!$A$1:$I$88,7,0))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projet'!$B$14,Paramètres!$A$1:$I$88,3,0)*0.475*44/12</f>
        <v>#N/A</v>
      </c>
      <c r="EB51" s="23" t="e">
        <f>EXP(-LN(2)/25)*EB50+(1-EXP(-LN(2)/25))/(LN(2)/25)*Calculateur!DW51*Calculateur!DY51*VLOOKUP('Données projet'!$B$14,Paramètres!$A$1:$I$88,3,0)*0.475*44/12</f>
        <v>#N/A</v>
      </c>
      <c r="EC51" s="23" t="e">
        <f>EXP(-LN(2)/2)*EC50+(1-EXP(-LN(2)/2))/(LN(2)/2)*DW51*DZ51*VLOOKUP('Données projet'!$B$14,Paramètres!$A$1:$I$88,3,0)*0.475*44/12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projet'!$B$15,Paramètres!$A$1:$I$88,3,0)*VLOOKUP('Données projet'!$B$15,Paramètres!$A$1:$I$88,5,0)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projet'!$B$15,Paramètres!$A$1:$I$88,7,0))</f>
        <v>0</v>
      </c>
      <c r="ET51" s="17">
        <f>IF(ISNA(VLOOKUP(A51,'Données projet'!$A$191:$I$211,6,0)),0%,VLOOKUP(A51,'Données projet'!$A$191:$I$211,6,0)*VLOOKUP('Données projet'!$B$15,Paramètres!$A$1:$I$88,7,0))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projet'!$B$15,Paramètres!$A$1:$I$88,3,0)*0.475*44/12</f>
        <v>#N/A</v>
      </c>
      <c r="EW51" s="23" t="e">
        <f>EXP(-LN(2)/25)*EW50+(1-EXP(-LN(2)/25))/(LN(2)/25)*Calculateur!ER51*Calculateur!ET51*VLOOKUP('Données projet'!$B$15,Paramètres!$A$1:$I$88,3,0)*0.475*44/12</f>
        <v>#N/A</v>
      </c>
      <c r="EX51" s="23" t="e">
        <f>EXP(-LN(2)/2)*EX50+(1-EXP(-LN(2)/2))/(LN(2)/2)*ER51*EU51*VLOOKUP('Données projet'!$B$15,Paramètres!$A$1:$I$88,3,0)*0.475*44/12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projet'!$B$16,Paramètres!$A$1:$I$88,3,0)*VLOOKUP('Données projet'!$B$16,Paramètres!$A$1:$I$88,5,0)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projet'!$B$16,Paramètres!$A$1:$I$88,7,0))</f>
        <v>0</v>
      </c>
      <c r="FO51" s="17">
        <f>IF(ISNA(VLOOKUP(A51,'Données projet'!$A$217:$I$237,6,0)),0%,VLOOKUP(A51,'Données projet'!$A$217:$I$237,6,0)*VLOOKUP('Données projet'!$B$16,Paramètres!$A$1:$I$88,7,0))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projet'!$B$16,Paramètres!$A$1:$I$88,3,0)*0.475*44/12</f>
        <v>#N/A</v>
      </c>
      <c r="FR51" s="23" t="e">
        <f>EXP(-LN(2)/25)*FR50+(1-EXP(-LN(2)/25))/(LN(2)/25)*Calculateur!FM51*Calculateur!FO51*VLOOKUP('Données projet'!$B$16,Paramètres!$A$1:$I$88,3,0)*0.475*44/12</f>
        <v>#N/A</v>
      </c>
      <c r="FS51" s="23" t="e">
        <f>EXP(-LN(2)/2)*FS50+(1-EXP(-LN(2)/2))/(LN(2)/2)*FM51*FP51*VLOOKUP('Données projet'!$B$16,Paramètres!$A$1:$I$88,3,0)*0.475*44/12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projet'!$B$17,Paramètres!$A$1:$I$88,3,0)*VLOOKUP('Données projet'!$B$17,Paramètres!$A$1:$I$88,5,0)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projet'!$B$17,Paramètres!$A$1:$I$88,7,0))</f>
        <v>0</v>
      </c>
      <c r="GJ51" s="17">
        <f>IF(ISNA(VLOOKUP(A51,'Données projet'!$A$243:$I$263,6,0)),0%,VLOOKUP(A51,'Données projet'!$A$243:$I$263,6,0)*VLOOKUP('Données projet'!$B$17,Paramètres!$A$1:$I$88,7,0))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projet'!$B$17,Paramètres!$A$1:$I$88,3,0)*0.475*44/12</f>
        <v>#N/A</v>
      </c>
      <c r="GM51" s="23" t="e">
        <f>EXP(-LN(2)/25)*GM50+(1-EXP(-LN(2)/25))/(LN(2)/25)*Calculateur!GH51*Calculateur!GJ51*VLOOKUP('Données projet'!$B$17,Paramètres!$A$1:$I$88,3,0)*0.475*44/12</f>
        <v>#N/A</v>
      </c>
      <c r="GN51" s="23" t="e">
        <f>EXP(-LN(2)/2)*GN50+(1-EXP(-LN(2)/2))/(LN(2)/2)*GH51*GK51*VLOOKUP('Données projet'!$B$17,Paramètres!$A$1:$I$88,3,0)*0.475*44/12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projet'!$B$18,Paramètres!$A$1:$I$88,3,0)*VLOOKUP('Données projet'!$B$18,Paramètres!$A$1:$I$88,5,0)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projet'!$B$18,Paramètres!$A$1:$I$88,7,0))</f>
        <v>0</v>
      </c>
      <c r="HE51" s="17">
        <f>IF(ISNA(VLOOKUP(A51,'Données projet'!$A$269:$I$289,6,0)),0%,VLOOKUP(A51,'Données projet'!$A$269:$I$289,6,0)*VLOOKUP('Données projet'!$B$18,Paramètres!$A$1:$I$88,7,0))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projet'!$B$18,Paramètres!$A$1:$I$88,3,0)*0.475*44/12</f>
        <v>#N/A</v>
      </c>
      <c r="HH51" s="23" t="e">
        <f>EXP(-LN(2)/25)*HH50+(1-EXP(-LN(2)/25))/(LN(2)/25)*Calculateur!HC51*Calculateur!HE51*VLOOKUP('Données projet'!$B$18,Paramètres!$A$1:$I$88,3,0)*0.475*44/12</f>
        <v>#N/A</v>
      </c>
      <c r="HI51" s="23" t="e">
        <f>EXP(-LN(2)/2)*HI50+(1-EXP(-LN(2)/2))/(LN(2)/2)*HC51*HF51*VLOOKUP('Données projet'!$B$18,Paramètres!$A$1:$I$88,3,0)*0.475*44/12</f>
        <v>#N/A</v>
      </c>
      <c r="HJ51" s="24" t="e">
        <f t="shared" si="30"/>
        <v>#N/A</v>
      </c>
    </row>
    <row r="52" spans="1:218" s="5" customFormat="1" x14ac:dyDescent="0.3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15.5</v>
      </c>
      <c r="N52" s="14">
        <f>IF('Données projet'!$A$36&gt;35,N51+M52-V51,IF(A52&lt;'Données projet'!$A$36,$K$205^A52,IF(A52='Données projet'!$A$36,'Données projet'!$B$36,N51+M52-V51)))</f>
        <v>420.00000000000023</v>
      </c>
      <c r="O52" s="14">
        <f>N52*VLOOKUP('Données projet'!$B$9,Paramètres!$A$1:$I$88,3,0)*VLOOKUP('Données projet'!$B$9,Paramètres!$A$1:$I$88,5,0)</f>
        <v>234.78000000000014</v>
      </c>
      <c r="P52" s="14">
        <f t="shared" si="33"/>
        <v>57.314988725509004</v>
      </c>
      <c r="Q52" s="22">
        <f t="shared" si="53"/>
        <v>508.73210536359505</v>
      </c>
      <c r="R52" s="62">
        <f t="shared" si="0"/>
        <v>763.17848518788696</v>
      </c>
      <c r="S52" s="62">
        <f ca="1">AVERAGE(OFFSET($R$3,0,0,'Données projet'!$E$9+1,1))-AVERAGE(OFFSET($H$3,0,0,'Données projet'!$E$9+1,1))</f>
        <v>367.03450586441784</v>
      </c>
      <c r="T52" s="62">
        <f t="shared" si="34"/>
        <v>413.14502442862897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projet'!$B$9,Paramètres!$A$1:$I$88,7,0))</f>
        <v>0</v>
      </c>
      <c r="X52" s="17">
        <f>IF(ISNA(VLOOKUP(A52,'Données projet'!$A$35:$I$55,6,0)),0%,VLOOKUP(A52,'Données projet'!$A$35:$I$55,6,0)*VLOOKUP('Données projet'!$B$9,Paramètres!$A$1:$I$88,7,0))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projet'!$B$9,Paramètres!$A$1:$I$88,3,0)*0.475*44/12</f>
        <v>26.149987583380206</v>
      </c>
      <c r="AA52" s="23">
        <f>EXP(-LN(2)/25)*AA51+(1-EXP(-LN(2)/25))/(LN(2)/25)*Calculateur!V52*Calculateur!X52*VLOOKUP('Données projet'!$B$9,Paramètres!$A$1:$I$88,3,0)*0.475*44/12</f>
        <v>47.822682696806893</v>
      </c>
      <c r="AB52" s="23">
        <f>EXP(-LN(2)/2)*AB51+(1-EXP(-LN(2)/2))/(LN(2)/2)*V52*Y52*VLOOKUP('Données projet'!$B$9,Paramètres!$A$1:$I$88,3,0)*0.475*44/12</f>
        <v>0</v>
      </c>
      <c r="AC52" s="24">
        <f t="shared" si="3"/>
        <v>73.972670280187103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projet'!$B$10,Paramètres!$A$1:$I$88,3,0)*VLOOKUP('Données projet'!$B$10,Paramètres!$A$1:$I$88,5,0)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projet'!$B$10,Paramètres!$A$1:$I$88,7,0))</f>
        <v>0</v>
      </c>
      <c r="AS52" s="17">
        <f>IF(ISNA(VLOOKUP(A52,'Données projet'!$A$61:$I$81,6,0)),0%,VLOOKUP(A52,'Données projet'!$A$61:$I$81,6,0)*VLOOKUP('Données projet'!$B$10,Paramètres!$A$1:$I$88,7,0))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projet'!$B$10,Paramètres!$A$1:$I$88,3,0)*0.475*44/12</f>
        <v>#N/A</v>
      </c>
      <c r="AV52" s="23" t="e">
        <f>EXP(-LN(2)/25)*AV51+(1-EXP(-LN(2)/25))/(LN(2)/25)*Calculateur!AQ52*Calculateur!AS52*VLOOKUP('Données projet'!$B$10,Paramètres!$A$1:$I$88,3,0)*0.475*44/12</f>
        <v>#N/A</v>
      </c>
      <c r="AW52" s="23" t="e">
        <f>EXP(-LN(2)/2)*AW51+(1-EXP(-LN(2)/2))/(LN(2)/2)*AQ52*AT52*VLOOKUP('Données projet'!$B$10,Paramètres!$A$1:$I$88,3,0)*0.475*44/12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projet'!$B$11,Paramètres!$A$1:$I$88,3,0)*VLOOKUP('Données projet'!$B$11,Paramètres!$A$1:$I$88,5,0)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projet'!$B$11,Paramètres!$A$1:$I$88,7,0))</f>
        <v>0</v>
      </c>
      <c r="BN52" s="17">
        <f>IF(ISNA(VLOOKUP(A52,'Données projet'!$A$87:$I$107,6,0)),0%,VLOOKUP(A52,'Données projet'!$A$87:$I$107,6,0)*VLOOKUP('Données projet'!$B$11,Paramètres!$A$1:$I$88,7,0))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projet'!$B$11,Paramètres!$A$1:$I$88,3,0)*0.475*44/12</f>
        <v>#N/A</v>
      </c>
      <c r="BQ52" s="23" t="e">
        <f>EXP(-LN(2)/25)*BQ51+(1-EXP(-LN(2)/25))/(LN(2)/25)*Calculateur!BL52*Calculateur!BN52*VLOOKUP('Données projet'!$B$11,Paramètres!$A$1:$I$88,3,0)*0.475*44/12</f>
        <v>#N/A</v>
      </c>
      <c r="BR52" s="23" t="e">
        <f>EXP(-LN(2)/2)*BR51+(1-EXP(-LN(2)/2))/(LN(2)/2)*BL52*BO52*VLOOKUP('Données projet'!$B$11,Paramètres!$A$1:$I$88,3,0)*0.475*44/12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projet'!$B$12,Paramètres!$A$1:$I$88,3,0)*VLOOKUP('Données projet'!$B$12,Paramètres!$A$1:$I$88,5,0)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projet'!$B$12,Paramètres!$A$1:$I$88,7,0))</f>
        <v>0</v>
      </c>
      <c r="CI52" s="17">
        <f>IF(ISNA(VLOOKUP(A52,'Données projet'!$A$113:$I$133,6,0)),0%,VLOOKUP(A52,'Données projet'!$A$113:$I$133,6,0)*VLOOKUP('Données projet'!$B$12,Paramètres!$A$1:$I$88,7,0))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projet'!$B$12,Paramètres!$A$1:$I$88,3,0)*0.475*44/12</f>
        <v>#N/A</v>
      </c>
      <c r="CL52" s="23" t="e">
        <f>EXP(-LN(2)/25)*CL51+(1-EXP(-LN(2)/25))/(LN(2)/25)*Calculateur!CG52*Calculateur!CI52*VLOOKUP('Données projet'!$B$12,Paramètres!$A$1:$I$88,3,0)*0.475*44/12</f>
        <v>#N/A</v>
      </c>
      <c r="CM52" s="23" t="e">
        <f>EXP(-LN(2)/2)*CM51+(1-EXP(-LN(2)/2))/(LN(2)/2)*CG52*CJ52*VLOOKUP('Données projet'!$B$12,Paramètres!$A$1:$I$88,3,0)*0.475*44/12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projet'!$B$13,Paramètres!$A$1:$I$88,3,0)*VLOOKUP('Données projet'!$B$13,Paramètres!$A$1:$I$88,5,0)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projet'!$B$13,Paramètres!$A$1:$I$88,7,0))</f>
        <v>0</v>
      </c>
      <c r="DD52" s="17">
        <f>IF(ISNA(VLOOKUP(A52,'Données projet'!$A$139:$I$159,6,0)),0%,VLOOKUP(A52,'Données projet'!$A$139:$I$159,6,0)*VLOOKUP('Données projet'!$B$13,Paramètres!$A$1:$I$88,7,0))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projet'!$B$13,Paramètres!$A$1:$I$88,3,0)*0.475*44/12</f>
        <v>#N/A</v>
      </c>
      <c r="DG52" s="23" t="e">
        <f>EXP(-LN(2)/25)*DG51+(1-EXP(-LN(2)/25))/(LN(2)/25)*Calculateur!DB52*Calculateur!DD52*VLOOKUP('Données projet'!$B$13,Paramètres!$A$1:$I$88,3,0)*0.475*44/12</f>
        <v>#N/A</v>
      </c>
      <c r="DH52" s="23" t="e">
        <f>EXP(-LN(2)/2)*DH51+(1-EXP(-LN(2)/2))/(LN(2)/2)*DB52*DE52*VLOOKUP('Données projet'!$B$13,Paramètres!$A$1:$I$88,3,0)*0.475*44/12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projet'!$B$14,Paramètres!$A$1:$I$88,3,0)*VLOOKUP('Données projet'!$B$14,Paramètres!$A$1:$I$88,5,0)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projet'!$B$14,Paramètres!$A$1:$I$88,7,0))</f>
        <v>0</v>
      </c>
      <c r="DY52" s="17">
        <f>IF(ISNA(VLOOKUP(A52,'Données projet'!$A$165:$I$185,6,0)),0%,VLOOKUP(A52,'Données projet'!$A$165:$I$185,6,0)*VLOOKUP('Données projet'!$B$14,Paramètres!$A$1:$I$88,7,0))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projet'!$B$14,Paramètres!$A$1:$I$88,3,0)*0.475*44/12</f>
        <v>#N/A</v>
      </c>
      <c r="EB52" s="23" t="e">
        <f>EXP(-LN(2)/25)*EB51+(1-EXP(-LN(2)/25))/(LN(2)/25)*Calculateur!DW52*Calculateur!DY52*VLOOKUP('Données projet'!$B$14,Paramètres!$A$1:$I$88,3,0)*0.475*44/12</f>
        <v>#N/A</v>
      </c>
      <c r="EC52" s="23" t="e">
        <f>EXP(-LN(2)/2)*EC51+(1-EXP(-LN(2)/2))/(LN(2)/2)*DW52*DZ52*VLOOKUP('Données projet'!$B$14,Paramètres!$A$1:$I$88,3,0)*0.475*44/12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projet'!$B$15,Paramètres!$A$1:$I$88,3,0)*VLOOKUP('Données projet'!$B$15,Paramètres!$A$1:$I$88,5,0)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projet'!$B$15,Paramètres!$A$1:$I$88,7,0))</f>
        <v>0</v>
      </c>
      <c r="ET52" s="17">
        <f>IF(ISNA(VLOOKUP(A52,'Données projet'!$A$191:$I$211,6,0)),0%,VLOOKUP(A52,'Données projet'!$A$191:$I$211,6,0)*VLOOKUP('Données projet'!$B$15,Paramètres!$A$1:$I$88,7,0))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projet'!$B$15,Paramètres!$A$1:$I$88,3,0)*0.475*44/12</f>
        <v>#N/A</v>
      </c>
      <c r="EW52" s="23" t="e">
        <f>EXP(-LN(2)/25)*EW51+(1-EXP(-LN(2)/25))/(LN(2)/25)*Calculateur!ER52*Calculateur!ET52*VLOOKUP('Données projet'!$B$15,Paramètres!$A$1:$I$88,3,0)*0.475*44/12</f>
        <v>#N/A</v>
      </c>
      <c r="EX52" s="23" t="e">
        <f>EXP(-LN(2)/2)*EX51+(1-EXP(-LN(2)/2))/(LN(2)/2)*ER52*EU52*VLOOKUP('Données projet'!$B$15,Paramètres!$A$1:$I$88,3,0)*0.475*44/12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projet'!$B$16,Paramètres!$A$1:$I$88,3,0)*VLOOKUP('Données projet'!$B$16,Paramètres!$A$1:$I$88,5,0)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projet'!$B$16,Paramètres!$A$1:$I$88,7,0))</f>
        <v>0</v>
      </c>
      <c r="FO52" s="17">
        <f>IF(ISNA(VLOOKUP(A52,'Données projet'!$A$217:$I$237,6,0)),0%,VLOOKUP(A52,'Données projet'!$A$217:$I$237,6,0)*VLOOKUP('Données projet'!$B$16,Paramètres!$A$1:$I$88,7,0))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projet'!$B$16,Paramètres!$A$1:$I$88,3,0)*0.475*44/12</f>
        <v>#N/A</v>
      </c>
      <c r="FR52" s="23" t="e">
        <f>EXP(-LN(2)/25)*FR51+(1-EXP(-LN(2)/25))/(LN(2)/25)*Calculateur!FM52*Calculateur!FO52*VLOOKUP('Données projet'!$B$16,Paramètres!$A$1:$I$88,3,0)*0.475*44/12</f>
        <v>#N/A</v>
      </c>
      <c r="FS52" s="23" t="e">
        <f>EXP(-LN(2)/2)*FS51+(1-EXP(-LN(2)/2))/(LN(2)/2)*FM52*FP52*VLOOKUP('Données projet'!$B$16,Paramètres!$A$1:$I$88,3,0)*0.475*44/12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projet'!$B$17,Paramètres!$A$1:$I$88,3,0)*VLOOKUP('Données projet'!$B$17,Paramètres!$A$1:$I$88,5,0)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projet'!$B$17,Paramètres!$A$1:$I$88,7,0))</f>
        <v>0</v>
      </c>
      <c r="GJ52" s="17">
        <f>IF(ISNA(VLOOKUP(A52,'Données projet'!$A$243:$I$263,6,0)),0%,VLOOKUP(A52,'Données projet'!$A$243:$I$263,6,0)*VLOOKUP('Données projet'!$B$17,Paramètres!$A$1:$I$88,7,0))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projet'!$B$17,Paramètres!$A$1:$I$88,3,0)*0.475*44/12</f>
        <v>#N/A</v>
      </c>
      <c r="GM52" s="23" t="e">
        <f>EXP(-LN(2)/25)*GM51+(1-EXP(-LN(2)/25))/(LN(2)/25)*Calculateur!GH52*Calculateur!GJ52*VLOOKUP('Données projet'!$B$17,Paramètres!$A$1:$I$88,3,0)*0.475*44/12</f>
        <v>#N/A</v>
      </c>
      <c r="GN52" s="23" t="e">
        <f>EXP(-LN(2)/2)*GN51+(1-EXP(-LN(2)/2))/(LN(2)/2)*GH52*GK52*VLOOKUP('Données projet'!$B$17,Paramètres!$A$1:$I$88,3,0)*0.475*44/12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projet'!$B$18,Paramètres!$A$1:$I$88,3,0)*VLOOKUP('Données projet'!$B$18,Paramètres!$A$1:$I$88,5,0)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projet'!$B$18,Paramètres!$A$1:$I$88,7,0))</f>
        <v>0</v>
      </c>
      <c r="HE52" s="17">
        <f>IF(ISNA(VLOOKUP(A52,'Données projet'!$A$269:$I$289,6,0)),0%,VLOOKUP(A52,'Données projet'!$A$269:$I$289,6,0)*VLOOKUP('Données projet'!$B$18,Paramètres!$A$1:$I$88,7,0))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projet'!$B$18,Paramètres!$A$1:$I$88,3,0)*0.475*44/12</f>
        <v>#N/A</v>
      </c>
      <c r="HH52" s="23" t="e">
        <f>EXP(-LN(2)/25)*HH51+(1-EXP(-LN(2)/25))/(LN(2)/25)*Calculateur!HC52*Calculateur!HE52*VLOOKUP('Données projet'!$B$18,Paramètres!$A$1:$I$88,3,0)*0.475*44/12</f>
        <v>#N/A</v>
      </c>
      <c r="HI52" s="23" t="e">
        <f>EXP(-LN(2)/2)*HI51+(1-EXP(-LN(2)/2))/(LN(2)/2)*HC52*HF52*VLOOKUP('Données projet'!$B$18,Paramètres!$A$1:$I$88,3,0)*0.475*44/12</f>
        <v>#N/A</v>
      </c>
      <c r="HJ52" s="24" t="e">
        <f t="shared" si="30"/>
        <v>#N/A</v>
      </c>
    </row>
    <row r="53" spans="1:218" s="5" customFormat="1" x14ac:dyDescent="0.3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15.5</v>
      </c>
      <c r="N53" s="14">
        <f>IF('Données projet'!$A$36&gt;35,N52+M53-V52,IF(A53&lt;'Données projet'!$A$36,$K$205^A53,IF(A53='Données projet'!$A$36,'Données projet'!$B$36,N52+M53-V52)))</f>
        <v>435.50000000000023</v>
      </c>
      <c r="O53" s="14">
        <f>N53*VLOOKUP('Données projet'!$B$9,Paramètres!$A$1:$I$88,3,0)*VLOOKUP('Données projet'!$B$9,Paramètres!$A$1:$I$88,5,0)</f>
        <v>243.44450000000015</v>
      </c>
      <c r="P53" s="14">
        <f t="shared" si="33"/>
        <v>59.180015682895579</v>
      </c>
      <c r="Q53" s="22">
        <f t="shared" si="53"/>
        <v>527.07103148104329</v>
      </c>
      <c r="R53" s="62">
        <f t="shared" si="0"/>
        <v>782.19201301051339</v>
      </c>
      <c r="S53" s="62">
        <f ca="1">AVERAGE(OFFSET($R$3,0,0,'Données projet'!$E$9+1,1))-AVERAGE(OFFSET($H$3,0,0,'Données projet'!$E$9+1,1))</f>
        <v>367.03450586441784</v>
      </c>
      <c r="T53" s="62">
        <f t="shared" si="34"/>
        <v>413.14502442862897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projet'!$B$9,Paramètres!$A$1:$I$88,7,0))</f>
        <v>0</v>
      </c>
      <c r="X53" s="17">
        <f>IF(ISNA(VLOOKUP(A53,'Données projet'!$A$35:$I$55,6,0)),0%,VLOOKUP(A53,'Données projet'!$A$35:$I$55,6,0)*VLOOKUP('Données projet'!$B$9,Paramètres!$A$1:$I$88,7,0))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projet'!$B$9,Paramètres!$A$1:$I$88,3,0)*0.475*44/12</f>
        <v>25.637202276787622</v>
      </c>
      <c r="AA53" s="23">
        <f>EXP(-LN(2)/25)*AA52+(1-EXP(-LN(2)/25))/(LN(2)/25)*Calculateur!V53*Calculateur!X53*VLOOKUP('Données projet'!$B$9,Paramètres!$A$1:$I$88,3,0)*0.475*44/12</f>
        <v>46.514968923577129</v>
      </c>
      <c r="AB53" s="23">
        <f>EXP(-LN(2)/2)*AB52+(1-EXP(-LN(2)/2))/(LN(2)/2)*V53*Y53*VLOOKUP('Données projet'!$B$9,Paramètres!$A$1:$I$88,3,0)*0.475*44/12</f>
        <v>0</v>
      </c>
      <c r="AC53" s="24">
        <f t="shared" si="3"/>
        <v>72.152171200364748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projet'!$B$10,Paramètres!$A$1:$I$88,3,0)*VLOOKUP('Données projet'!$B$10,Paramètres!$A$1:$I$88,5,0)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projet'!$B$10,Paramètres!$A$1:$I$88,7,0))</f>
        <v>0</v>
      </c>
      <c r="AS53" s="17">
        <f>IF(ISNA(VLOOKUP(A53,'Données projet'!$A$61:$I$81,6,0)),0%,VLOOKUP(A53,'Données projet'!$A$61:$I$81,6,0)*VLOOKUP('Données projet'!$B$10,Paramètres!$A$1:$I$88,7,0))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projet'!$B$10,Paramètres!$A$1:$I$88,3,0)*0.475*44/12</f>
        <v>#N/A</v>
      </c>
      <c r="AV53" s="23" t="e">
        <f>EXP(-LN(2)/25)*AV52+(1-EXP(-LN(2)/25))/(LN(2)/25)*Calculateur!AQ53*Calculateur!AS53*VLOOKUP('Données projet'!$B$10,Paramètres!$A$1:$I$88,3,0)*0.475*44/12</f>
        <v>#N/A</v>
      </c>
      <c r="AW53" s="23" t="e">
        <f>EXP(-LN(2)/2)*AW52+(1-EXP(-LN(2)/2))/(LN(2)/2)*AQ53*AT53*VLOOKUP('Données projet'!$B$10,Paramètres!$A$1:$I$88,3,0)*0.475*44/12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projet'!$B$11,Paramètres!$A$1:$I$88,3,0)*VLOOKUP('Données projet'!$B$11,Paramètres!$A$1:$I$88,5,0)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projet'!$B$11,Paramètres!$A$1:$I$88,7,0))</f>
        <v>0</v>
      </c>
      <c r="BN53" s="17">
        <f>IF(ISNA(VLOOKUP(A53,'Données projet'!$A$87:$I$107,6,0)),0%,VLOOKUP(A53,'Données projet'!$A$87:$I$107,6,0)*VLOOKUP('Données projet'!$B$11,Paramètres!$A$1:$I$88,7,0))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projet'!$B$11,Paramètres!$A$1:$I$88,3,0)*0.475*44/12</f>
        <v>#N/A</v>
      </c>
      <c r="BQ53" s="23" t="e">
        <f>EXP(-LN(2)/25)*BQ52+(1-EXP(-LN(2)/25))/(LN(2)/25)*Calculateur!BL53*Calculateur!BN53*VLOOKUP('Données projet'!$B$11,Paramètres!$A$1:$I$88,3,0)*0.475*44/12</f>
        <v>#N/A</v>
      </c>
      <c r="BR53" s="23" t="e">
        <f>EXP(-LN(2)/2)*BR52+(1-EXP(-LN(2)/2))/(LN(2)/2)*BL53*BO53*VLOOKUP('Données projet'!$B$11,Paramètres!$A$1:$I$88,3,0)*0.475*44/12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projet'!$B$12,Paramètres!$A$1:$I$88,3,0)*VLOOKUP('Données projet'!$B$12,Paramètres!$A$1:$I$88,5,0)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projet'!$B$12,Paramètres!$A$1:$I$88,7,0))</f>
        <v>0</v>
      </c>
      <c r="CI53" s="17">
        <f>IF(ISNA(VLOOKUP(A53,'Données projet'!$A$113:$I$133,6,0)),0%,VLOOKUP(A53,'Données projet'!$A$113:$I$133,6,0)*VLOOKUP('Données projet'!$B$12,Paramètres!$A$1:$I$88,7,0))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projet'!$B$12,Paramètres!$A$1:$I$88,3,0)*0.475*44/12</f>
        <v>#N/A</v>
      </c>
      <c r="CL53" s="23" t="e">
        <f>EXP(-LN(2)/25)*CL52+(1-EXP(-LN(2)/25))/(LN(2)/25)*Calculateur!CG53*Calculateur!CI53*VLOOKUP('Données projet'!$B$12,Paramètres!$A$1:$I$88,3,0)*0.475*44/12</f>
        <v>#N/A</v>
      </c>
      <c r="CM53" s="23" t="e">
        <f>EXP(-LN(2)/2)*CM52+(1-EXP(-LN(2)/2))/(LN(2)/2)*CG53*CJ53*VLOOKUP('Données projet'!$B$12,Paramètres!$A$1:$I$88,3,0)*0.475*44/12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projet'!$B$13,Paramètres!$A$1:$I$88,3,0)*VLOOKUP('Données projet'!$B$13,Paramètres!$A$1:$I$88,5,0)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projet'!$B$13,Paramètres!$A$1:$I$88,7,0))</f>
        <v>0</v>
      </c>
      <c r="DD53" s="17">
        <f>IF(ISNA(VLOOKUP(A53,'Données projet'!$A$139:$I$159,6,0)),0%,VLOOKUP(A53,'Données projet'!$A$139:$I$159,6,0)*VLOOKUP('Données projet'!$B$13,Paramètres!$A$1:$I$88,7,0))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projet'!$B$13,Paramètres!$A$1:$I$88,3,0)*0.475*44/12</f>
        <v>#N/A</v>
      </c>
      <c r="DG53" s="23" t="e">
        <f>EXP(-LN(2)/25)*DG52+(1-EXP(-LN(2)/25))/(LN(2)/25)*Calculateur!DB53*Calculateur!DD53*VLOOKUP('Données projet'!$B$13,Paramètres!$A$1:$I$88,3,0)*0.475*44/12</f>
        <v>#N/A</v>
      </c>
      <c r="DH53" s="23" t="e">
        <f>EXP(-LN(2)/2)*DH52+(1-EXP(-LN(2)/2))/(LN(2)/2)*DB53*DE53*VLOOKUP('Données projet'!$B$13,Paramètres!$A$1:$I$88,3,0)*0.475*44/12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projet'!$B$14,Paramètres!$A$1:$I$88,3,0)*VLOOKUP('Données projet'!$B$14,Paramètres!$A$1:$I$88,5,0)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projet'!$B$14,Paramètres!$A$1:$I$88,7,0))</f>
        <v>0</v>
      </c>
      <c r="DY53" s="17">
        <f>IF(ISNA(VLOOKUP(A53,'Données projet'!$A$165:$I$185,6,0)),0%,VLOOKUP(A53,'Données projet'!$A$165:$I$185,6,0)*VLOOKUP('Données projet'!$B$14,Paramètres!$A$1:$I$88,7,0))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projet'!$B$14,Paramètres!$A$1:$I$88,3,0)*0.475*44/12</f>
        <v>#N/A</v>
      </c>
      <c r="EB53" s="23" t="e">
        <f>EXP(-LN(2)/25)*EB52+(1-EXP(-LN(2)/25))/(LN(2)/25)*Calculateur!DW53*Calculateur!DY53*VLOOKUP('Données projet'!$B$14,Paramètres!$A$1:$I$88,3,0)*0.475*44/12</f>
        <v>#N/A</v>
      </c>
      <c r="EC53" s="23" t="e">
        <f>EXP(-LN(2)/2)*EC52+(1-EXP(-LN(2)/2))/(LN(2)/2)*DW53*DZ53*VLOOKUP('Données projet'!$B$14,Paramètres!$A$1:$I$88,3,0)*0.475*44/12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projet'!$B$15,Paramètres!$A$1:$I$88,3,0)*VLOOKUP('Données projet'!$B$15,Paramètres!$A$1:$I$88,5,0)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projet'!$B$15,Paramètres!$A$1:$I$88,7,0))</f>
        <v>0</v>
      </c>
      <c r="ET53" s="17">
        <f>IF(ISNA(VLOOKUP(A53,'Données projet'!$A$191:$I$211,6,0)),0%,VLOOKUP(A53,'Données projet'!$A$191:$I$211,6,0)*VLOOKUP('Données projet'!$B$15,Paramètres!$A$1:$I$88,7,0))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projet'!$B$15,Paramètres!$A$1:$I$88,3,0)*0.475*44/12</f>
        <v>#N/A</v>
      </c>
      <c r="EW53" s="23" t="e">
        <f>EXP(-LN(2)/25)*EW52+(1-EXP(-LN(2)/25))/(LN(2)/25)*Calculateur!ER53*Calculateur!ET53*VLOOKUP('Données projet'!$B$15,Paramètres!$A$1:$I$88,3,0)*0.475*44/12</f>
        <v>#N/A</v>
      </c>
      <c r="EX53" s="23" t="e">
        <f>EXP(-LN(2)/2)*EX52+(1-EXP(-LN(2)/2))/(LN(2)/2)*ER53*EU53*VLOOKUP('Données projet'!$B$15,Paramètres!$A$1:$I$88,3,0)*0.475*44/12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projet'!$B$16,Paramètres!$A$1:$I$88,3,0)*VLOOKUP('Données projet'!$B$16,Paramètres!$A$1:$I$88,5,0)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projet'!$B$16,Paramètres!$A$1:$I$88,7,0))</f>
        <v>0</v>
      </c>
      <c r="FO53" s="17">
        <f>IF(ISNA(VLOOKUP(A53,'Données projet'!$A$217:$I$237,6,0)),0%,VLOOKUP(A53,'Données projet'!$A$217:$I$237,6,0)*VLOOKUP('Données projet'!$B$16,Paramètres!$A$1:$I$88,7,0))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projet'!$B$16,Paramètres!$A$1:$I$88,3,0)*0.475*44/12</f>
        <v>#N/A</v>
      </c>
      <c r="FR53" s="23" t="e">
        <f>EXP(-LN(2)/25)*FR52+(1-EXP(-LN(2)/25))/(LN(2)/25)*Calculateur!FM53*Calculateur!FO53*VLOOKUP('Données projet'!$B$16,Paramètres!$A$1:$I$88,3,0)*0.475*44/12</f>
        <v>#N/A</v>
      </c>
      <c r="FS53" s="23" t="e">
        <f>EXP(-LN(2)/2)*FS52+(1-EXP(-LN(2)/2))/(LN(2)/2)*FM53*FP53*VLOOKUP('Données projet'!$B$16,Paramètres!$A$1:$I$88,3,0)*0.475*44/12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projet'!$B$17,Paramètres!$A$1:$I$88,3,0)*VLOOKUP('Données projet'!$B$17,Paramètres!$A$1:$I$88,5,0)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projet'!$B$17,Paramètres!$A$1:$I$88,7,0))</f>
        <v>0</v>
      </c>
      <c r="GJ53" s="17">
        <f>IF(ISNA(VLOOKUP(A53,'Données projet'!$A$243:$I$263,6,0)),0%,VLOOKUP(A53,'Données projet'!$A$243:$I$263,6,0)*VLOOKUP('Données projet'!$B$17,Paramètres!$A$1:$I$88,7,0))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projet'!$B$17,Paramètres!$A$1:$I$88,3,0)*0.475*44/12</f>
        <v>#N/A</v>
      </c>
      <c r="GM53" s="23" t="e">
        <f>EXP(-LN(2)/25)*GM52+(1-EXP(-LN(2)/25))/(LN(2)/25)*Calculateur!GH53*Calculateur!GJ53*VLOOKUP('Données projet'!$B$17,Paramètres!$A$1:$I$88,3,0)*0.475*44/12</f>
        <v>#N/A</v>
      </c>
      <c r="GN53" s="23" t="e">
        <f>EXP(-LN(2)/2)*GN52+(1-EXP(-LN(2)/2))/(LN(2)/2)*GH53*GK53*VLOOKUP('Données projet'!$B$17,Paramètres!$A$1:$I$88,3,0)*0.475*44/12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projet'!$B$18,Paramètres!$A$1:$I$88,3,0)*VLOOKUP('Données projet'!$B$18,Paramètres!$A$1:$I$88,5,0)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projet'!$B$18,Paramètres!$A$1:$I$88,7,0))</f>
        <v>0</v>
      </c>
      <c r="HE53" s="17">
        <f>IF(ISNA(VLOOKUP(A53,'Données projet'!$A$269:$I$289,6,0)),0%,VLOOKUP(A53,'Données projet'!$A$269:$I$289,6,0)*VLOOKUP('Données projet'!$B$18,Paramètres!$A$1:$I$88,7,0))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projet'!$B$18,Paramètres!$A$1:$I$88,3,0)*0.475*44/12</f>
        <v>#N/A</v>
      </c>
      <c r="HH53" s="23" t="e">
        <f>EXP(-LN(2)/25)*HH52+(1-EXP(-LN(2)/25))/(LN(2)/25)*Calculateur!HC53*Calculateur!HE53*VLOOKUP('Données projet'!$B$18,Paramètres!$A$1:$I$88,3,0)*0.475*44/12</f>
        <v>#N/A</v>
      </c>
      <c r="HI53" s="23" t="e">
        <f>EXP(-LN(2)/2)*HI52+(1-EXP(-LN(2)/2))/(LN(2)/2)*HC53*HF53*VLOOKUP('Données projet'!$B$18,Paramètres!$A$1:$I$88,3,0)*0.475*44/12</f>
        <v>#N/A</v>
      </c>
      <c r="HJ53" s="24" t="e">
        <f t="shared" si="30"/>
        <v>#N/A</v>
      </c>
    </row>
    <row r="54" spans="1:218" s="5" customFormat="1" x14ac:dyDescent="0.3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15.5</v>
      </c>
      <c r="N54" s="14">
        <f>IF('Données projet'!$A$36&gt;35,N53+M54-V53,IF(A54&lt;'Données projet'!$A$36,$K$205^A54,IF(A54='Données projet'!$A$36,'Données projet'!$B$36,N53+M54-V53)))</f>
        <v>451.00000000000023</v>
      </c>
      <c r="O54" s="14">
        <f>N54*VLOOKUP('Données projet'!$B$9,Paramètres!$A$1:$I$88,3,0)*VLOOKUP('Données projet'!$B$9,Paramètres!$A$1:$I$88,5,0)</f>
        <v>252.10900000000012</v>
      </c>
      <c r="P54" s="14">
        <f t="shared" si="33"/>
        <v>61.037330423900919</v>
      </c>
      <c r="Q54" s="22">
        <f t="shared" si="53"/>
        <v>545.39652548829429</v>
      </c>
      <c r="R54" s="62">
        <f t="shared" si="0"/>
        <v>801.18040589154111</v>
      </c>
      <c r="S54" s="62">
        <f ca="1">AVERAGE(OFFSET($R$3,0,0,'Données projet'!$E$9+1,1))-AVERAGE(OFFSET($H$3,0,0,'Données projet'!$E$9+1,1))</f>
        <v>367.03450586441784</v>
      </c>
      <c r="T54" s="62">
        <f t="shared" si="34"/>
        <v>413.14502442862897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projet'!$B$9,Paramètres!$A$1:$I$88,7,0))</f>
        <v>0</v>
      </c>
      <c r="X54" s="17">
        <f>IF(ISNA(VLOOKUP(A54,'Données projet'!$A$35:$I$55,6,0)),0%,VLOOKUP(A54,'Données projet'!$A$35:$I$55,6,0)*VLOOKUP('Données projet'!$B$9,Paramètres!$A$1:$I$88,7,0))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projet'!$B$9,Paramètres!$A$1:$I$88,3,0)*0.475*44/12</f>
        <v>25.134472377289164</v>
      </c>
      <c r="AA54" s="23">
        <f>EXP(-LN(2)/25)*AA53+(1-EXP(-LN(2)/25))/(LN(2)/25)*Calculateur!V54*Calculateur!X54*VLOOKUP('Données projet'!$B$9,Paramètres!$A$1:$I$88,3,0)*0.475*44/12</f>
        <v>45.243014652246011</v>
      </c>
      <c r="AB54" s="23">
        <f>EXP(-LN(2)/2)*AB53+(1-EXP(-LN(2)/2))/(LN(2)/2)*V54*Y54*VLOOKUP('Données projet'!$B$9,Paramètres!$A$1:$I$88,3,0)*0.475*44/12</f>
        <v>0</v>
      </c>
      <c r="AC54" s="24">
        <f t="shared" si="3"/>
        <v>70.377487029535175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projet'!$B$10,Paramètres!$A$1:$I$88,3,0)*VLOOKUP('Données projet'!$B$10,Paramètres!$A$1:$I$88,5,0)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projet'!$B$10,Paramètres!$A$1:$I$88,7,0))</f>
        <v>0</v>
      </c>
      <c r="AS54" s="17">
        <f>IF(ISNA(VLOOKUP(A54,'Données projet'!$A$61:$I$81,6,0)),0%,VLOOKUP(A54,'Données projet'!$A$61:$I$81,6,0)*VLOOKUP('Données projet'!$B$10,Paramètres!$A$1:$I$88,7,0))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projet'!$B$10,Paramètres!$A$1:$I$88,3,0)*0.475*44/12</f>
        <v>#N/A</v>
      </c>
      <c r="AV54" s="23" t="e">
        <f>EXP(-LN(2)/25)*AV53+(1-EXP(-LN(2)/25))/(LN(2)/25)*Calculateur!AQ54*Calculateur!AS54*VLOOKUP('Données projet'!$B$10,Paramètres!$A$1:$I$88,3,0)*0.475*44/12</f>
        <v>#N/A</v>
      </c>
      <c r="AW54" s="23" t="e">
        <f>EXP(-LN(2)/2)*AW53+(1-EXP(-LN(2)/2))/(LN(2)/2)*AQ54*AT54*VLOOKUP('Données projet'!$B$10,Paramètres!$A$1:$I$88,3,0)*0.475*44/12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projet'!$B$11,Paramètres!$A$1:$I$88,3,0)*VLOOKUP('Données projet'!$B$11,Paramètres!$A$1:$I$88,5,0)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projet'!$B$11,Paramètres!$A$1:$I$88,7,0))</f>
        <v>0</v>
      </c>
      <c r="BN54" s="17">
        <f>IF(ISNA(VLOOKUP(A54,'Données projet'!$A$87:$I$107,6,0)),0%,VLOOKUP(A54,'Données projet'!$A$87:$I$107,6,0)*VLOOKUP('Données projet'!$B$11,Paramètres!$A$1:$I$88,7,0))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projet'!$B$11,Paramètres!$A$1:$I$88,3,0)*0.475*44/12</f>
        <v>#N/A</v>
      </c>
      <c r="BQ54" s="23" t="e">
        <f>EXP(-LN(2)/25)*BQ53+(1-EXP(-LN(2)/25))/(LN(2)/25)*Calculateur!BL54*Calculateur!BN54*VLOOKUP('Données projet'!$B$11,Paramètres!$A$1:$I$88,3,0)*0.475*44/12</f>
        <v>#N/A</v>
      </c>
      <c r="BR54" s="23" t="e">
        <f>EXP(-LN(2)/2)*BR53+(1-EXP(-LN(2)/2))/(LN(2)/2)*BL54*BO54*VLOOKUP('Données projet'!$B$11,Paramètres!$A$1:$I$88,3,0)*0.475*44/12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projet'!$B$12,Paramètres!$A$1:$I$88,3,0)*VLOOKUP('Données projet'!$B$12,Paramètres!$A$1:$I$88,5,0)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projet'!$B$12,Paramètres!$A$1:$I$88,7,0))</f>
        <v>0</v>
      </c>
      <c r="CI54" s="17">
        <f>IF(ISNA(VLOOKUP(A54,'Données projet'!$A$113:$I$133,6,0)),0%,VLOOKUP(A54,'Données projet'!$A$113:$I$133,6,0)*VLOOKUP('Données projet'!$B$12,Paramètres!$A$1:$I$88,7,0))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projet'!$B$12,Paramètres!$A$1:$I$88,3,0)*0.475*44/12</f>
        <v>#N/A</v>
      </c>
      <c r="CL54" s="23" t="e">
        <f>EXP(-LN(2)/25)*CL53+(1-EXP(-LN(2)/25))/(LN(2)/25)*Calculateur!CG54*Calculateur!CI54*VLOOKUP('Données projet'!$B$12,Paramètres!$A$1:$I$88,3,0)*0.475*44/12</f>
        <v>#N/A</v>
      </c>
      <c r="CM54" s="23" t="e">
        <f>EXP(-LN(2)/2)*CM53+(1-EXP(-LN(2)/2))/(LN(2)/2)*CG54*CJ54*VLOOKUP('Données projet'!$B$12,Paramètres!$A$1:$I$88,3,0)*0.475*44/12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projet'!$B$13,Paramètres!$A$1:$I$88,3,0)*VLOOKUP('Données projet'!$B$13,Paramètres!$A$1:$I$88,5,0)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projet'!$B$13,Paramètres!$A$1:$I$88,7,0))</f>
        <v>0</v>
      </c>
      <c r="DD54" s="17">
        <f>IF(ISNA(VLOOKUP(A54,'Données projet'!$A$139:$I$159,6,0)),0%,VLOOKUP(A54,'Données projet'!$A$139:$I$159,6,0)*VLOOKUP('Données projet'!$B$13,Paramètres!$A$1:$I$88,7,0))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projet'!$B$13,Paramètres!$A$1:$I$88,3,0)*0.475*44/12</f>
        <v>#N/A</v>
      </c>
      <c r="DG54" s="23" t="e">
        <f>EXP(-LN(2)/25)*DG53+(1-EXP(-LN(2)/25))/(LN(2)/25)*Calculateur!DB54*Calculateur!DD54*VLOOKUP('Données projet'!$B$13,Paramètres!$A$1:$I$88,3,0)*0.475*44/12</f>
        <v>#N/A</v>
      </c>
      <c r="DH54" s="23" t="e">
        <f>EXP(-LN(2)/2)*DH53+(1-EXP(-LN(2)/2))/(LN(2)/2)*DB54*DE54*VLOOKUP('Données projet'!$B$13,Paramètres!$A$1:$I$88,3,0)*0.475*44/12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projet'!$B$14,Paramètres!$A$1:$I$88,3,0)*VLOOKUP('Données projet'!$B$14,Paramètres!$A$1:$I$88,5,0)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projet'!$B$14,Paramètres!$A$1:$I$88,7,0))</f>
        <v>0</v>
      </c>
      <c r="DY54" s="17">
        <f>IF(ISNA(VLOOKUP(A54,'Données projet'!$A$165:$I$185,6,0)),0%,VLOOKUP(A54,'Données projet'!$A$165:$I$185,6,0)*VLOOKUP('Données projet'!$B$14,Paramètres!$A$1:$I$88,7,0))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projet'!$B$14,Paramètres!$A$1:$I$88,3,0)*0.475*44/12</f>
        <v>#N/A</v>
      </c>
      <c r="EB54" s="23" t="e">
        <f>EXP(-LN(2)/25)*EB53+(1-EXP(-LN(2)/25))/(LN(2)/25)*Calculateur!DW54*Calculateur!DY54*VLOOKUP('Données projet'!$B$14,Paramètres!$A$1:$I$88,3,0)*0.475*44/12</f>
        <v>#N/A</v>
      </c>
      <c r="EC54" s="23" t="e">
        <f>EXP(-LN(2)/2)*EC53+(1-EXP(-LN(2)/2))/(LN(2)/2)*DW54*DZ54*VLOOKUP('Données projet'!$B$14,Paramètres!$A$1:$I$88,3,0)*0.475*44/12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projet'!$B$15,Paramètres!$A$1:$I$88,3,0)*VLOOKUP('Données projet'!$B$15,Paramètres!$A$1:$I$88,5,0)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projet'!$B$15,Paramètres!$A$1:$I$88,7,0))</f>
        <v>0</v>
      </c>
      <c r="ET54" s="17">
        <f>IF(ISNA(VLOOKUP(A54,'Données projet'!$A$191:$I$211,6,0)),0%,VLOOKUP(A54,'Données projet'!$A$191:$I$211,6,0)*VLOOKUP('Données projet'!$B$15,Paramètres!$A$1:$I$88,7,0))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projet'!$B$15,Paramètres!$A$1:$I$88,3,0)*0.475*44/12</f>
        <v>#N/A</v>
      </c>
      <c r="EW54" s="23" t="e">
        <f>EXP(-LN(2)/25)*EW53+(1-EXP(-LN(2)/25))/(LN(2)/25)*Calculateur!ER54*Calculateur!ET54*VLOOKUP('Données projet'!$B$15,Paramètres!$A$1:$I$88,3,0)*0.475*44/12</f>
        <v>#N/A</v>
      </c>
      <c r="EX54" s="23" t="e">
        <f>EXP(-LN(2)/2)*EX53+(1-EXP(-LN(2)/2))/(LN(2)/2)*ER54*EU54*VLOOKUP('Données projet'!$B$15,Paramètres!$A$1:$I$88,3,0)*0.475*44/12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projet'!$B$16,Paramètres!$A$1:$I$88,3,0)*VLOOKUP('Données projet'!$B$16,Paramètres!$A$1:$I$88,5,0)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projet'!$B$16,Paramètres!$A$1:$I$88,7,0))</f>
        <v>0</v>
      </c>
      <c r="FO54" s="17">
        <f>IF(ISNA(VLOOKUP(A54,'Données projet'!$A$217:$I$237,6,0)),0%,VLOOKUP(A54,'Données projet'!$A$217:$I$237,6,0)*VLOOKUP('Données projet'!$B$16,Paramètres!$A$1:$I$88,7,0))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projet'!$B$16,Paramètres!$A$1:$I$88,3,0)*0.475*44/12</f>
        <v>#N/A</v>
      </c>
      <c r="FR54" s="23" t="e">
        <f>EXP(-LN(2)/25)*FR53+(1-EXP(-LN(2)/25))/(LN(2)/25)*Calculateur!FM54*Calculateur!FO54*VLOOKUP('Données projet'!$B$16,Paramètres!$A$1:$I$88,3,0)*0.475*44/12</f>
        <v>#N/A</v>
      </c>
      <c r="FS54" s="23" t="e">
        <f>EXP(-LN(2)/2)*FS53+(1-EXP(-LN(2)/2))/(LN(2)/2)*FM54*FP54*VLOOKUP('Données projet'!$B$16,Paramètres!$A$1:$I$88,3,0)*0.475*44/12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projet'!$B$17,Paramètres!$A$1:$I$88,3,0)*VLOOKUP('Données projet'!$B$17,Paramètres!$A$1:$I$88,5,0)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projet'!$B$17,Paramètres!$A$1:$I$88,7,0))</f>
        <v>0</v>
      </c>
      <c r="GJ54" s="17">
        <f>IF(ISNA(VLOOKUP(A54,'Données projet'!$A$243:$I$263,6,0)),0%,VLOOKUP(A54,'Données projet'!$A$243:$I$263,6,0)*VLOOKUP('Données projet'!$B$17,Paramètres!$A$1:$I$88,7,0))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projet'!$B$17,Paramètres!$A$1:$I$88,3,0)*0.475*44/12</f>
        <v>#N/A</v>
      </c>
      <c r="GM54" s="23" t="e">
        <f>EXP(-LN(2)/25)*GM53+(1-EXP(-LN(2)/25))/(LN(2)/25)*Calculateur!GH54*Calculateur!GJ54*VLOOKUP('Données projet'!$B$17,Paramètres!$A$1:$I$88,3,0)*0.475*44/12</f>
        <v>#N/A</v>
      </c>
      <c r="GN54" s="23" t="e">
        <f>EXP(-LN(2)/2)*GN53+(1-EXP(-LN(2)/2))/(LN(2)/2)*GH54*GK54*VLOOKUP('Données projet'!$B$17,Paramètres!$A$1:$I$88,3,0)*0.475*44/12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projet'!$B$18,Paramètres!$A$1:$I$88,3,0)*VLOOKUP('Données projet'!$B$18,Paramètres!$A$1:$I$88,5,0)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projet'!$B$18,Paramètres!$A$1:$I$88,7,0))</f>
        <v>0</v>
      </c>
      <c r="HE54" s="17">
        <f>IF(ISNA(VLOOKUP(A54,'Données projet'!$A$269:$I$289,6,0)),0%,VLOOKUP(A54,'Données projet'!$A$269:$I$289,6,0)*VLOOKUP('Données projet'!$B$18,Paramètres!$A$1:$I$88,7,0))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projet'!$B$18,Paramètres!$A$1:$I$88,3,0)*0.475*44/12</f>
        <v>#N/A</v>
      </c>
      <c r="HH54" s="23" t="e">
        <f>EXP(-LN(2)/25)*HH53+(1-EXP(-LN(2)/25))/(LN(2)/25)*Calculateur!HC54*Calculateur!HE54*VLOOKUP('Données projet'!$B$18,Paramètres!$A$1:$I$88,3,0)*0.475*44/12</f>
        <v>#N/A</v>
      </c>
      <c r="HI54" s="23" t="e">
        <f>EXP(-LN(2)/2)*HI53+(1-EXP(-LN(2)/2))/(LN(2)/2)*HC54*HF54*VLOOKUP('Données projet'!$B$18,Paramètres!$A$1:$I$88,3,0)*0.475*44/12</f>
        <v>#N/A</v>
      </c>
      <c r="HJ54" s="24" t="e">
        <f t="shared" si="30"/>
        <v>#N/A</v>
      </c>
    </row>
    <row r="55" spans="1:218" s="5" customFormat="1" x14ac:dyDescent="0.3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15.5</v>
      </c>
      <c r="N55" s="14">
        <f>IF('Données projet'!$A$36&gt;35,N54+M55-V54,IF(A55&lt;'Données projet'!$A$36,$K$205^A55,IF(A55='Données projet'!$A$36,'Données projet'!$B$36,N54+M55-V54)))</f>
        <v>466.50000000000023</v>
      </c>
      <c r="O55" s="14">
        <f>N55*VLOOKUP('Données projet'!$B$9,Paramètres!$A$1:$I$88,3,0)*VLOOKUP('Données projet'!$B$9,Paramètres!$A$1:$I$88,5,0)</f>
        <v>260.77350000000013</v>
      </c>
      <c r="P55" s="14">
        <f t="shared" si="33"/>
        <v>62.887228381911086</v>
      </c>
      <c r="Q55" s="22">
        <f t="shared" si="53"/>
        <v>563.70910193182874</v>
      </c>
      <c r="R55" s="62">
        <f t="shared" si="0"/>
        <v>820.1443813954121</v>
      </c>
      <c r="S55" s="62">
        <f ca="1">AVERAGE(OFFSET($R$3,0,0,'Données projet'!$E$9+1,1))-AVERAGE(OFFSET($H$3,0,0,'Données projet'!$E$9+1,1))</f>
        <v>367.03450586441784</v>
      </c>
      <c r="T55" s="62">
        <f t="shared" si="34"/>
        <v>413.14502442862897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projet'!$B$9,Paramètres!$A$1:$I$88,7,0))</f>
        <v>0</v>
      </c>
      <c r="X55" s="17">
        <f>IF(ISNA(VLOOKUP(A55,'Données projet'!$A$35:$I$55,6,0)),0%,VLOOKUP(A55,'Données projet'!$A$35:$I$55,6,0)*VLOOKUP('Données projet'!$B$9,Paramètres!$A$1:$I$88,7,0))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projet'!$B$9,Paramètres!$A$1:$I$88,3,0)*0.475*44/12</f>
        <v>24.641600704484912</v>
      </c>
      <c r="AA55" s="23">
        <f>EXP(-LN(2)/25)*AA54+(1-EXP(-LN(2)/25))/(LN(2)/25)*Calculateur!V55*Calculateur!X55*VLOOKUP('Données projet'!$B$9,Paramètres!$A$1:$I$88,3,0)*0.475*44/12</f>
        <v>44.005842037353609</v>
      </c>
      <c r="AB55" s="23">
        <f>EXP(-LN(2)/2)*AB54+(1-EXP(-LN(2)/2))/(LN(2)/2)*V55*Y55*VLOOKUP('Données projet'!$B$9,Paramètres!$A$1:$I$88,3,0)*0.475*44/12</f>
        <v>0</v>
      </c>
      <c r="AC55" s="24">
        <f t="shared" si="3"/>
        <v>68.647442741838518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projet'!$B$10,Paramètres!$A$1:$I$88,3,0)*VLOOKUP('Données projet'!$B$10,Paramètres!$A$1:$I$88,5,0)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projet'!$B$10,Paramètres!$A$1:$I$88,7,0))</f>
        <v>0</v>
      </c>
      <c r="AS55" s="17">
        <f>IF(ISNA(VLOOKUP(A55,'Données projet'!$A$61:$I$81,6,0)),0%,VLOOKUP(A55,'Données projet'!$A$61:$I$81,6,0)*VLOOKUP('Données projet'!$B$10,Paramètres!$A$1:$I$88,7,0))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projet'!$B$10,Paramètres!$A$1:$I$88,3,0)*0.475*44/12</f>
        <v>#N/A</v>
      </c>
      <c r="AV55" s="23" t="e">
        <f>EXP(-LN(2)/25)*AV54+(1-EXP(-LN(2)/25))/(LN(2)/25)*Calculateur!AQ55*Calculateur!AS55*VLOOKUP('Données projet'!$B$10,Paramètres!$A$1:$I$88,3,0)*0.475*44/12</f>
        <v>#N/A</v>
      </c>
      <c r="AW55" s="23" t="e">
        <f>EXP(-LN(2)/2)*AW54+(1-EXP(-LN(2)/2))/(LN(2)/2)*AQ55*AT55*VLOOKUP('Données projet'!$B$10,Paramètres!$A$1:$I$88,3,0)*0.475*44/12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projet'!$B$11,Paramètres!$A$1:$I$88,3,0)*VLOOKUP('Données projet'!$B$11,Paramètres!$A$1:$I$88,5,0)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projet'!$B$11,Paramètres!$A$1:$I$88,7,0))</f>
        <v>0</v>
      </c>
      <c r="BN55" s="17">
        <f>IF(ISNA(VLOOKUP(A55,'Données projet'!$A$87:$I$107,6,0)),0%,VLOOKUP(A55,'Données projet'!$A$87:$I$107,6,0)*VLOOKUP('Données projet'!$B$11,Paramètres!$A$1:$I$88,7,0))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projet'!$B$11,Paramètres!$A$1:$I$88,3,0)*0.475*44/12</f>
        <v>#N/A</v>
      </c>
      <c r="BQ55" s="23" t="e">
        <f>EXP(-LN(2)/25)*BQ54+(1-EXP(-LN(2)/25))/(LN(2)/25)*Calculateur!BL55*Calculateur!BN55*VLOOKUP('Données projet'!$B$11,Paramètres!$A$1:$I$88,3,0)*0.475*44/12</f>
        <v>#N/A</v>
      </c>
      <c r="BR55" s="23" t="e">
        <f>EXP(-LN(2)/2)*BR54+(1-EXP(-LN(2)/2))/(LN(2)/2)*BL55*BO55*VLOOKUP('Données projet'!$B$11,Paramètres!$A$1:$I$88,3,0)*0.475*44/12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projet'!$B$12,Paramètres!$A$1:$I$88,3,0)*VLOOKUP('Données projet'!$B$12,Paramètres!$A$1:$I$88,5,0)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projet'!$B$12,Paramètres!$A$1:$I$88,7,0))</f>
        <v>0</v>
      </c>
      <c r="CI55" s="17">
        <f>IF(ISNA(VLOOKUP(A55,'Données projet'!$A$113:$I$133,6,0)),0%,VLOOKUP(A55,'Données projet'!$A$113:$I$133,6,0)*VLOOKUP('Données projet'!$B$12,Paramètres!$A$1:$I$88,7,0))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projet'!$B$12,Paramètres!$A$1:$I$88,3,0)*0.475*44/12</f>
        <v>#N/A</v>
      </c>
      <c r="CL55" s="23" t="e">
        <f>EXP(-LN(2)/25)*CL54+(1-EXP(-LN(2)/25))/(LN(2)/25)*Calculateur!CG55*Calculateur!CI55*VLOOKUP('Données projet'!$B$12,Paramètres!$A$1:$I$88,3,0)*0.475*44/12</f>
        <v>#N/A</v>
      </c>
      <c r="CM55" s="23" t="e">
        <f>EXP(-LN(2)/2)*CM54+(1-EXP(-LN(2)/2))/(LN(2)/2)*CG55*CJ55*VLOOKUP('Données projet'!$B$12,Paramètres!$A$1:$I$88,3,0)*0.475*44/12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projet'!$B$13,Paramètres!$A$1:$I$88,3,0)*VLOOKUP('Données projet'!$B$13,Paramètres!$A$1:$I$88,5,0)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projet'!$B$13,Paramètres!$A$1:$I$88,7,0))</f>
        <v>0</v>
      </c>
      <c r="DD55" s="17">
        <f>IF(ISNA(VLOOKUP(A55,'Données projet'!$A$139:$I$159,6,0)),0%,VLOOKUP(A55,'Données projet'!$A$139:$I$159,6,0)*VLOOKUP('Données projet'!$B$13,Paramètres!$A$1:$I$88,7,0))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projet'!$B$13,Paramètres!$A$1:$I$88,3,0)*0.475*44/12</f>
        <v>#N/A</v>
      </c>
      <c r="DG55" s="23" t="e">
        <f>EXP(-LN(2)/25)*DG54+(1-EXP(-LN(2)/25))/(LN(2)/25)*Calculateur!DB55*Calculateur!DD55*VLOOKUP('Données projet'!$B$13,Paramètres!$A$1:$I$88,3,0)*0.475*44/12</f>
        <v>#N/A</v>
      </c>
      <c r="DH55" s="23" t="e">
        <f>EXP(-LN(2)/2)*DH54+(1-EXP(-LN(2)/2))/(LN(2)/2)*DB55*DE55*VLOOKUP('Données projet'!$B$13,Paramètres!$A$1:$I$88,3,0)*0.475*44/12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projet'!$B$14,Paramètres!$A$1:$I$88,3,0)*VLOOKUP('Données projet'!$B$14,Paramètres!$A$1:$I$88,5,0)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projet'!$B$14,Paramètres!$A$1:$I$88,7,0))</f>
        <v>0</v>
      </c>
      <c r="DY55" s="17">
        <f>IF(ISNA(VLOOKUP(A55,'Données projet'!$A$165:$I$185,6,0)),0%,VLOOKUP(A55,'Données projet'!$A$165:$I$185,6,0)*VLOOKUP('Données projet'!$B$14,Paramètres!$A$1:$I$88,7,0))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projet'!$B$14,Paramètres!$A$1:$I$88,3,0)*0.475*44/12</f>
        <v>#N/A</v>
      </c>
      <c r="EB55" s="23" t="e">
        <f>EXP(-LN(2)/25)*EB54+(1-EXP(-LN(2)/25))/(LN(2)/25)*Calculateur!DW55*Calculateur!DY55*VLOOKUP('Données projet'!$B$14,Paramètres!$A$1:$I$88,3,0)*0.475*44/12</f>
        <v>#N/A</v>
      </c>
      <c r="EC55" s="23" t="e">
        <f>EXP(-LN(2)/2)*EC54+(1-EXP(-LN(2)/2))/(LN(2)/2)*DW55*DZ55*VLOOKUP('Données projet'!$B$14,Paramètres!$A$1:$I$88,3,0)*0.475*44/12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projet'!$B$15,Paramètres!$A$1:$I$88,3,0)*VLOOKUP('Données projet'!$B$15,Paramètres!$A$1:$I$88,5,0)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projet'!$B$15,Paramètres!$A$1:$I$88,7,0))</f>
        <v>0</v>
      </c>
      <c r="ET55" s="17">
        <f>IF(ISNA(VLOOKUP(A55,'Données projet'!$A$191:$I$211,6,0)),0%,VLOOKUP(A55,'Données projet'!$A$191:$I$211,6,0)*VLOOKUP('Données projet'!$B$15,Paramètres!$A$1:$I$88,7,0))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projet'!$B$15,Paramètres!$A$1:$I$88,3,0)*0.475*44/12</f>
        <v>#N/A</v>
      </c>
      <c r="EW55" s="23" t="e">
        <f>EXP(-LN(2)/25)*EW54+(1-EXP(-LN(2)/25))/(LN(2)/25)*Calculateur!ER55*Calculateur!ET55*VLOOKUP('Données projet'!$B$15,Paramètres!$A$1:$I$88,3,0)*0.475*44/12</f>
        <v>#N/A</v>
      </c>
      <c r="EX55" s="23" t="e">
        <f>EXP(-LN(2)/2)*EX54+(1-EXP(-LN(2)/2))/(LN(2)/2)*ER55*EU55*VLOOKUP('Données projet'!$B$15,Paramètres!$A$1:$I$88,3,0)*0.475*44/12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projet'!$B$16,Paramètres!$A$1:$I$88,3,0)*VLOOKUP('Données projet'!$B$16,Paramètres!$A$1:$I$88,5,0)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projet'!$B$16,Paramètres!$A$1:$I$88,7,0))</f>
        <v>0</v>
      </c>
      <c r="FO55" s="17">
        <f>IF(ISNA(VLOOKUP(A55,'Données projet'!$A$217:$I$237,6,0)),0%,VLOOKUP(A55,'Données projet'!$A$217:$I$237,6,0)*VLOOKUP('Données projet'!$B$16,Paramètres!$A$1:$I$88,7,0))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projet'!$B$16,Paramètres!$A$1:$I$88,3,0)*0.475*44/12</f>
        <v>#N/A</v>
      </c>
      <c r="FR55" s="23" t="e">
        <f>EXP(-LN(2)/25)*FR54+(1-EXP(-LN(2)/25))/(LN(2)/25)*Calculateur!FM55*Calculateur!FO55*VLOOKUP('Données projet'!$B$16,Paramètres!$A$1:$I$88,3,0)*0.475*44/12</f>
        <v>#N/A</v>
      </c>
      <c r="FS55" s="23" t="e">
        <f>EXP(-LN(2)/2)*FS54+(1-EXP(-LN(2)/2))/(LN(2)/2)*FM55*FP55*VLOOKUP('Données projet'!$B$16,Paramètres!$A$1:$I$88,3,0)*0.475*44/12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projet'!$B$17,Paramètres!$A$1:$I$88,3,0)*VLOOKUP('Données projet'!$B$17,Paramètres!$A$1:$I$88,5,0)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projet'!$B$17,Paramètres!$A$1:$I$88,7,0))</f>
        <v>0</v>
      </c>
      <c r="GJ55" s="17">
        <f>IF(ISNA(VLOOKUP(A55,'Données projet'!$A$243:$I$263,6,0)),0%,VLOOKUP(A55,'Données projet'!$A$243:$I$263,6,0)*VLOOKUP('Données projet'!$B$17,Paramètres!$A$1:$I$88,7,0))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projet'!$B$17,Paramètres!$A$1:$I$88,3,0)*0.475*44/12</f>
        <v>#N/A</v>
      </c>
      <c r="GM55" s="23" t="e">
        <f>EXP(-LN(2)/25)*GM54+(1-EXP(-LN(2)/25))/(LN(2)/25)*Calculateur!GH55*Calculateur!GJ55*VLOOKUP('Données projet'!$B$17,Paramètres!$A$1:$I$88,3,0)*0.475*44/12</f>
        <v>#N/A</v>
      </c>
      <c r="GN55" s="23" t="e">
        <f>EXP(-LN(2)/2)*GN54+(1-EXP(-LN(2)/2))/(LN(2)/2)*GH55*GK55*VLOOKUP('Données projet'!$B$17,Paramètres!$A$1:$I$88,3,0)*0.475*44/12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projet'!$B$18,Paramètres!$A$1:$I$88,3,0)*VLOOKUP('Données projet'!$B$18,Paramètres!$A$1:$I$88,5,0)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projet'!$B$18,Paramètres!$A$1:$I$88,7,0))</f>
        <v>0</v>
      </c>
      <c r="HE55" s="17">
        <f>IF(ISNA(VLOOKUP(A55,'Données projet'!$A$269:$I$289,6,0)),0%,VLOOKUP(A55,'Données projet'!$A$269:$I$289,6,0)*VLOOKUP('Données projet'!$B$18,Paramètres!$A$1:$I$88,7,0))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projet'!$B$18,Paramètres!$A$1:$I$88,3,0)*0.475*44/12</f>
        <v>#N/A</v>
      </c>
      <c r="HH55" s="23" t="e">
        <f>EXP(-LN(2)/25)*HH54+(1-EXP(-LN(2)/25))/(LN(2)/25)*Calculateur!HC55*Calculateur!HE55*VLOOKUP('Données projet'!$B$18,Paramètres!$A$1:$I$88,3,0)*0.475*44/12</f>
        <v>#N/A</v>
      </c>
      <c r="HI55" s="23" t="e">
        <f>EXP(-LN(2)/2)*HI54+(1-EXP(-LN(2)/2))/(LN(2)/2)*HC55*HF55*VLOOKUP('Données projet'!$B$18,Paramètres!$A$1:$I$88,3,0)*0.475*44/12</f>
        <v>#N/A</v>
      </c>
      <c r="HJ55" s="24" t="e">
        <f t="shared" si="30"/>
        <v>#N/A</v>
      </c>
    </row>
    <row r="56" spans="1:218" s="5" customFormat="1" x14ac:dyDescent="0.3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>
        <f>VLOOKUP(A56,'Données projet'!$A$35:$I$55,2,0)</f>
        <v>482</v>
      </c>
      <c r="L56" s="13">
        <f>VLOOKUP(A56,'Données projet'!$A$35:$I$55,9,0)</f>
        <v>15.5</v>
      </c>
      <c r="M56" s="13">
        <f t="array" ref="M56">INDEX(L:L,MIN(IF(ISNUMBER(L56:L252),ROW(L56:L252),"")))</f>
        <v>15.5</v>
      </c>
      <c r="N56" s="14">
        <f>IF('Données projet'!$A$36&gt;35,N55+M56-V55,IF(A56&lt;'Données projet'!$A$36,$K$205^A56,IF(A56='Données projet'!$A$36,'Données projet'!$B$36,N55+M56-V55)))</f>
        <v>482.00000000000023</v>
      </c>
      <c r="O56" s="14">
        <f>N56*VLOOKUP('Données projet'!$B$9,Paramètres!$A$1:$I$88,3,0)*VLOOKUP('Données projet'!$B$9,Paramètres!$A$1:$I$88,5,0)</f>
        <v>269.43800000000016</v>
      </c>
      <c r="P56" s="14">
        <f t="shared" si="33"/>
        <v>64.729984244002864</v>
      </c>
      <c r="Q56" s="22">
        <f t="shared" si="53"/>
        <v>582.00923922497191</v>
      </c>
      <c r="R56" s="62">
        <f t="shared" si="0"/>
        <v>839.08461743150519</v>
      </c>
      <c r="S56" s="62">
        <f ca="1">AVERAGE(OFFSET($R$3,0,0,'Données projet'!$E$9+1,1))-AVERAGE(OFFSET($H$3,0,0,'Données projet'!$E$9+1,1))</f>
        <v>367.03450586441784</v>
      </c>
      <c r="T56" s="62">
        <f t="shared" si="34"/>
        <v>413.14502442862897</v>
      </c>
      <c r="U56" s="16">
        <f>IF(ISNA(VLOOKUP(A56,'Données projet'!$A$35:$I$55,3,0)),0,VLOOKUP(A56,'Données projet'!$A$35:$I$55,3,0))</f>
        <v>5</v>
      </c>
      <c r="V56" s="16">
        <f>IF(ISNA(VLOOKUP(A56,'Données projet'!$A$35:$I$55,4,0)),0,VLOOKUP(A56,'Données projet'!$A$35:$I$55,4,0))</f>
        <v>80</v>
      </c>
      <c r="W56" s="17">
        <f>IF(ISNA(VLOOKUP(A56,'Données projet'!$A$35:$I$55,5,0)),0%,VLOOKUP(A56,'Données projet'!$A$35:$I$55,5,0)*VLOOKUP('Données projet'!$B$9,Paramètres!$A$1:$I$88,7,0))</f>
        <v>0.38500000000000001</v>
      </c>
      <c r="X56" s="17">
        <f>IF(ISNA(VLOOKUP(A56,'Données projet'!$A$35:$I$55,6,0)),0%,VLOOKUP(A56,'Données projet'!$A$35:$I$55,6,0)*VLOOKUP('Données projet'!$B$9,Paramètres!$A$1:$I$88,7,0))</f>
        <v>0.16500000000000001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projet'!$B$9,Paramètres!$A$1:$I$88,3,0)*0.475*44/12</f>
        <v>46.998119486755968</v>
      </c>
      <c r="AA56" s="23">
        <f>EXP(-LN(2)/25)*AA55+(1-EXP(-LN(2)/25))/(LN(2)/25)*Calculateur!V56*Calculateur!X56*VLOOKUP('Données projet'!$B$9,Paramètres!$A$1:$I$88,3,0)*0.475*44/12</f>
        <v>52.552412904153947</v>
      </c>
      <c r="AB56" s="23">
        <f>EXP(-LN(2)/2)*AB55+(1-EXP(-LN(2)/2))/(LN(2)/2)*V56*Y56*VLOOKUP('Données projet'!$B$9,Paramètres!$A$1:$I$88,3,0)*0.475*44/12</f>
        <v>0</v>
      </c>
      <c r="AC56" s="24">
        <f t="shared" si="3"/>
        <v>99.550532390909922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projet'!$B$10,Paramètres!$A$1:$I$88,3,0)*VLOOKUP('Données projet'!$B$10,Paramètres!$A$1:$I$88,5,0)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projet'!$B$10,Paramètres!$A$1:$I$88,7,0))</f>
        <v>0</v>
      </c>
      <c r="AS56" s="17">
        <f>IF(ISNA(VLOOKUP(A56,'Données projet'!$A$61:$I$81,6,0)),0%,VLOOKUP(A56,'Données projet'!$A$61:$I$81,6,0)*VLOOKUP('Données projet'!$B$10,Paramètres!$A$1:$I$88,7,0))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projet'!$B$10,Paramètres!$A$1:$I$88,3,0)*0.475*44/12</f>
        <v>#N/A</v>
      </c>
      <c r="AV56" s="23" t="e">
        <f>EXP(-LN(2)/25)*AV55+(1-EXP(-LN(2)/25))/(LN(2)/25)*Calculateur!AQ56*Calculateur!AS56*VLOOKUP('Données projet'!$B$10,Paramètres!$A$1:$I$88,3,0)*0.475*44/12</f>
        <v>#N/A</v>
      </c>
      <c r="AW56" s="23" t="e">
        <f>EXP(-LN(2)/2)*AW55+(1-EXP(-LN(2)/2))/(LN(2)/2)*AQ56*AT56*VLOOKUP('Données projet'!$B$10,Paramètres!$A$1:$I$88,3,0)*0.475*44/12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projet'!$B$11,Paramètres!$A$1:$I$88,3,0)*VLOOKUP('Données projet'!$B$11,Paramètres!$A$1:$I$88,5,0)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projet'!$B$11,Paramètres!$A$1:$I$88,7,0))</f>
        <v>0</v>
      </c>
      <c r="BN56" s="17">
        <f>IF(ISNA(VLOOKUP(A56,'Données projet'!$A$87:$I$107,6,0)),0%,VLOOKUP(A56,'Données projet'!$A$87:$I$107,6,0)*VLOOKUP('Données projet'!$B$11,Paramètres!$A$1:$I$88,7,0))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projet'!$B$11,Paramètres!$A$1:$I$88,3,0)*0.475*44/12</f>
        <v>#N/A</v>
      </c>
      <c r="BQ56" s="23" t="e">
        <f>EXP(-LN(2)/25)*BQ55+(1-EXP(-LN(2)/25))/(LN(2)/25)*Calculateur!BL56*Calculateur!BN56*VLOOKUP('Données projet'!$B$11,Paramètres!$A$1:$I$88,3,0)*0.475*44/12</f>
        <v>#N/A</v>
      </c>
      <c r="BR56" s="23" t="e">
        <f>EXP(-LN(2)/2)*BR55+(1-EXP(-LN(2)/2))/(LN(2)/2)*BL56*BO56*VLOOKUP('Données projet'!$B$11,Paramètres!$A$1:$I$88,3,0)*0.475*44/12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projet'!$B$12,Paramètres!$A$1:$I$88,3,0)*VLOOKUP('Données projet'!$B$12,Paramètres!$A$1:$I$88,5,0)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projet'!$B$12,Paramètres!$A$1:$I$88,7,0))</f>
        <v>0</v>
      </c>
      <c r="CI56" s="17">
        <f>IF(ISNA(VLOOKUP(A56,'Données projet'!$A$113:$I$133,6,0)),0%,VLOOKUP(A56,'Données projet'!$A$113:$I$133,6,0)*VLOOKUP('Données projet'!$B$12,Paramètres!$A$1:$I$88,7,0))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projet'!$B$12,Paramètres!$A$1:$I$88,3,0)*0.475*44/12</f>
        <v>#N/A</v>
      </c>
      <c r="CL56" s="23" t="e">
        <f>EXP(-LN(2)/25)*CL55+(1-EXP(-LN(2)/25))/(LN(2)/25)*Calculateur!CG56*Calculateur!CI56*VLOOKUP('Données projet'!$B$12,Paramètres!$A$1:$I$88,3,0)*0.475*44/12</f>
        <v>#N/A</v>
      </c>
      <c r="CM56" s="23" t="e">
        <f>EXP(-LN(2)/2)*CM55+(1-EXP(-LN(2)/2))/(LN(2)/2)*CG56*CJ56*VLOOKUP('Données projet'!$B$12,Paramètres!$A$1:$I$88,3,0)*0.475*44/12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projet'!$B$13,Paramètres!$A$1:$I$88,3,0)*VLOOKUP('Données projet'!$B$13,Paramètres!$A$1:$I$88,5,0)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projet'!$B$13,Paramètres!$A$1:$I$88,7,0))</f>
        <v>0</v>
      </c>
      <c r="DD56" s="17">
        <f>IF(ISNA(VLOOKUP(A56,'Données projet'!$A$139:$I$159,6,0)),0%,VLOOKUP(A56,'Données projet'!$A$139:$I$159,6,0)*VLOOKUP('Données projet'!$B$13,Paramètres!$A$1:$I$88,7,0))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projet'!$B$13,Paramètres!$A$1:$I$88,3,0)*0.475*44/12</f>
        <v>#N/A</v>
      </c>
      <c r="DG56" s="23" t="e">
        <f>EXP(-LN(2)/25)*DG55+(1-EXP(-LN(2)/25))/(LN(2)/25)*Calculateur!DB56*Calculateur!DD56*VLOOKUP('Données projet'!$B$13,Paramètres!$A$1:$I$88,3,0)*0.475*44/12</f>
        <v>#N/A</v>
      </c>
      <c r="DH56" s="23" t="e">
        <f>EXP(-LN(2)/2)*DH55+(1-EXP(-LN(2)/2))/(LN(2)/2)*DB56*DE56*VLOOKUP('Données projet'!$B$13,Paramètres!$A$1:$I$88,3,0)*0.475*44/12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projet'!$B$14,Paramètres!$A$1:$I$88,3,0)*VLOOKUP('Données projet'!$B$14,Paramètres!$A$1:$I$88,5,0)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projet'!$B$14,Paramètres!$A$1:$I$88,7,0))</f>
        <v>0</v>
      </c>
      <c r="DY56" s="17">
        <f>IF(ISNA(VLOOKUP(A56,'Données projet'!$A$165:$I$185,6,0)),0%,VLOOKUP(A56,'Données projet'!$A$165:$I$185,6,0)*VLOOKUP('Données projet'!$B$14,Paramètres!$A$1:$I$88,7,0))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projet'!$B$14,Paramètres!$A$1:$I$88,3,0)*0.475*44/12</f>
        <v>#N/A</v>
      </c>
      <c r="EB56" s="23" t="e">
        <f>EXP(-LN(2)/25)*EB55+(1-EXP(-LN(2)/25))/(LN(2)/25)*Calculateur!DW56*Calculateur!DY56*VLOOKUP('Données projet'!$B$14,Paramètres!$A$1:$I$88,3,0)*0.475*44/12</f>
        <v>#N/A</v>
      </c>
      <c r="EC56" s="23" t="e">
        <f>EXP(-LN(2)/2)*EC55+(1-EXP(-LN(2)/2))/(LN(2)/2)*DW56*DZ56*VLOOKUP('Données projet'!$B$14,Paramètres!$A$1:$I$88,3,0)*0.475*44/12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projet'!$B$15,Paramètres!$A$1:$I$88,3,0)*VLOOKUP('Données projet'!$B$15,Paramètres!$A$1:$I$88,5,0)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projet'!$B$15,Paramètres!$A$1:$I$88,7,0))</f>
        <v>0</v>
      </c>
      <c r="ET56" s="17">
        <f>IF(ISNA(VLOOKUP(A56,'Données projet'!$A$191:$I$211,6,0)),0%,VLOOKUP(A56,'Données projet'!$A$191:$I$211,6,0)*VLOOKUP('Données projet'!$B$15,Paramètres!$A$1:$I$88,7,0))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projet'!$B$15,Paramètres!$A$1:$I$88,3,0)*0.475*44/12</f>
        <v>#N/A</v>
      </c>
      <c r="EW56" s="23" t="e">
        <f>EXP(-LN(2)/25)*EW55+(1-EXP(-LN(2)/25))/(LN(2)/25)*Calculateur!ER56*Calculateur!ET56*VLOOKUP('Données projet'!$B$15,Paramètres!$A$1:$I$88,3,0)*0.475*44/12</f>
        <v>#N/A</v>
      </c>
      <c r="EX56" s="23" t="e">
        <f>EXP(-LN(2)/2)*EX55+(1-EXP(-LN(2)/2))/(LN(2)/2)*ER56*EU56*VLOOKUP('Données projet'!$B$15,Paramètres!$A$1:$I$88,3,0)*0.475*44/12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projet'!$B$16,Paramètres!$A$1:$I$88,3,0)*VLOOKUP('Données projet'!$B$16,Paramètres!$A$1:$I$88,5,0)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projet'!$B$16,Paramètres!$A$1:$I$88,7,0))</f>
        <v>0</v>
      </c>
      <c r="FO56" s="17">
        <f>IF(ISNA(VLOOKUP(A56,'Données projet'!$A$217:$I$237,6,0)),0%,VLOOKUP(A56,'Données projet'!$A$217:$I$237,6,0)*VLOOKUP('Données projet'!$B$16,Paramètres!$A$1:$I$88,7,0))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projet'!$B$16,Paramètres!$A$1:$I$88,3,0)*0.475*44/12</f>
        <v>#N/A</v>
      </c>
      <c r="FR56" s="23" t="e">
        <f>EXP(-LN(2)/25)*FR55+(1-EXP(-LN(2)/25))/(LN(2)/25)*Calculateur!FM56*Calculateur!FO56*VLOOKUP('Données projet'!$B$16,Paramètres!$A$1:$I$88,3,0)*0.475*44/12</f>
        <v>#N/A</v>
      </c>
      <c r="FS56" s="23" t="e">
        <f>EXP(-LN(2)/2)*FS55+(1-EXP(-LN(2)/2))/(LN(2)/2)*FM56*FP56*VLOOKUP('Données projet'!$B$16,Paramètres!$A$1:$I$88,3,0)*0.475*44/12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projet'!$B$17,Paramètres!$A$1:$I$88,3,0)*VLOOKUP('Données projet'!$B$17,Paramètres!$A$1:$I$88,5,0)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projet'!$B$17,Paramètres!$A$1:$I$88,7,0))</f>
        <v>0</v>
      </c>
      <c r="GJ56" s="17">
        <f>IF(ISNA(VLOOKUP(A56,'Données projet'!$A$243:$I$263,6,0)),0%,VLOOKUP(A56,'Données projet'!$A$243:$I$263,6,0)*VLOOKUP('Données projet'!$B$17,Paramètres!$A$1:$I$88,7,0))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projet'!$B$17,Paramètres!$A$1:$I$88,3,0)*0.475*44/12</f>
        <v>#N/A</v>
      </c>
      <c r="GM56" s="23" t="e">
        <f>EXP(-LN(2)/25)*GM55+(1-EXP(-LN(2)/25))/(LN(2)/25)*Calculateur!GH56*Calculateur!GJ56*VLOOKUP('Données projet'!$B$17,Paramètres!$A$1:$I$88,3,0)*0.475*44/12</f>
        <v>#N/A</v>
      </c>
      <c r="GN56" s="23" t="e">
        <f>EXP(-LN(2)/2)*GN55+(1-EXP(-LN(2)/2))/(LN(2)/2)*GH56*GK56*VLOOKUP('Données projet'!$B$17,Paramètres!$A$1:$I$88,3,0)*0.475*44/12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projet'!$B$18,Paramètres!$A$1:$I$88,3,0)*VLOOKUP('Données projet'!$B$18,Paramètres!$A$1:$I$88,5,0)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projet'!$B$18,Paramètres!$A$1:$I$88,7,0))</f>
        <v>0</v>
      </c>
      <c r="HE56" s="17">
        <f>IF(ISNA(VLOOKUP(A56,'Données projet'!$A$269:$I$289,6,0)),0%,VLOOKUP(A56,'Données projet'!$A$269:$I$289,6,0)*VLOOKUP('Données projet'!$B$18,Paramètres!$A$1:$I$88,7,0))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projet'!$B$18,Paramètres!$A$1:$I$88,3,0)*0.475*44/12</f>
        <v>#N/A</v>
      </c>
      <c r="HH56" s="23" t="e">
        <f>EXP(-LN(2)/25)*HH55+(1-EXP(-LN(2)/25))/(LN(2)/25)*Calculateur!HC56*Calculateur!HE56*VLOOKUP('Données projet'!$B$18,Paramètres!$A$1:$I$88,3,0)*0.475*44/12</f>
        <v>#N/A</v>
      </c>
      <c r="HI56" s="23" t="e">
        <f>EXP(-LN(2)/2)*HI55+(1-EXP(-LN(2)/2))/(LN(2)/2)*HC56*HF56*VLOOKUP('Données projet'!$B$18,Paramètres!$A$1:$I$88,3,0)*0.475*44/12</f>
        <v>#N/A</v>
      </c>
      <c r="HJ56" s="24" t="e">
        <f t="shared" si="30"/>
        <v>#N/A</v>
      </c>
    </row>
    <row r="57" spans="1:218" s="5" customFormat="1" x14ac:dyDescent="0.3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16.428571428571427</v>
      </c>
      <c r="N57" s="14">
        <f>IF('Données projet'!$A$36&gt;35,N56+M57-V56,IF(A57&lt;'Données projet'!$A$36,$K$205^A57,IF(A57='Données projet'!$A$36,'Données projet'!$B$36,N56+M57-V56)))</f>
        <v>418.42857142857167</v>
      </c>
      <c r="O57" s="14">
        <f>N57*VLOOKUP('Données projet'!$B$9,Paramètres!$A$1:$I$88,3,0)*VLOOKUP('Données projet'!$B$9,Paramètres!$A$1:$I$88,5,0)</f>
        <v>233.90157142857157</v>
      </c>
      <c r="P57" s="14">
        <f t="shared" si="33"/>
        <v>57.125464834218377</v>
      </c>
      <c r="Q57" s="22">
        <f t="shared" si="53"/>
        <v>506.87208815769242</v>
      </c>
      <c r="R57" s="62">
        <f t="shared" si="0"/>
        <v>764.57646082503175</v>
      </c>
      <c r="S57" s="62">
        <f ca="1">AVERAGE(OFFSET($R$3,0,0,'Données projet'!$E$9+1,1))-AVERAGE(OFFSET($H$3,0,0,'Données projet'!$E$9+1,1))</f>
        <v>367.03450586441784</v>
      </c>
      <c r="T57" s="62">
        <f t="shared" si="34"/>
        <v>413.14502442862897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projet'!$B$9,Paramètres!$A$1:$I$88,7,0))</f>
        <v>0</v>
      </c>
      <c r="X57" s="17">
        <f>IF(ISNA(VLOOKUP(A57,'Données projet'!$A$35:$I$55,6,0)),0%,VLOOKUP(A57,'Données projet'!$A$35:$I$55,6,0)*VLOOKUP('Données projet'!$B$9,Paramètres!$A$1:$I$88,7,0))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projet'!$B$9,Paramètres!$A$1:$I$88,3,0)*0.475*44/12</f>
        <v>46.076515029643033</v>
      </c>
      <c r="AA57" s="23">
        <f>EXP(-LN(2)/25)*AA56+(1-EXP(-LN(2)/25))/(LN(2)/25)*Calculateur!V57*Calculateur!X57*VLOOKUP('Données projet'!$B$9,Paramètres!$A$1:$I$88,3,0)*0.475*44/12</f>
        <v>51.11536440967857</v>
      </c>
      <c r="AB57" s="23">
        <f>EXP(-LN(2)/2)*AB56+(1-EXP(-LN(2)/2))/(LN(2)/2)*V57*Y57*VLOOKUP('Données projet'!$B$9,Paramètres!$A$1:$I$88,3,0)*0.475*44/12</f>
        <v>0</v>
      </c>
      <c r="AC57" s="24">
        <f t="shared" si="3"/>
        <v>97.19187943932161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projet'!$B$10,Paramètres!$A$1:$I$88,3,0)*VLOOKUP('Données projet'!$B$10,Paramètres!$A$1:$I$88,5,0)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projet'!$B$10,Paramètres!$A$1:$I$88,7,0))</f>
        <v>0</v>
      </c>
      <c r="AS57" s="17">
        <f>IF(ISNA(VLOOKUP(A57,'Données projet'!$A$61:$I$81,6,0)),0%,VLOOKUP(A57,'Données projet'!$A$61:$I$81,6,0)*VLOOKUP('Données projet'!$B$10,Paramètres!$A$1:$I$88,7,0))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projet'!$B$10,Paramètres!$A$1:$I$88,3,0)*0.475*44/12</f>
        <v>#N/A</v>
      </c>
      <c r="AV57" s="23" t="e">
        <f>EXP(-LN(2)/25)*AV56+(1-EXP(-LN(2)/25))/(LN(2)/25)*Calculateur!AQ57*Calculateur!AS57*VLOOKUP('Données projet'!$B$10,Paramètres!$A$1:$I$88,3,0)*0.475*44/12</f>
        <v>#N/A</v>
      </c>
      <c r="AW57" s="23" t="e">
        <f>EXP(-LN(2)/2)*AW56+(1-EXP(-LN(2)/2))/(LN(2)/2)*AQ57*AT57*VLOOKUP('Données projet'!$B$10,Paramètres!$A$1:$I$88,3,0)*0.475*44/12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projet'!$B$11,Paramètres!$A$1:$I$88,3,0)*VLOOKUP('Données projet'!$B$11,Paramètres!$A$1:$I$88,5,0)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projet'!$B$11,Paramètres!$A$1:$I$88,7,0))</f>
        <v>0</v>
      </c>
      <c r="BN57" s="17">
        <f>IF(ISNA(VLOOKUP(A57,'Données projet'!$A$87:$I$107,6,0)),0%,VLOOKUP(A57,'Données projet'!$A$87:$I$107,6,0)*VLOOKUP('Données projet'!$B$11,Paramètres!$A$1:$I$88,7,0))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projet'!$B$11,Paramètres!$A$1:$I$88,3,0)*0.475*44/12</f>
        <v>#N/A</v>
      </c>
      <c r="BQ57" s="23" t="e">
        <f>EXP(-LN(2)/25)*BQ56+(1-EXP(-LN(2)/25))/(LN(2)/25)*Calculateur!BL57*Calculateur!BN57*VLOOKUP('Données projet'!$B$11,Paramètres!$A$1:$I$88,3,0)*0.475*44/12</f>
        <v>#N/A</v>
      </c>
      <c r="BR57" s="23" t="e">
        <f>EXP(-LN(2)/2)*BR56+(1-EXP(-LN(2)/2))/(LN(2)/2)*BL57*BO57*VLOOKUP('Données projet'!$B$11,Paramètres!$A$1:$I$88,3,0)*0.475*44/12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projet'!$B$12,Paramètres!$A$1:$I$88,3,0)*VLOOKUP('Données projet'!$B$12,Paramètres!$A$1:$I$88,5,0)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projet'!$B$12,Paramètres!$A$1:$I$88,7,0))</f>
        <v>0</v>
      </c>
      <c r="CI57" s="17">
        <f>IF(ISNA(VLOOKUP(A57,'Données projet'!$A$113:$I$133,6,0)),0%,VLOOKUP(A57,'Données projet'!$A$113:$I$133,6,0)*VLOOKUP('Données projet'!$B$12,Paramètres!$A$1:$I$88,7,0))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projet'!$B$12,Paramètres!$A$1:$I$88,3,0)*0.475*44/12</f>
        <v>#N/A</v>
      </c>
      <c r="CL57" s="23" t="e">
        <f>EXP(-LN(2)/25)*CL56+(1-EXP(-LN(2)/25))/(LN(2)/25)*Calculateur!CG57*Calculateur!CI57*VLOOKUP('Données projet'!$B$12,Paramètres!$A$1:$I$88,3,0)*0.475*44/12</f>
        <v>#N/A</v>
      </c>
      <c r="CM57" s="23" t="e">
        <f>EXP(-LN(2)/2)*CM56+(1-EXP(-LN(2)/2))/(LN(2)/2)*CG57*CJ57*VLOOKUP('Données projet'!$B$12,Paramètres!$A$1:$I$88,3,0)*0.475*44/12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projet'!$B$13,Paramètres!$A$1:$I$88,3,0)*VLOOKUP('Données projet'!$B$13,Paramètres!$A$1:$I$88,5,0)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projet'!$B$13,Paramètres!$A$1:$I$88,7,0))</f>
        <v>0</v>
      </c>
      <c r="DD57" s="17">
        <f>IF(ISNA(VLOOKUP(A57,'Données projet'!$A$139:$I$159,6,0)),0%,VLOOKUP(A57,'Données projet'!$A$139:$I$159,6,0)*VLOOKUP('Données projet'!$B$13,Paramètres!$A$1:$I$88,7,0))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projet'!$B$13,Paramètres!$A$1:$I$88,3,0)*0.475*44/12</f>
        <v>#N/A</v>
      </c>
      <c r="DG57" s="23" t="e">
        <f>EXP(-LN(2)/25)*DG56+(1-EXP(-LN(2)/25))/(LN(2)/25)*Calculateur!DB57*Calculateur!DD57*VLOOKUP('Données projet'!$B$13,Paramètres!$A$1:$I$88,3,0)*0.475*44/12</f>
        <v>#N/A</v>
      </c>
      <c r="DH57" s="23" t="e">
        <f>EXP(-LN(2)/2)*DH56+(1-EXP(-LN(2)/2))/(LN(2)/2)*DB57*DE57*VLOOKUP('Données projet'!$B$13,Paramètres!$A$1:$I$88,3,0)*0.475*44/12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projet'!$B$14,Paramètres!$A$1:$I$88,3,0)*VLOOKUP('Données projet'!$B$14,Paramètres!$A$1:$I$88,5,0)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projet'!$B$14,Paramètres!$A$1:$I$88,7,0))</f>
        <v>0</v>
      </c>
      <c r="DY57" s="17">
        <f>IF(ISNA(VLOOKUP(A57,'Données projet'!$A$165:$I$185,6,0)),0%,VLOOKUP(A57,'Données projet'!$A$165:$I$185,6,0)*VLOOKUP('Données projet'!$B$14,Paramètres!$A$1:$I$88,7,0))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projet'!$B$14,Paramètres!$A$1:$I$88,3,0)*0.475*44/12</f>
        <v>#N/A</v>
      </c>
      <c r="EB57" s="23" t="e">
        <f>EXP(-LN(2)/25)*EB56+(1-EXP(-LN(2)/25))/(LN(2)/25)*Calculateur!DW57*Calculateur!DY57*VLOOKUP('Données projet'!$B$14,Paramètres!$A$1:$I$88,3,0)*0.475*44/12</f>
        <v>#N/A</v>
      </c>
      <c r="EC57" s="23" t="e">
        <f>EXP(-LN(2)/2)*EC56+(1-EXP(-LN(2)/2))/(LN(2)/2)*DW57*DZ57*VLOOKUP('Données projet'!$B$14,Paramètres!$A$1:$I$88,3,0)*0.475*44/12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projet'!$B$15,Paramètres!$A$1:$I$88,3,0)*VLOOKUP('Données projet'!$B$15,Paramètres!$A$1:$I$88,5,0)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projet'!$B$15,Paramètres!$A$1:$I$88,7,0))</f>
        <v>0</v>
      </c>
      <c r="ET57" s="17">
        <f>IF(ISNA(VLOOKUP(A57,'Données projet'!$A$191:$I$211,6,0)),0%,VLOOKUP(A57,'Données projet'!$A$191:$I$211,6,0)*VLOOKUP('Données projet'!$B$15,Paramètres!$A$1:$I$88,7,0))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projet'!$B$15,Paramètres!$A$1:$I$88,3,0)*0.475*44/12</f>
        <v>#N/A</v>
      </c>
      <c r="EW57" s="23" t="e">
        <f>EXP(-LN(2)/25)*EW56+(1-EXP(-LN(2)/25))/(LN(2)/25)*Calculateur!ER57*Calculateur!ET57*VLOOKUP('Données projet'!$B$15,Paramètres!$A$1:$I$88,3,0)*0.475*44/12</f>
        <v>#N/A</v>
      </c>
      <c r="EX57" s="23" t="e">
        <f>EXP(-LN(2)/2)*EX56+(1-EXP(-LN(2)/2))/(LN(2)/2)*ER57*EU57*VLOOKUP('Données projet'!$B$15,Paramètres!$A$1:$I$88,3,0)*0.475*44/12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projet'!$B$16,Paramètres!$A$1:$I$88,3,0)*VLOOKUP('Données projet'!$B$16,Paramètres!$A$1:$I$88,5,0)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projet'!$B$16,Paramètres!$A$1:$I$88,7,0))</f>
        <v>0</v>
      </c>
      <c r="FO57" s="17">
        <f>IF(ISNA(VLOOKUP(A57,'Données projet'!$A$217:$I$237,6,0)),0%,VLOOKUP(A57,'Données projet'!$A$217:$I$237,6,0)*VLOOKUP('Données projet'!$B$16,Paramètres!$A$1:$I$88,7,0))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projet'!$B$16,Paramètres!$A$1:$I$88,3,0)*0.475*44/12</f>
        <v>#N/A</v>
      </c>
      <c r="FR57" s="23" t="e">
        <f>EXP(-LN(2)/25)*FR56+(1-EXP(-LN(2)/25))/(LN(2)/25)*Calculateur!FM57*Calculateur!FO57*VLOOKUP('Données projet'!$B$16,Paramètres!$A$1:$I$88,3,0)*0.475*44/12</f>
        <v>#N/A</v>
      </c>
      <c r="FS57" s="23" t="e">
        <f>EXP(-LN(2)/2)*FS56+(1-EXP(-LN(2)/2))/(LN(2)/2)*FM57*FP57*VLOOKUP('Données projet'!$B$16,Paramètres!$A$1:$I$88,3,0)*0.475*44/12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projet'!$B$17,Paramètres!$A$1:$I$88,3,0)*VLOOKUP('Données projet'!$B$17,Paramètres!$A$1:$I$88,5,0)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projet'!$B$17,Paramètres!$A$1:$I$88,7,0))</f>
        <v>0</v>
      </c>
      <c r="GJ57" s="17">
        <f>IF(ISNA(VLOOKUP(A57,'Données projet'!$A$243:$I$263,6,0)),0%,VLOOKUP(A57,'Données projet'!$A$243:$I$263,6,0)*VLOOKUP('Données projet'!$B$17,Paramètres!$A$1:$I$88,7,0))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projet'!$B$17,Paramètres!$A$1:$I$88,3,0)*0.475*44/12</f>
        <v>#N/A</v>
      </c>
      <c r="GM57" s="23" t="e">
        <f>EXP(-LN(2)/25)*GM56+(1-EXP(-LN(2)/25))/(LN(2)/25)*Calculateur!GH57*Calculateur!GJ57*VLOOKUP('Données projet'!$B$17,Paramètres!$A$1:$I$88,3,0)*0.475*44/12</f>
        <v>#N/A</v>
      </c>
      <c r="GN57" s="23" t="e">
        <f>EXP(-LN(2)/2)*GN56+(1-EXP(-LN(2)/2))/(LN(2)/2)*GH57*GK57*VLOOKUP('Données projet'!$B$17,Paramètres!$A$1:$I$88,3,0)*0.475*44/12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projet'!$B$18,Paramètres!$A$1:$I$88,3,0)*VLOOKUP('Données projet'!$B$18,Paramètres!$A$1:$I$88,5,0)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projet'!$B$18,Paramètres!$A$1:$I$88,7,0))</f>
        <v>0</v>
      </c>
      <c r="HE57" s="17">
        <f>IF(ISNA(VLOOKUP(A57,'Données projet'!$A$269:$I$289,6,0)),0%,VLOOKUP(A57,'Données projet'!$A$269:$I$289,6,0)*VLOOKUP('Données projet'!$B$18,Paramètres!$A$1:$I$88,7,0))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projet'!$B$18,Paramètres!$A$1:$I$88,3,0)*0.475*44/12</f>
        <v>#N/A</v>
      </c>
      <c r="HH57" s="23" t="e">
        <f>EXP(-LN(2)/25)*HH56+(1-EXP(-LN(2)/25))/(LN(2)/25)*Calculateur!HC57*Calculateur!HE57*VLOOKUP('Données projet'!$B$18,Paramètres!$A$1:$I$88,3,0)*0.475*44/12</f>
        <v>#N/A</v>
      </c>
      <c r="HI57" s="23" t="e">
        <f>EXP(-LN(2)/2)*HI56+(1-EXP(-LN(2)/2))/(LN(2)/2)*HC57*HF57*VLOOKUP('Données projet'!$B$18,Paramètres!$A$1:$I$88,3,0)*0.475*44/12</f>
        <v>#N/A</v>
      </c>
      <c r="HJ57" s="24" t="e">
        <f t="shared" si="30"/>
        <v>#N/A</v>
      </c>
    </row>
    <row r="58" spans="1:218" s="5" customFormat="1" x14ac:dyDescent="0.3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16.428571428571427</v>
      </c>
      <c r="N58" s="14">
        <f>IF('Données projet'!$A$36&gt;35,N57+M58-V57,IF(A58&lt;'Données projet'!$A$36,$K$205^A58,IF(A58='Données projet'!$A$36,'Données projet'!$B$36,N57+M58-V57)))</f>
        <v>434.85714285714312</v>
      </c>
      <c r="O58" s="14">
        <f>N58*VLOOKUP('Données projet'!$B$9,Paramètres!$A$1:$I$88,3,0)*VLOOKUP('Données projet'!$B$9,Paramètres!$A$1:$I$88,5,0)</f>
        <v>243.08514285714301</v>
      </c>
      <c r="P58" s="14">
        <f t="shared" si="33"/>
        <v>59.102819748715035</v>
      </c>
      <c r="Q58" s="22">
        <f t="shared" si="53"/>
        <v>526.31070153853614</v>
      </c>
      <c r="R58" s="62">
        <f t="shared" si="0"/>
        <v>784.63315701900751</v>
      </c>
      <c r="S58" s="62">
        <f ca="1">AVERAGE(OFFSET($R$3,0,0,'Données projet'!$E$9+1,1))-AVERAGE(OFFSET($H$3,0,0,'Données projet'!$E$9+1,1))</f>
        <v>367.03450586441784</v>
      </c>
      <c r="T58" s="62">
        <f t="shared" si="34"/>
        <v>413.14502442862897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projet'!$B$9,Paramètres!$A$1:$I$88,7,0))</f>
        <v>0</v>
      </c>
      <c r="X58" s="17">
        <f>IF(ISNA(VLOOKUP(A58,'Données projet'!$A$35:$I$55,6,0)),0%,VLOOKUP(A58,'Données projet'!$A$35:$I$55,6,0)*VLOOKUP('Données projet'!$B$9,Paramètres!$A$1:$I$88,7,0))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projet'!$B$9,Paramètres!$A$1:$I$88,3,0)*0.475*44/12</f>
        <v>45.172982673810871</v>
      </c>
      <c r="AA58" s="23">
        <f>EXP(-LN(2)/25)*AA57+(1-EXP(-LN(2)/25))/(LN(2)/25)*Calculateur!V58*Calculateur!X58*VLOOKUP('Données projet'!$B$9,Paramètres!$A$1:$I$88,3,0)*0.475*44/12</f>
        <v>49.717612081855719</v>
      </c>
      <c r="AB58" s="23">
        <f>EXP(-LN(2)/2)*AB57+(1-EXP(-LN(2)/2))/(LN(2)/2)*V58*Y58*VLOOKUP('Données projet'!$B$9,Paramètres!$A$1:$I$88,3,0)*0.475*44/12</f>
        <v>0</v>
      </c>
      <c r="AC58" s="24">
        <f t="shared" si="3"/>
        <v>94.890594755666598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projet'!$B$10,Paramètres!$A$1:$I$88,3,0)*VLOOKUP('Données projet'!$B$10,Paramètres!$A$1:$I$88,5,0)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projet'!$B$10,Paramètres!$A$1:$I$88,7,0))</f>
        <v>0</v>
      </c>
      <c r="AS58" s="17">
        <f>IF(ISNA(VLOOKUP(A58,'Données projet'!$A$61:$I$81,6,0)),0%,VLOOKUP(A58,'Données projet'!$A$61:$I$81,6,0)*VLOOKUP('Données projet'!$B$10,Paramètres!$A$1:$I$88,7,0))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projet'!$B$10,Paramètres!$A$1:$I$88,3,0)*0.475*44/12</f>
        <v>#N/A</v>
      </c>
      <c r="AV58" s="23" t="e">
        <f>EXP(-LN(2)/25)*AV57+(1-EXP(-LN(2)/25))/(LN(2)/25)*Calculateur!AQ58*Calculateur!AS58*VLOOKUP('Données projet'!$B$10,Paramètres!$A$1:$I$88,3,0)*0.475*44/12</f>
        <v>#N/A</v>
      </c>
      <c r="AW58" s="23" t="e">
        <f>EXP(-LN(2)/2)*AW57+(1-EXP(-LN(2)/2))/(LN(2)/2)*AQ58*AT58*VLOOKUP('Données projet'!$B$10,Paramètres!$A$1:$I$88,3,0)*0.475*44/12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projet'!$B$11,Paramètres!$A$1:$I$88,3,0)*VLOOKUP('Données projet'!$B$11,Paramètres!$A$1:$I$88,5,0)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projet'!$B$11,Paramètres!$A$1:$I$88,7,0))</f>
        <v>0</v>
      </c>
      <c r="BN58" s="17">
        <f>IF(ISNA(VLOOKUP(A58,'Données projet'!$A$87:$I$107,6,0)),0%,VLOOKUP(A58,'Données projet'!$A$87:$I$107,6,0)*VLOOKUP('Données projet'!$B$11,Paramètres!$A$1:$I$88,7,0))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projet'!$B$11,Paramètres!$A$1:$I$88,3,0)*0.475*44/12</f>
        <v>#N/A</v>
      </c>
      <c r="BQ58" s="23" t="e">
        <f>EXP(-LN(2)/25)*BQ57+(1-EXP(-LN(2)/25))/(LN(2)/25)*Calculateur!BL58*Calculateur!BN58*VLOOKUP('Données projet'!$B$11,Paramètres!$A$1:$I$88,3,0)*0.475*44/12</f>
        <v>#N/A</v>
      </c>
      <c r="BR58" s="23" t="e">
        <f>EXP(-LN(2)/2)*BR57+(1-EXP(-LN(2)/2))/(LN(2)/2)*BL58*BO58*VLOOKUP('Données projet'!$B$11,Paramètres!$A$1:$I$88,3,0)*0.475*44/12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projet'!$B$12,Paramètres!$A$1:$I$88,3,0)*VLOOKUP('Données projet'!$B$12,Paramètres!$A$1:$I$88,5,0)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projet'!$B$12,Paramètres!$A$1:$I$88,7,0))</f>
        <v>0</v>
      </c>
      <c r="CI58" s="17">
        <f>IF(ISNA(VLOOKUP(A58,'Données projet'!$A$113:$I$133,6,0)),0%,VLOOKUP(A58,'Données projet'!$A$113:$I$133,6,0)*VLOOKUP('Données projet'!$B$12,Paramètres!$A$1:$I$88,7,0))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projet'!$B$12,Paramètres!$A$1:$I$88,3,0)*0.475*44/12</f>
        <v>#N/A</v>
      </c>
      <c r="CL58" s="23" t="e">
        <f>EXP(-LN(2)/25)*CL57+(1-EXP(-LN(2)/25))/(LN(2)/25)*Calculateur!CG58*Calculateur!CI58*VLOOKUP('Données projet'!$B$12,Paramètres!$A$1:$I$88,3,0)*0.475*44/12</f>
        <v>#N/A</v>
      </c>
      <c r="CM58" s="23" t="e">
        <f>EXP(-LN(2)/2)*CM57+(1-EXP(-LN(2)/2))/(LN(2)/2)*CG58*CJ58*VLOOKUP('Données projet'!$B$12,Paramètres!$A$1:$I$88,3,0)*0.475*44/12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projet'!$B$13,Paramètres!$A$1:$I$88,3,0)*VLOOKUP('Données projet'!$B$13,Paramètres!$A$1:$I$88,5,0)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projet'!$B$13,Paramètres!$A$1:$I$88,7,0))</f>
        <v>0</v>
      </c>
      <c r="DD58" s="17">
        <f>IF(ISNA(VLOOKUP(A58,'Données projet'!$A$139:$I$159,6,0)),0%,VLOOKUP(A58,'Données projet'!$A$139:$I$159,6,0)*VLOOKUP('Données projet'!$B$13,Paramètres!$A$1:$I$88,7,0))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projet'!$B$13,Paramètres!$A$1:$I$88,3,0)*0.475*44/12</f>
        <v>#N/A</v>
      </c>
      <c r="DG58" s="23" t="e">
        <f>EXP(-LN(2)/25)*DG57+(1-EXP(-LN(2)/25))/(LN(2)/25)*Calculateur!DB58*Calculateur!DD58*VLOOKUP('Données projet'!$B$13,Paramètres!$A$1:$I$88,3,0)*0.475*44/12</f>
        <v>#N/A</v>
      </c>
      <c r="DH58" s="23" t="e">
        <f>EXP(-LN(2)/2)*DH57+(1-EXP(-LN(2)/2))/(LN(2)/2)*DB58*DE58*VLOOKUP('Données projet'!$B$13,Paramètres!$A$1:$I$88,3,0)*0.475*44/12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projet'!$B$14,Paramètres!$A$1:$I$88,3,0)*VLOOKUP('Données projet'!$B$14,Paramètres!$A$1:$I$88,5,0)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projet'!$B$14,Paramètres!$A$1:$I$88,7,0))</f>
        <v>0</v>
      </c>
      <c r="DY58" s="17">
        <f>IF(ISNA(VLOOKUP(A58,'Données projet'!$A$165:$I$185,6,0)),0%,VLOOKUP(A58,'Données projet'!$A$165:$I$185,6,0)*VLOOKUP('Données projet'!$B$14,Paramètres!$A$1:$I$88,7,0))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projet'!$B$14,Paramètres!$A$1:$I$88,3,0)*0.475*44/12</f>
        <v>#N/A</v>
      </c>
      <c r="EB58" s="23" t="e">
        <f>EXP(-LN(2)/25)*EB57+(1-EXP(-LN(2)/25))/(LN(2)/25)*Calculateur!DW58*Calculateur!DY58*VLOOKUP('Données projet'!$B$14,Paramètres!$A$1:$I$88,3,0)*0.475*44/12</f>
        <v>#N/A</v>
      </c>
      <c r="EC58" s="23" t="e">
        <f>EXP(-LN(2)/2)*EC57+(1-EXP(-LN(2)/2))/(LN(2)/2)*DW58*DZ58*VLOOKUP('Données projet'!$B$14,Paramètres!$A$1:$I$88,3,0)*0.475*44/12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projet'!$B$15,Paramètres!$A$1:$I$88,3,0)*VLOOKUP('Données projet'!$B$15,Paramètres!$A$1:$I$88,5,0)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projet'!$B$15,Paramètres!$A$1:$I$88,7,0))</f>
        <v>0</v>
      </c>
      <c r="ET58" s="17">
        <f>IF(ISNA(VLOOKUP(A58,'Données projet'!$A$191:$I$211,6,0)),0%,VLOOKUP(A58,'Données projet'!$A$191:$I$211,6,0)*VLOOKUP('Données projet'!$B$15,Paramètres!$A$1:$I$88,7,0))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projet'!$B$15,Paramètres!$A$1:$I$88,3,0)*0.475*44/12</f>
        <v>#N/A</v>
      </c>
      <c r="EW58" s="23" t="e">
        <f>EXP(-LN(2)/25)*EW57+(1-EXP(-LN(2)/25))/(LN(2)/25)*Calculateur!ER58*Calculateur!ET58*VLOOKUP('Données projet'!$B$15,Paramètres!$A$1:$I$88,3,0)*0.475*44/12</f>
        <v>#N/A</v>
      </c>
      <c r="EX58" s="23" t="e">
        <f>EXP(-LN(2)/2)*EX57+(1-EXP(-LN(2)/2))/(LN(2)/2)*ER58*EU58*VLOOKUP('Données projet'!$B$15,Paramètres!$A$1:$I$88,3,0)*0.475*44/12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projet'!$B$16,Paramètres!$A$1:$I$88,3,0)*VLOOKUP('Données projet'!$B$16,Paramètres!$A$1:$I$88,5,0)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projet'!$B$16,Paramètres!$A$1:$I$88,7,0))</f>
        <v>0</v>
      </c>
      <c r="FO58" s="17">
        <f>IF(ISNA(VLOOKUP(A58,'Données projet'!$A$217:$I$237,6,0)),0%,VLOOKUP(A58,'Données projet'!$A$217:$I$237,6,0)*VLOOKUP('Données projet'!$B$16,Paramètres!$A$1:$I$88,7,0))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projet'!$B$16,Paramètres!$A$1:$I$88,3,0)*0.475*44/12</f>
        <v>#N/A</v>
      </c>
      <c r="FR58" s="23" t="e">
        <f>EXP(-LN(2)/25)*FR57+(1-EXP(-LN(2)/25))/(LN(2)/25)*Calculateur!FM58*Calculateur!FO58*VLOOKUP('Données projet'!$B$16,Paramètres!$A$1:$I$88,3,0)*0.475*44/12</f>
        <v>#N/A</v>
      </c>
      <c r="FS58" s="23" t="e">
        <f>EXP(-LN(2)/2)*FS57+(1-EXP(-LN(2)/2))/(LN(2)/2)*FM58*FP58*VLOOKUP('Données projet'!$B$16,Paramètres!$A$1:$I$88,3,0)*0.475*44/12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projet'!$B$17,Paramètres!$A$1:$I$88,3,0)*VLOOKUP('Données projet'!$B$17,Paramètres!$A$1:$I$88,5,0)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projet'!$B$17,Paramètres!$A$1:$I$88,7,0))</f>
        <v>0</v>
      </c>
      <c r="GJ58" s="17">
        <f>IF(ISNA(VLOOKUP(A58,'Données projet'!$A$243:$I$263,6,0)),0%,VLOOKUP(A58,'Données projet'!$A$243:$I$263,6,0)*VLOOKUP('Données projet'!$B$17,Paramètres!$A$1:$I$88,7,0))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projet'!$B$17,Paramètres!$A$1:$I$88,3,0)*0.475*44/12</f>
        <v>#N/A</v>
      </c>
      <c r="GM58" s="23" t="e">
        <f>EXP(-LN(2)/25)*GM57+(1-EXP(-LN(2)/25))/(LN(2)/25)*Calculateur!GH58*Calculateur!GJ58*VLOOKUP('Données projet'!$B$17,Paramètres!$A$1:$I$88,3,0)*0.475*44/12</f>
        <v>#N/A</v>
      </c>
      <c r="GN58" s="23" t="e">
        <f>EXP(-LN(2)/2)*GN57+(1-EXP(-LN(2)/2))/(LN(2)/2)*GH58*GK58*VLOOKUP('Données projet'!$B$17,Paramètres!$A$1:$I$88,3,0)*0.475*44/12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projet'!$B$18,Paramètres!$A$1:$I$88,3,0)*VLOOKUP('Données projet'!$B$18,Paramètres!$A$1:$I$88,5,0)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projet'!$B$18,Paramètres!$A$1:$I$88,7,0))</f>
        <v>0</v>
      </c>
      <c r="HE58" s="17">
        <f>IF(ISNA(VLOOKUP(A58,'Données projet'!$A$269:$I$289,6,0)),0%,VLOOKUP(A58,'Données projet'!$A$269:$I$289,6,0)*VLOOKUP('Données projet'!$B$18,Paramètres!$A$1:$I$88,7,0))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projet'!$B$18,Paramètres!$A$1:$I$88,3,0)*0.475*44/12</f>
        <v>#N/A</v>
      </c>
      <c r="HH58" s="23" t="e">
        <f>EXP(-LN(2)/25)*HH57+(1-EXP(-LN(2)/25))/(LN(2)/25)*Calculateur!HC58*Calculateur!HE58*VLOOKUP('Données projet'!$B$18,Paramètres!$A$1:$I$88,3,0)*0.475*44/12</f>
        <v>#N/A</v>
      </c>
      <c r="HI58" s="23" t="e">
        <f>EXP(-LN(2)/2)*HI57+(1-EXP(-LN(2)/2))/(LN(2)/2)*HC58*HF58*VLOOKUP('Données projet'!$B$18,Paramètres!$A$1:$I$88,3,0)*0.475*44/12</f>
        <v>#N/A</v>
      </c>
      <c r="HJ58" s="24" t="e">
        <f t="shared" si="30"/>
        <v>#N/A</v>
      </c>
    </row>
    <row r="59" spans="1:218" s="5" customFormat="1" x14ac:dyDescent="0.3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16.428571428571427</v>
      </c>
      <c r="N59" s="14">
        <f>IF('Données projet'!$A$36&gt;35,N58+M59-V58,IF(A59&lt;'Données projet'!$A$36,$K$205^A59,IF(A59='Données projet'!$A$36,'Données projet'!$B$36,N58+M59-V58)))</f>
        <v>451.28571428571456</v>
      </c>
      <c r="O59" s="14">
        <f>N59*VLOOKUP('Données projet'!$B$9,Paramètres!$A$1:$I$88,3,0)*VLOOKUP('Données projet'!$B$9,Paramètres!$A$1:$I$88,5,0)</f>
        <v>252.26871428571442</v>
      </c>
      <c r="P59" s="14">
        <f t="shared" si="33"/>
        <v>61.071496149027759</v>
      </c>
      <c r="Q59" s="22">
        <f t="shared" si="53"/>
        <v>545.73419984050929</v>
      </c>
      <c r="R59" s="62">
        <f t="shared" si="0"/>
        <v>804.66401577913098</v>
      </c>
      <c r="S59" s="62">
        <f ca="1">AVERAGE(OFFSET($R$3,0,0,'Données projet'!$E$9+1,1))-AVERAGE(OFFSET($H$3,0,0,'Données projet'!$E$9+1,1))</f>
        <v>367.03450586441784</v>
      </c>
      <c r="T59" s="62">
        <f t="shared" si="34"/>
        <v>413.14502442862897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projet'!$B$9,Paramètres!$A$1:$I$88,7,0))</f>
        <v>0</v>
      </c>
      <c r="X59" s="17">
        <f>IF(ISNA(VLOOKUP(A59,'Données projet'!$A$35:$I$55,6,0)),0%,VLOOKUP(A59,'Données projet'!$A$35:$I$55,6,0)*VLOOKUP('Données projet'!$B$9,Paramètres!$A$1:$I$88,7,0))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projet'!$B$9,Paramètres!$A$1:$I$88,3,0)*0.475*44/12</f>
        <v>44.287168036376258</v>
      </c>
      <c r="AA59" s="23">
        <f>EXP(-LN(2)/25)*AA58+(1-EXP(-LN(2)/25))/(LN(2)/25)*Calculateur!V59*Calculateur!X59*VLOOKUP('Données projet'!$B$9,Paramètres!$A$1:$I$88,3,0)*0.475*44/12</f>
        <v>48.358081364941789</v>
      </c>
      <c r="AB59" s="23">
        <f>EXP(-LN(2)/2)*AB58+(1-EXP(-LN(2)/2))/(LN(2)/2)*V59*Y59*VLOOKUP('Données projet'!$B$9,Paramètres!$A$1:$I$88,3,0)*0.475*44/12</f>
        <v>0</v>
      </c>
      <c r="AC59" s="24">
        <f t="shared" si="3"/>
        <v>92.64524940131804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projet'!$B$10,Paramètres!$A$1:$I$88,3,0)*VLOOKUP('Données projet'!$B$10,Paramètres!$A$1:$I$88,5,0)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projet'!$B$10,Paramètres!$A$1:$I$88,7,0))</f>
        <v>0</v>
      </c>
      <c r="AS59" s="17">
        <f>IF(ISNA(VLOOKUP(A59,'Données projet'!$A$61:$I$81,6,0)),0%,VLOOKUP(A59,'Données projet'!$A$61:$I$81,6,0)*VLOOKUP('Données projet'!$B$10,Paramètres!$A$1:$I$88,7,0))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projet'!$B$10,Paramètres!$A$1:$I$88,3,0)*0.475*44/12</f>
        <v>#N/A</v>
      </c>
      <c r="AV59" s="23" t="e">
        <f>EXP(-LN(2)/25)*AV58+(1-EXP(-LN(2)/25))/(LN(2)/25)*Calculateur!AQ59*Calculateur!AS59*VLOOKUP('Données projet'!$B$10,Paramètres!$A$1:$I$88,3,0)*0.475*44/12</f>
        <v>#N/A</v>
      </c>
      <c r="AW59" s="23" t="e">
        <f>EXP(-LN(2)/2)*AW58+(1-EXP(-LN(2)/2))/(LN(2)/2)*AQ59*AT59*VLOOKUP('Données projet'!$B$10,Paramètres!$A$1:$I$88,3,0)*0.475*44/12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projet'!$B$11,Paramètres!$A$1:$I$88,3,0)*VLOOKUP('Données projet'!$B$11,Paramètres!$A$1:$I$88,5,0)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projet'!$B$11,Paramètres!$A$1:$I$88,7,0))</f>
        <v>0</v>
      </c>
      <c r="BN59" s="17">
        <f>IF(ISNA(VLOOKUP(A59,'Données projet'!$A$87:$I$107,6,0)),0%,VLOOKUP(A59,'Données projet'!$A$87:$I$107,6,0)*VLOOKUP('Données projet'!$B$11,Paramètres!$A$1:$I$88,7,0))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projet'!$B$11,Paramètres!$A$1:$I$88,3,0)*0.475*44/12</f>
        <v>#N/A</v>
      </c>
      <c r="BQ59" s="23" t="e">
        <f>EXP(-LN(2)/25)*BQ58+(1-EXP(-LN(2)/25))/(LN(2)/25)*Calculateur!BL59*Calculateur!BN59*VLOOKUP('Données projet'!$B$11,Paramètres!$A$1:$I$88,3,0)*0.475*44/12</f>
        <v>#N/A</v>
      </c>
      <c r="BR59" s="23" t="e">
        <f>EXP(-LN(2)/2)*BR58+(1-EXP(-LN(2)/2))/(LN(2)/2)*BL59*BO59*VLOOKUP('Données projet'!$B$11,Paramètres!$A$1:$I$88,3,0)*0.475*44/12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projet'!$B$12,Paramètres!$A$1:$I$88,3,0)*VLOOKUP('Données projet'!$B$12,Paramètres!$A$1:$I$88,5,0)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projet'!$B$12,Paramètres!$A$1:$I$88,7,0))</f>
        <v>0</v>
      </c>
      <c r="CI59" s="17">
        <f>IF(ISNA(VLOOKUP(A59,'Données projet'!$A$113:$I$133,6,0)),0%,VLOOKUP(A59,'Données projet'!$A$113:$I$133,6,0)*VLOOKUP('Données projet'!$B$12,Paramètres!$A$1:$I$88,7,0))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projet'!$B$12,Paramètres!$A$1:$I$88,3,0)*0.475*44/12</f>
        <v>#N/A</v>
      </c>
      <c r="CL59" s="23" t="e">
        <f>EXP(-LN(2)/25)*CL58+(1-EXP(-LN(2)/25))/(LN(2)/25)*Calculateur!CG59*Calculateur!CI59*VLOOKUP('Données projet'!$B$12,Paramètres!$A$1:$I$88,3,0)*0.475*44/12</f>
        <v>#N/A</v>
      </c>
      <c r="CM59" s="23" t="e">
        <f>EXP(-LN(2)/2)*CM58+(1-EXP(-LN(2)/2))/(LN(2)/2)*CG59*CJ59*VLOOKUP('Données projet'!$B$12,Paramètres!$A$1:$I$88,3,0)*0.475*44/12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projet'!$B$13,Paramètres!$A$1:$I$88,3,0)*VLOOKUP('Données projet'!$B$13,Paramètres!$A$1:$I$88,5,0)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projet'!$B$13,Paramètres!$A$1:$I$88,7,0))</f>
        <v>0</v>
      </c>
      <c r="DD59" s="17">
        <f>IF(ISNA(VLOOKUP(A59,'Données projet'!$A$139:$I$159,6,0)),0%,VLOOKUP(A59,'Données projet'!$A$139:$I$159,6,0)*VLOOKUP('Données projet'!$B$13,Paramètres!$A$1:$I$88,7,0))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projet'!$B$13,Paramètres!$A$1:$I$88,3,0)*0.475*44/12</f>
        <v>#N/A</v>
      </c>
      <c r="DG59" s="23" t="e">
        <f>EXP(-LN(2)/25)*DG58+(1-EXP(-LN(2)/25))/(LN(2)/25)*Calculateur!DB59*Calculateur!DD59*VLOOKUP('Données projet'!$B$13,Paramètres!$A$1:$I$88,3,0)*0.475*44/12</f>
        <v>#N/A</v>
      </c>
      <c r="DH59" s="23" t="e">
        <f>EXP(-LN(2)/2)*DH58+(1-EXP(-LN(2)/2))/(LN(2)/2)*DB59*DE59*VLOOKUP('Données projet'!$B$13,Paramètres!$A$1:$I$88,3,0)*0.475*44/12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projet'!$B$14,Paramètres!$A$1:$I$88,3,0)*VLOOKUP('Données projet'!$B$14,Paramètres!$A$1:$I$88,5,0)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projet'!$B$14,Paramètres!$A$1:$I$88,7,0))</f>
        <v>0</v>
      </c>
      <c r="DY59" s="17">
        <f>IF(ISNA(VLOOKUP(A59,'Données projet'!$A$165:$I$185,6,0)),0%,VLOOKUP(A59,'Données projet'!$A$165:$I$185,6,0)*VLOOKUP('Données projet'!$B$14,Paramètres!$A$1:$I$88,7,0))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projet'!$B$14,Paramètres!$A$1:$I$88,3,0)*0.475*44/12</f>
        <v>#N/A</v>
      </c>
      <c r="EB59" s="23" t="e">
        <f>EXP(-LN(2)/25)*EB58+(1-EXP(-LN(2)/25))/(LN(2)/25)*Calculateur!DW59*Calculateur!DY59*VLOOKUP('Données projet'!$B$14,Paramètres!$A$1:$I$88,3,0)*0.475*44/12</f>
        <v>#N/A</v>
      </c>
      <c r="EC59" s="23" t="e">
        <f>EXP(-LN(2)/2)*EC58+(1-EXP(-LN(2)/2))/(LN(2)/2)*DW59*DZ59*VLOOKUP('Données projet'!$B$14,Paramètres!$A$1:$I$88,3,0)*0.475*44/12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projet'!$B$15,Paramètres!$A$1:$I$88,3,0)*VLOOKUP('Données projet'!$B$15,Paramètres!$A$1:$I$88,5,0)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projet'!$B$15,Paramètres!$A$1:$I$88,7,0))</f>
        <v>0</v>
      </c>
      <c r="ET59" s="17">
        <f>IF(ISNA(VLOOKUP(A59,'Données projet'!$A$191:$I$211,6,0)),0%,VLOOKUP(A59,'Données projet'!$A$191:$I$211,6,0)*VLOOKUP('Données projet'!$B$15,Paramètres!$A$1:$I$88,7,0))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projet'!$B$15,Paramètres!$A$1:$I$88,3,0)*0.475*44/12</f>
        <v>#N/A</v>
      </c>
      <c r="EW59" s="23" t="e">
        <f>EXP(-LN(2)/25)*EW58+(1-EXP(-LN(2)/25))/(LN(2)/25)*Calculateur!ER59*Calculateur!ET59*VLOOKUP('Données projet'!$B$15,Paramètres!$A$1:$I$88,3,0)*0.475*44/12</f>
        <v>#N/A</v>
      </c>
      <c r="EX59" s="23" t="e">
        <f>EXP(-LN(2)/2)*EX58+(1-EXP(-LN(2)/2))/(LN(2)/2)*ER59*EU59*VLOOKUP('Données projet'!$B$15,Paramètres!$A$1:$I$88,3,0)*0.475*44/12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projet'!$B$16,Paramètres!$A$1:$I$88,3,0)*VLOOKUP('Données projet'!$B$16,Paramètres!$A$1:$I$88,5,0)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projet'!$B$16,Paramètres!$A$1:$I$88,7,0))</f>
        <v>0</v>
      </c>
      <c r="FO59" s="17">
        <f>IF(ISNA(VLOOKUP(A59,'Données projet'!$A$217:$I$237,6,0)),0%,VLOOKUP(A59,'Données projet'!$A$217:$I$237,6,0)*VLOOKUP('Données projet'!$B$16,Paramètres!$A$1:$I$88,7,0))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projet'!$B$16,Paramètres!$A$1:$I$88,3,0)*0.475*44/12</f>
        <v>#N/A</v>
      </c>
      <c r="FR59" s="23" t="e">
        <f>EXP(-LN(2)/25)*FR58+(1-EXP(-LN(2)/25))/(LN(2)/25)*Calculateur!FM59*Calculateur!FO59*VLOOKUP('Données projet'!$B$16,Paramètres!$A$1:$I$88,3,0)*0.475*44/12</f>
        <v>#N/A</v>
      </c>
      <c r="FS59" s="23" t="e">
        <f>EXP(-LN(2)/2)*FS58+(1-EXP(-LN(2)/2))/(LN(2)/2)*FM59*FP59*VLOOKUP('Données projet'!$B$16,Paramètres!$A$1:$I$88,3,0)*0.475*44/12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projet'!$B$17,Paramètres!$A$1:$I$88,3,0)*VLOOKUP('Données projet'!$B$17,Paramètres!$A$1:$I$88,5,0)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projet'!$B$17,Paramètres!$A$1:$I$88,7,0))</f>
        <v>0</v>
      </c>
      <c r="GJ59" s="17">
        <f>IF(ISNA(VLOOKUP(A59,'Données projet'!$A$243:$I$263,6,0)),0%,VLOOKUP(A59,'Données projet'!$A$243:$I$263,6,0)*VLOOKUP('Données projet'!$B$17,Paramètres!$A$1:$I$88,7,0))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projet'!$B$17,Paramètres!$A$1:$I$88,3,0)*0.475*44/12</f>
        <v>#N/A</v>
      </c>
      <c r="GM59" s="23" t="e">
        <f>EXP(-LN(2)/25)*GM58+(1-EXP(-LN(2)/25))/(LN(2)/25)*Calculateur!GH59*Calculateur!GJ59*VLOOKUP('Données projet'!$B$17,Paramètres!$A$1:$I$88,3,0)*0.475*44/12</f>
        <v>#N/A</v>
      </c>
      <c r="GN59" s="23" t="e">
        <f>EXP(-LN(2)/2)*GN58+(1-EXP(-LN(2)/2))/(LN(2)/2)*GH59*GK59*VLOOKUP('Données projet'!$B$17,Paramètres!$A$1:$I$88,3,0)*0.475*44/12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projet'!$B$18,Paramètres!$A$1:$I$88,3,0)*VLOOKUP('Données projet'!$B$18,Paramètres!$A$1:$I$88,5,0)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projet'!$B$18,Paramètres!$A$1:$I$88,7,0))</f>
        <v>0</v>
      </c>
      <c r="HE59" s="17">
        <f>IF(ISNA(VLOOKUP(A59,'Données projet'!$A$269:$I$289,6,0)),0%,VLOOKUP(A59,'Données projet'!$A$269:$I$289,6,0)*VLOOKUP('Données projet'!$B$18,Paramètres!$A$1:$I$88,7,0))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projet'!$B$18,Paramètres!$A$1:$I$88,3,0)*0.475*44/12</f>
        <v>#N/A</v>
      </c>
      <c r="HH59" s="23" t="e">
        <f>EXP(-LN(2)/25)*HH58+(1-EXP(-LN(2)/25))/(LN(2)/25)*Calculateur!HC59*Calculateur!HE59*VLOOKUP('Données projet'!$B$18,Paramètres!$A$1:$I$88,3,0)*0.475*44/12</f>
        <v>#N/A</v>
      </c>
      <c r="HI59" s="23" t="e">
        <f>EXP(-LN(2)/2)*HI58+(1-EXP(-LN(2)/2))/(LN(2)/2)*HC59*HF59*VLOOKUP('Données projet'!$B$18,Paramètres!$A$1:$I$88,3,0)*0.475*44/12</f>
        <v>#N/A</v>
      </c>
      <c r="HJ59" s="24" t="e">
        <f t="shared" si="30"/>
        <v>#N/A</v>
      </c>
    </row>
    <row r="60" spans="1:218" s="5" customFormat="1" x14ac:dyDescent="0.3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16.428571428571427</v>
      </c>
      <c r="N60" s="14">
        <f>IF('Données projet'!$A$36&gt;35,N59+M60-V59,IF(A60&lt;'Données projet'!$A$36,$K$205^A60,IF(A60='Données projet'!$A$36,'Données projet'!$B$36,N59+M60-V59)))</f>
        <v>467.71428571428601</v>
      </c>
      <c r="O60" s="14">
        <f>N60*VLOOKUP('Données projet'!$B$9,Paramètres!$A$1:$I$88,3,0)*VLOOKUP('Données projet'!$B$9,Paramètres!$A$1:$I$88,5,0)</f>
        <v>261.45228571428589</v>
      </c>
      <c r="P60" s="14">
        <f t="shared" si="33"/>
        <v>63.031846153602828</v>
      </c>
      <c r="Q60" s="22">
        <f t="shared" si="53"/>
        <v>565.14319633657283</v>
      </c>
      <c r="R60" s="62">
        <f t="shared" si="0"/>
        <v>824.6698363872506</v>
      </c>
      <c r="S60" s="62">
        <f ca="1">AVERAGE(OFFSET($R$3,0,0,'Données projet'!$E$9+1,1))-AVERAGE(OFFSET($H$3,0,0,'Données projet'!$E$9+1,1))</f>
        <v>367.03450586441784</v>
      </c>
      <c r="T60" s="62">
        <f t="shared" si="34"/>
        <v>413.14502442862897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projet'!$B$9,Paramètres!$A$1:$I$88,7,0))</f>
        <v>0</v>
      </c>
      <c r="X60" s="17">
        <f>IF(ISNA(VLOOKUP(A60,'Données projet'!$A$35:$I$55,6,0)),0%,VLOOKUP(A60,'Données projet'!$A$35:$I$55,6,0)*VLOOKUP('Données projet'!$B$9,Paramètres!$A$1:$I$88,7,0))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projet'!$B$9,Paramètres!$A$1:$I$88,3,0)*0.475*44/12</f>
        <v>43.418723683688157</v>
      </c>
      <c r="AA60" s="23">
        <f>EXP(-LN(2)/25)*AA59+(1-EXP(-LN(2)/25))/(LN(2)/25)*Calculateur!V60*Calculateur!X60*VLOOKUP('Données projet'!$B$9,Paramètres!$A$1:$I$88,3,0)*0.475*44/12</f>
        <v>47.035727086976479</v>
      </c>
      <c r="AB60" s="23">
        <f>EXP(-LN(2)/2)*AB59+(1-EXP(-LN(2)/2))/(LN(2)/2)*V60*Y60*VLOOKUP('Données projet'!$B$9,Paramètres!$A$1:$I$88,3,0)*0.475*44/12</f>
        <v>0</v>
      </c>
      <c r="AC60" s="24">
        <f t="shared" si="3"/>
        <v>90.454450770664636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projet'!$B$10,Paramètres!$A$1:$I$88,3,0)*VLOOKUP('Données projet'!$B$10,Paramètres!$A$1:$I$88,5,0)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projet'!$B$10,Paramètres!$A$1:$I$88,7,0))</f>
        <v>0</v>
      </c>
      <c r="AS60" s="17">
        <f>IF(ISNA(VLOOKUP(A60,'Données projet'!$A$61:$I$81,6,0)),0%,VLOOKUP(A60,'Données projet'!$A$61:$I$81,6,0)*VLOOKUP('Données projet'!$B$10,Paramètres!$A$1:$I$88,7,0))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projet'!$B$10,Paramètres!$A$1:$I$88,3,0)*0.475*44/12</f>
        <v>#N/A</v>
      </c>
      <c r="AV60" s="23" t="e">
        <f>EXP(-LN(2)/25)*AV59+(1-EXP(-LN(2)/25))/(LN(2)/25)*Calculateur!AQ60*Calculateur!AS60*VLOOKUP('Données projet'!$B$10,Paramètres!$A$1:$I$88,3,0)*0.475*44/12</f>
        <v>#N/A</v>
      </c>
      <c r="AW60" s="23" t="e">
        <f>EXP(-LN(2)/2)*AW59+(1-EXP(-LN(2)/2))/(LN(2)/2)*AQ60*AT60*VLOOKUP('Données projet'!$B$10,Paramètres!$A$1:$I$88,3,0)*0.475*44/12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projet'!$B$11,Paramètres!$A$1:$I$88,3,0)*VLOOKUP('Données projet'!$B$11,Paramètres!$A$1:$I$88,5,0)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projet'!$B$11,Paramètres!$A$1:$I$88,7,0))</f>
        <v>0</v>
      </c>
      <c r="BN60" s="17">
        <f>IF(ISNA(VLOOKUP(A60,'Données projet'!$A$87:$I$107,6,0)),0%,VLOOKUP(A60,'Données projet'!$A$87:$I$107,6,0)*VLOOKUP('Données projet'!$B$11,Paramètres!$A$1:$I$88,7,0))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projet'!$B$11,Paramètres!$A$1:$I$88,3,0)*0.475*44/12</f>
        <v>#N/A</v>
      </c>
      <c r="BQ60" s="23" t="e">
        <f>EXP(-LN(2)/25)*BQ59+(1-EXP(-LN(2)/25))/(LN(2)/25)*Calculateur!BL60*Calculateur!BN60*VLOOKUP('Données projet'!$B$11,Paramètres!$A$1:$I$88,3,0)*0.475*44/12</f>
        <v>#N/A</v>
      </c>
      <c r="BR60" s="23" t="e">
        <f>EXP(-LN(2)/2)*BR59+(1-EXP(-LN(2)/2))/(LN(2)/2)*BL60*BO60*VLOOKUP('Données projet'!$B$11,Paramètres!$A$1:$I$88,3,0)*0.475*44/12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projet'!$B$12,Paramètres!$A$1:$I$88,3,0)*VLOOKUP('Données projet'!$B$12,Paramètres!$A$1:$I$88,5,0)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projet'!$B$12,Paramètres!$A$1:$I$88,7,0))</f>
        <v>0</v>
      </c>
      <c r="CI60" s="17">
        <f>IF(ISNA(VLOOKUP(A60,'Données projet'!$A$113:$I$133,6,0)),0%,VLOOKUP(A60,'Données projet'!$A$113:$I$133,6,0)*VLOOKUP('Données projet'!$B$12,Paramètres!$A$1:$I$88,7,0))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projet'!$B$12,Paramètres!$A$1:$I$88,3,0)*0.475*44/12</f>
        <v>#N/A</v>
      </c>
      <c r="CL60" s="23" t="e">
        <f>EXP(-LN(2)/25)*CL59+(1-EXP(-LN(2)/25))/(LN(2)/25)*Calculateur!CG60*Calculateur!CI60*VLOOKUP('Données projet'!$B$12,Paramètres!$A$1:$I$88,3,0)*0.475*44/12</f>
        <v>#N/A</v>
      </c>
      <c r="CM60" s="23" t="e">
        <f>EXP(-LN(2)/2)*CM59+(1-EXP(-LN(2)/2))/(LN(2)/2)*CG60*CJ60*VLOOKUP('Données projet'!$B$12,Paramètres!$A$1:$I$88,3,0)*0.475*44/12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projet'!$B$13,Paramètres!$A$1:$I$88,3,0)*VLOOKUP('Données projet'!$B$13,Paramètres!$A$1:$I$88,5,0)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projet'!$B$13,Paramètres!$A$1:$I$88,7,0))</f>
        <v>0</v>
      </c>
      <c r="DD60" s="17">
        <f>IF(ISNA(VLOOKUP(A60,'Données projet'!$A$139:$I$159,6,0)),0%,VLOOKUP(A60,'Données projet'!$A$139:$I$159,6,0)*VLOOKUP('Données projet'!$B$13,Paramètres!$A$1:$I$88,7,0))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projet'!$B$13,Paramètres!$A$1:$I$88,3,0)*0.475*44/12</f>
        <v>#N/A</v>
      </c>
      <c r="DG60" s="23" t="e">
        <f>EXP(-LN(2)/25)*DG59+(1-EXP(-LN(2)/25))/(LN(2)/25)*Calculateur!DB60*Calculateur!DD60*VLOOKUP('Données projet'!$B$13,Paramètres!$A$1:$I$88,3,0)*0.475*44/12</f>
        <v>#N/A</v>
      </c>
      <c r="DH60" s="23" t="e">
        <f>EXP(-LN(2)/2)*DH59+(1-EXP(-LN(2)/2))/(LN(2)/2)*DB60*DE60*VLOOKUP('Données projet'!$B$13,Paramètres!$A$1:$I$88,3,0)*0.475*44/12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projet'!$B$14,Paramètres!$A$1:$I$88,3,0)*VLOOKUP('Données projet'!$B$14,Paramètres!$A$1:$I$88,5,0)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projet'!$B$14,Paramètres!$A$1:$I$88,7,0))</f>
        <v>0</v>
      </c>
      <c r="DY60" s="17">
        <f>IF(ISNA(VLOOKUP(A60,'Données projet'!$A$165:$I$185,6,0)),0%,VLOOKUP(A60,'Données projet'!$A$165:$I$185,6,0)*VLOOKUP('Données projet'!$B$14,Paramètres!$A$1:$I$88,7,0))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projet'!$B$14,Paramètres!$A$1:$I$88,3,0)*0.475*44/12</f>
        <v>#N/A</v>
      </c>
      <c r="EB60" s="23" t="e">
        <f>EXP(-LN(2)/25)*EB59+(1-EXP(-LN(2)/25))/(LN(2)/25)*Calculateur!DW60*Calculateur!DY60*VLOOKUP('Données projet'!$B$14,Paramètres!$A$1:$I$88,3,0)*0.475*44/12</f>
        <v>#N/A</v>
      </c>
      <c r="EC60" s="23" t="e">
        <f>EXP(-LN(2)/2)*EC59+(1-EXP(-LN(2)/2))/(LN(2)/2)*DW60*DZ60*VLOOKUP('Données projet'!$B$14,Paramètres!$A$1:$I$88,3,0)*0.475*44/12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projet'!$B$15,Paramètres!$A$1:$I$88,3,0)*VLOOKUP('Données projet'!$B$15,Paramètres!$A$1:$I$88,5,0)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projet'!$B$15,Paramètres!$A$1:$I$88,7,0))</f>
        <v>0</v>
      </c>
      <c r="ET60" s="17">
        <f>IF(ISNA(VLOOKUP(A60,'Données projet'!$A$191:$I$211,6,0)),0%,VLOOKUP(A60,'Données projet'!$A$191:$I$211,6,0)*VLOOKUP('Données projet'!$B$15,Paramètres!$A$1:$I$88,7,0))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projet'!$B$15,Paramètres!$A$1:$I$88,3,0)*0.475*44/12</f>
        <v>#N/A</v>
      </c>
      <c r="EW60" s="23" t="e">
        <f>EXP(-LN(2)/25)*EW59+(1-EXP(-LN(2)/25))/(LN(2)/25)*Calculateur!ER60*Calculateur!ET60*VLOOKUP('Données projet'!$B$15,Paramètres!$A$1:$I$88,3,0)*0.475*44/12</f>
        <v>#N/A</v>
      </c>
      <c r="EX60" s="23" t="e">
        <f>EXP(-LN(2)/2)*EX59+(1-EXP(-LN(2)/2))/(LN(2)/2)*ER60*EU60*VLOOKUP('Données projet'!$B$15,Paramètres!$A$1:$I$88,3,0)*0.475*44/12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projet'!$B$16,Paramètres!$A$1:$I$88,3,0)*VLOOKUP('Données projet'!$B$16,Paramètres!$A$1:$I$88,5,0)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projet'!$B$16,Paramètres!$A$1:$I$88,7,0))</f>
        <v>0</v>
      </c>
      <c r="FO60" s="17">
        <f>IF(ISNA(VLOOKUP(A60,'Données projet'!$A$217:$I$237,6,0)),0%,VLOOKUP(A60,'Données projet'!$A$217:$I$237,6,0)*VLOOKUP('Données projet'!$B$16,Paramètres!$A$1:$I$88,7,0))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projet'!$B$16,Paramètres!$A$1:$I$88,3,0)*0.475*44/12</f>
        <v>#N/A</v>
      </c>
      <c r="FR60" s="23" t="e">
        <f>EXP(-LN(2)/25)*FR59+(1-EXP(-LN(2)/25))/(LN(2)/25)*Calculateur!FM60*Calculateur!FO60*VLOOKUP('Données projet'!$B$16,Paramètres!$A$1:$I$88,3,0)*0.475*44/12</f>
        <v>#N/A</v>
      </c>
      <c r="FS60" s="23" t="e">
        <f>EXP(-LN(2)/2)*FS59+(1-EXP(-LN(2)/2))/(LN(2)/2)*FM60*FP60*VLOOKUP('Données projet'!$B$16,Paramètres!$A$1:$I$88,3,0)*0.475*44/12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projet'!$B$17,Paramètres!$A$1:$I$88,3,0)*VLOOKUP('Données projet'!$B$17,Paramètres!$A$1:$I$88,5,0)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projet'!$B$17,Paramètres!$A$1:$I$88,7,0))</f>
        <v>0</v>
      </c>
      <c r="GJ60" s="17">
        <f>IF(ISNA(VLOOKUP(A60,'Données projet'!$A$243:$I$263,6,0)),0%,VLOOKUP(A60,'Données projet'!$A$243:$I$263,6,0)*VLOOKUP('Données projet'!$B$17,Paramètres!$A$1:$I$88,7,0))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projet'!$B$17,Paramètres!$A$1:$I$88,3,0)*0.475*44/12</f>
        <v>#N/A</v>
      </c>
      <c r="GM60" s="23" t="e">
        <f>EXP(-LN(2)/25)*GM59+(1-EXP(-LN(2)/25))/(LN(2)/25)*Calculateur!GH60*Calculateur!GJ60*VLOOKUP('Données projet'!$B$17,Paramètres!$A$1:$I$88,3,0)*0.475*44/12</f>
        <v>#N/A</v>
      </c>
      <c r="GN60" s="23" t="e">
        <f>EXP(-LN(2)/2)*GN59+(1-EXP(-LN(2)/2))/(LN(2)/2)*GH60*GK60*VLOOKUP('Données projet'!$B$17,Paramètres!$A$1:$I$88,3,0)*0.475*44/12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projet'!$B$18,Paramètres!$A$1:$I$88,3,0)*VLOOKUP('Données projet'!$B$18,Paramètres!$A$1:$I$88,5,0)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projet'!$B$18,Paramètres!$A$1:$I$88,7,0))</f>
        <v>0</v>
      </c>
      <c r="HE60" s="17">
        <f>IF(ISNA(VLOOKUP(A60,'Données projet'!$A$269:$I$289,6,0)),0%,VLOOKUP(A60,'Données projet'!$A$269:$I$289,6,0)*VLOOKUP('Données projet'!$B$18,Paramètres!$A$1:$I$88,7,0))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projet'!$B$18,Paramètres!$A$1:$I$88,3,0)*0.475*44/12</f>
        <v>#N/A</v>
      </c>
      <c r="HH60" s="23" t="e">
        <f>EXP(-LN(2)/25)*HH59+(1-EXP(-LN(2)/25))/(LN(2)/25)*Calculateur!HC60*Calculateur!HE60*VLOOKUP('Données projet'!$B$18,Paramètres!$A$1:$I$88,3,0)*0.475*44/12</f>
        <v>#N/A</v>
      </c>
      <c r="HI60" s="23" t="e">
        <f>EXP(-LN(2)/2)*HI59+(1-EXP(-LN(2)/2))/(LN(2)/2)*HC60*HF60*VLOOKUP('Données projet'!$B$18,Paramètres!$A$1:$I$88,3,0)*0.475*44/12</f>
        <v>#N/A</v>
      </c>
      <c r="HJ60" s="24" t="e">
        <f t="shared" si="30"/>
        <v>#N/A</v>
      </c>
    </row>
    <row r="61" spans="1:218" s="5" customFormat="1" x14ac:dyDescent="0.3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16.428571428571427</v>
      </c>
      <c r="N61" s="14">
        <f>IF('Données projet'!$A$36&gt;35,N60+M61-V60,IF(A61&lt;'Données projet'!$A$36,$K$205^A61,IF(A61='Données projet'!$A$36,'Données projet'!$B$36,N60+M61-V60)))</f>
        <v>484.14285714285745</v>
      </c>
      <c r="O61" s="14">
        <f>N61*VLOOKUP('Données projet'!$B$9,Paramètres!$A$1:$I$88,3,0)*VLOOKUP('Données projet'!$B$9,Paramètres!$A$1:$I$88,5,0)</f>
        <v>270.63585714285733</v>
      </c>
      <c r="P61" s="14">
        <f t="shared" si="33"/>
        <v>64.98419574180447</v>
      </c>
      <c r="Q61" s="22">
        <f t="shared" si="53"/>
        <v>584.53825877411919</v>
      </c>
      <c r="R61" s="62">
        <f t="shared" si="0"/>
        <v>844.65136937280761</v>
      </c>
      <c r="S61" s="62">
        <f ca="1">AVERAGE(OFFSET($R$3,0,0,'Données projet'!$E$9+1,1))-AVERAGE(OFFSET($H$3,0,0,'Données projet'!$E$9+1,1))</f>
        <v>367.03450586441784</v>
      </c>
      <c r="T61" s="62">
        <f t="shared" si="34"/>
        <v>413.14502442862897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projet'!$B$9,Paramètres!$A$1:$I$88,7,0))</f>
        <v>0</v>
      </c>
      <c r="X61" s="17">
        <f>IF(ISNA(VLOOKUP(A61,'Données projet'!$A$35:$I$55,6,0)),0%,VLOOKUP(A61,'Données projet'!$A$35:$I$55,6,0)*VLOOKUP('Données projet'!$B$9,Paramètres!$A$1:$I$88,7,0))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projet'!$B$9,Paramètres!$A$1:$I$88,3,0)*0.475*44/12</f>
        <v>42.567308995057516</v>
      </c>
      <c r="AA61" s="23">
        <f>EXP(-LN(2)/25)*AA60+(1-EXP(-LN(2)/25))/(LN(2)/25)*Calculateur!V61*Calculateur!X61*VLOOKUP('Données projet'!$B$9,Paramètres!$A$1:$I$88,3,0)*0.475*44/12</f>
        <v>45.749532656281723</v>
      </c>
      <c r="AB61" s="23">
        <f>EXP(-LN(2)/2)*AB60+(1-EXP(-LN(2)/2))/(LN(2)/2)*V61*Y61*VLOOKUP('Données projet'!$B$9,Paramètres!$A$1:$I$88,3,0)*0.475*44/12</f>
        <v>0</v>
      </c>
      <c r="AC61" s="24">
        <f t="shared" si="3"/>
        <v>88.316841651339246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projet'!$B$10,Paramètres!$A$1:$I$88,3,0)*VLOOKUP('Données projet'!$B$10,Paramètres!$A$1:$I$88,5,0)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projet'!$B$10,Paramètres!$A$1:$I$88,7,0))</f>
        <v>0</v>
      </c>
      <c r="AS61" s="17">
        <f>IF(ISNA(VLOOKUP(A61,'Données projet'!$A$61:$I$81,6,0)),0%,VLOOKUP(A61,'Données projet'!$A$61:$I$81,6,0)*VLOOKUP('Données projet'!$B$10,Paramètres!$A$1:$I$88,7,0))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projet'!$B$10,Paramètres!$A$1:$I$88,3,0)*0.475*44/12</f>
        <v>#N/A</v>
      </c>
      <c r="AV61" s="23" t="e">
        <f>EXP(-LN(2)/25)*AV60+(1-EXP(-LN(2)/25))/(LN(2)/25)*Calculateur!AQ61*Calculateur!AS61*VLOOKUP('Données projet'!$B$10,Paramètres!$A$1:$I$88,3,0)*0.475*44/12</f>
        <v>#N/A</v>
      </c>
      <c r="AW61" s="23" t="e">
        <f>EXP(-LN(2)/2)*AW60+(1-EXP(-LN(2)/2))/(LN(2)/2)*AQ61*AT61*VLOOKUP('Données projet'!$B$10,Paramètres!$A$1:$I$88,3,0)*0.475*44/12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projet'!$B$11,Paramètres!$A$1:$I$88,3,0)*VLOOKUP('Données projet'!$B$11,Paramètres!$A$1:$I$88,5,0)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projet'!$B$11,Paramètres!$A$1:$I$88,7,0))</f>
        <v>0</v>
      </c>
      <c r="BN61" s="17">
        <f>IF(ISNA(VLOOKUP(A61,'Données projet'!$A$87:$I$107,6,0)),0%,VLOOKUP(A61,'Données projet'!$A$87:$I$107,6,0)*VLOOKUP('Données projet'!$B$11,Paramètres!$A$1:$I$88,7,0))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projet'!$B$11,Paramètres!$A$1:$I$88,3,0)*0.475*44/12</f>
        <v>#N/A</v>
      </c>
      <c r="BQ61" s="23" t="e">
        <f>EXP(-LN(2)/25)*BQ60+(1-EXP(-LN(2)/25))/(LN(2)/25)*Calculateur!BL61*Calculateur!BN61*VLOOKUP('Données projet'!$B$11,Paramètres!$A$1:$I$88,3,0)*0.475*44/12</f>
        <v>#N/A</v>
      </c>
      <c r="BR61" s="23" t="e">
        <f>EXP(-LN(2)/2)*BR60+(1-EXP(-LN(2)/2))/(LN(2)/2)*BL61*BO61*VLOOKUP('Données projet'!$B$11,Paramètres!$A$1:$I$88,3,0)*0.475*44/12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projet'!$B$12,Paramètres!$A$1:$I$88,3,0)*VLOOKUP('Données projet'!$B$12,Paramètres!$A$1:$I$88,5,0)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projet'!$B$12,Paramètres!$A$1:$I$88,7,0))</f>
        <v>0</v>
      </c>
      <c r="CI61" s="17">
        <f>IF(ISNA(VLOOKUP(A61,'Données projet'!$A$113:$I$133,6,0)),0%,VLOOKUP(A61,'Données projet'!$A$113:$I$133,6,0)*VLOOKUP('Données projet'!$B$12,Paramètres!$A$1:$I$88,7,0))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projet'!$B$12,Paramètres!$A$1:$I$88,3,0)*0.475*44/12</f>
        <v>#N/A</v>
      </c>
      <c r="CL61" s="23" t="e">
        <f>EXP(-LN(2)/25)*CL60+(1-EXP(-LN(2)/25))/(LN(2)/25)*Calculateur!CG61*Calculateur!CI61*VLOOKUP('Données projet'!$B$12,Paramètres!$A$1:$I$88,3,0)*0.475*44/12</f>
        <v>#N/A</v>
      </c>
      <c r="CM61" s="23" t="e">
        <f>EXP(-LN(2)/2)*CM60+(1-EXP(-LN(2)/2))/(LN(2)/2)*CG61*CJ61*VLOOKUP('Données projet'!$B$12,Paramètres!$A$1:$I$88,3,0)*0.475*44/12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projet'!$B$13,Paramètres!$A$1:$I$88,3,0)*VLOOKUP('Données projet'!$B$13,Paramètres!$A$1:$I$88,5,0)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projet'!$B$13,Paramètres!$A$1:$I$88,7,0))</f>
        <v>0</v>
      </c>
      <c r="DD61" s="17">
        <f>IF(ISNA(VLOOKUP(A61,'Données projet'!$A$139:$I$159,6,0)),0%,VLOOKUP(A61,'Données projet'!$A$139:$I$159,6,0)*VLOOKUP('Données projet'!$B$13,Paramètres!$A$1:$I$88,7,0))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projet'!$B$13,Paramètres!$A$1:$I$88,3,0)*0.475*44/12</f>
        <v>#N/A</v>
      </c>
      <c r="DG61" s="23" t="e">
        <f>EXP(-LN(2)/25)*DG60+(1-EXP(-LN(2)/25))/(LN(2)/25)*Calculateur!DB61*Calculateur!DD61*VLOOKUP('Données projet'!$B$13,Paramètres!$A$1:$I$88,3,0)*0.475*44/12</f>
        <v>#N/A</v>
      </c>
      <c r="DH61" s="23" t="e">
        <f>EXP(-LN(2)/2)*DH60+(1-EXP(-LN(2)/2))/(LN(2)/2)*DB61*DE61*VLOOKUP('Données projet'!$B$13,Paramètres!$A$1:$I$88,3,0)*0.475*44/12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projet'!$B$14,Paramètres!$A$1:$I$88,3,0)*VLOOKUP('Données projet'!$B$14,Paramètres!$A$1:$I$88,5,0)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projet'!$B$14,Paramètres!$A$1:$I$88,7,0))</f>
        <v>0</v>
      </c>
      <c r="DY61" s="17">
        <f>IF(ISNA(VLOOKUP(A61,'Données projet'!$A$165:$I$185,6,0)),0%,VLOOKUP(A61,'Données projet'!$A$165:$I$185,6,0)*VLOOKUP('Données projet'!$B$14,Paramètres!$A$1:$I$88,7,0))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projet'!$B$14,Paramètres!$A$1:$I$88,3,0)*0.475*44/12</f>
        <v>#N/A</v>
      </c>
      <c r="EB61" s="23" t="e">
        <f>EXP(-LN(2)/25)*EB60+(1-EXP(-LN(2)/25))/(LN(2)/25)*Calculateur!DW61*Calculateur!DY61*VLOOKUP('Données projet'!$B$14,Paramètres!$A$1:$I$88,3,0)*0.475*44/12</f>
        <v>#N/A</v>
      </c>
      <c r="EC61" s="23" t="e">
        <f>EXP(-LN(2)/2)*EC60+(1-EXP(-LN(2)/2))/(LN(2)/2)*DW61*DZ61*VLOOKUP('Données projet'!$B$14,Paramètres!$A$1:$I$88,3,0)*0.475*44/12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projet'!$B$15,Paramètres!$A$1:$I$88,3,0)*VLOOKUP('Données projet'!$B$15,Paramètres!$A$1:$I$88,5,0)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projet'!$B$15,Paramètres!$A$1:$I$88,7,0))</f>
        <v>0</v>
      </c>
      <c r="ET61" s="17">
        <f>IF(ISNA(VLOOKUP(A61,'Données projet'!$A$191:$I$211,6,0)),0%,VLOOKUP(A61,'Données projet'!$A$191:$I$211,6,0)*VLOOKUP('Données projet'!$B$15,Paramètres!$A$1:$I$88,7,0))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projet'!$B$15,Paramètres!$A$1:$I$88,3,0)*0.475*44/12</f>
        <v>#N/A</v>
      </c>
      <c r="EW61" s="23" t="e">
        <f>EXP(-LN(2)/25)*EW60+(1-EXP(-LN(2)/25))/(LN(2)/25)*Calculateur!ER61*Calculateur!ET61*VLOOKUP('Données projet'!$B$15,Paramètres!$A$1:$I$88,3,0)*0.475*44/12</f>
        <v>#N/A</v>
      </c>
      <c r="EX61" s="23" t="e">
        <f>EXP(-LN(2)/2)*EX60+(1-EXP(-LN(2)/2))/(LN(2)/2)*ER61*EU61*VLOOKUP('Données projet'!$B$15,Paramètres!$A$1:$I$88,3,0)*0.475*44/12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projet'!$B$16,Paramètres!$A$1:$I$88,3,0)*VLOOKUP('Données projet'!$B$16,Paramètres!$A$1:$I$88,5,0)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projet'!$B$16,Paramètres!$A$1:$I$88,7,0))</f>
        <v>0</v>
      </c>
      <c r="FO61" s="17">
        <f>IF(ISNA(VLOOKUP(A61,'Données projet'!$A$217:$I$237,6,0)),0%,VLOOKUP(A61,'Données projet'!$A$217:$I$237,6,0)*VLOOKUP('Données projet'!$B$16,Paramètres!$A$1:$I$88,7,0))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projet'!$B$16,Paramètres!$A$1:$I$88,3,0)*0.475*44/12</f>
        <v>#N/A</v>
      </c>
      <c r="FR61" s="23" t="e">
        <f>EXP(-LN(2)/25)*FR60+(1-EXP(-LN(2)/25))/(LN(2)/25)*Calculateur!FM61*Calculateur!FO61*VLOOKUP('Données projet'!$B$16,Paramètres!$A$1:$I$88,3,0)*0.475*44/12</f>
        <v>#N/A</v>
      </c>
      <c r="FS61" s="23" t="e">
        <f>EXP(-LN(2)/2)*FS60+(1-EXP(-LN(2)/2))/(LN(2)/2)*FM61*FP61*VLOOKUP('Données projet'!$B$16,Paramètres!$A$1:$I$88,3,0)*0.475*44/12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projet'!$B$17,Paramètres!$A$1:$I$88,3,0)*VLOOKUP('Données projet'!$B$17,Paramètres!$A$1:$I$88,5,0)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projet'!$B$17,Paramètres!$A$1:$I$88,7,0))</f>
        <v>0</v>
      </c>
      <c r="GJ61" s="17">
        <f>IF(ISNA(VLOOKUP(A61,'Données projet'!$A$243:$I$263,6,0)),0%,VLOOKUP(A61,'Données projet'!$A$243:$I$263,6,0)*VLOOKUP('Données projet'!$B$17,Paramètres!$A$1:$I$88,7,0))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projet'!$B$17,Paramètres!$A$1:$I$88,3,0)*0.475*44/12</f>
        <v>#N/A</v>
      </c>
      <c r="GM61" s="23" t="e">
        <f>EXP(-LN(2)/25)*GM60+(1-EXP(-LN(2)/25))/(LN(2)/25)*Calculateur!GH61*Calculateur!GJ61*VLOOKUP('Données projet'!$B$17,Paramètres!$A$1:$I$88,3,0)*0.475*44/12</f>
        <v>#N/A</v>
      </c>
      <c r="GN61" s="23" t="e">
        <f>EXP(-LN(2)/2)*GN60+(1-EXP(-LN(2)/2))/(LN(2)/2)*GH61*GK61*VLOOKUP('Données projet'!$B$17,Paramètres!$A$1:$I$88,3,0)*0.475*44/12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projet'!$B$18,Paramètres!$A$1:$I$88,3,0)*VLOOKUP('Données projet'!$B$18,Paramètres!$A$1:$I$88,5,0)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projet'!$B$18,Paramètres!$A$1:$I$88,7,0))</f>
        <v>0</v>
      </c>
      <c r="HE61" s="17">
        <f>IF(ISNA(VLOOKUP(A61,'Données projet'!$A$269:$I$289,6,0)),0%,VLOOKUP(A61,'Données projet'!$A$269:$I$289,6,0)*VLOOKUP('Données projet'!$B$18,Paramètres!$A$1:$I$88,7,0))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projet'!$B$18,Paramètres!$A$1:$I$88,3,0)*0.475*44/12</f>
        <v>#N/A</v>
      </c>
      <c r="HH61" s="23" t="e">
        <f>EXP(-LN(2)/25)*HH60+(1-EXP(-LN(2)/25))/(LN(2)/25)*Calculateur!HC61*Calculateur!HE61*VLOOKUP('Données projet'!$B$18,Paramètres!$A$1:$I$88,3,0)*0.475*44/12</f>
        <v>#N/A</v>
      </c>
      <c r="HI61" s="23" t="e">
        <f>EXP(-LN(2)/2)*HI60+(1-EXP(-LN(2)/2))/(LN(2)/2)*HC61*HF61*VLOOKUP('Données projet'!$B$18,Paramètres!$A$1:$I$88,3,0)*0.475*44/12</f>
        <v>#N/A</v>
      </c>
      <c r="HJ61" s="24" t="e">
        <f t="shared" si="30"/>
        <v>#N/A</v>
      </c>
    </row>
    <row r="62" spans="1:218" s="5" customFormat="1" x14ac:dyDescent="0.3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16.428571428571427</v>
      </c>
      <c r="N62" s="14">
        <f>IF('Données projet'!$A$36&gt;35,N61+M62-V61,IF(A62&lt;'Données projet'!$A$36,$K$205^A62,IF(A62='Données projet'!$A$36,'Données projet'!$B$36,N61+M62-V61)))</f>
        <v>500.5714285714289</v>
      </c>
      <c r="O62" s="14">
        <f>N62*VLOOKUP('Données projet'!$B$9,Paramètres!$A$1:$I$88,3,0)*VLOOKUP('Données projet'!$B$9,Paramètres!$A$1:$I$88,5,0)</f>
        <v>279.81942857142877</v>
      </c>
      <c r="P62" s="14">
        <f t="shared" si="33"/>
        <v>66.928847514833734</v>
      </c>
      <c r="Q62" s="22">
        <f t="shared" si="53"/>
        <v>603.91991418357395</v>
      </c>
      <c r="R62" s="62">
        <f t="shared" si="0"/>
        <v>864.60932137741679</v>
      </c>
      <c r="S62" s="62">
        <f ca="1">AVERAGE(OFFSET($R$3,0,0,'Données projet'!$E$9+1,1))-AVERAGE(OFFSET($H$3,0,0,'Données projet'!$E$9+1,1))</f>
        <v>367.03450586441784</v>
      </c>
      <c r="T62" s="62">
        <f t="shared" si="34"/>
        <v>413.14502442862897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projet'!$B$9,Paramètres!$A$1:$I$88,7,0))</f>
        <v>0</v>
      </c>
      <c r="X62" s="17">
        <f>IF(ISNA(VLOOKUP(A62,'Données projet'!$A$35:$I$55,6,0)),0%,VLOOKUP(A62,'Données projet'!$A$35:$I$55,6,0)*VLOOKUP('Données projet'!$B$9,Paramètres!$A$1:$I$88,7,0))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projet'!$B$9,Paramètres!$A$1:$I$88,3,0)*0.475*44/12</f>
        <v>41.73259002915924</v>
      </c>
      <c r="AA62" s="23">
        <f>EXP(-LN(2)/25)*AA61+(1-EXP(-LN(2)/25))/(LN(2)/25)*Calculateur!V62*Calculateur!X62*VLOOKUP('Données projet'!$B$9,Paramètres!$A$1:$I$88,3,0)*0.475*44/12</f>
        <v>44.498509279932335</v>
      </c>
      <c r="AB62" s="23">
        <f>EXP(-LN(2)/2)*AB61+(1-EXP(-LN(2)/2))/(LN(2)/2)*V62*Y62*VLOOKUP('Données projet'!$B$9,Paramètres!$A$1:$I$88,3,0)*0.475*44/12</f>
        <v>0</v>
      </c>
      <c r="AC62" s="24">
        <f t="shared" si="3"/>
        <v>86.231099309091576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projet'!$B$10,Paramètres!$A$1:$I$88,3,0)*VLOOKUP('Données projet'!$B$10,Paramètres!$A$1:$I$88,5,0)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projet'!$B$10,Paramètres!$A$1:$I$88,7,0))</f>
        <v>0</v>
      </c>
      <c r="AS62" s="17">
        <f>IF(ISNA(VLOOKUP(A62,'Données projet'!$A$61:$I$81,6,0)),0%,VLOOKUP(A62,'Données projet'!$A$61:$I$81,6,0)*VLOOKUP('Données projet'!$B$10,Paramètres!$A$1:$I$88,7,0))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projet'!$B$10,Paramètres!$A$1:$I$88,3,0)*0.475*44/12</f>
        <v>#N/A</v>
      </c>
      <c r="AV62" s="23" t="e">
        <f>EXP(-LN(2)/25)*AV61+(1-EXP(-LN(2)/25))/(LN(2)/25)*Calculateur!AQ62*Calculateur!AS62*VLOOKUP('Données projet'!$B$10,Paramètres!$A$1:$I$88,3,0)*0.475*44/12</f>
        <v>#N/A</v>
      </c>
      <c r="AW62" s="23" t="e">
        <f>EXP(-LN(2)/2)*AW61+(1-EXP(-LN(2)/2))/(LN(2)/2)*AQ62*AT62*VLOOKUP('Données projet'!$B$10,Paramètres!$A$1:$I$88,3,0)*0.475*44/12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projet'!$B$11,Paramètres!$A$1:$I$88,3,0)*VLOOKUP('Données projet'!$B$11,Paramètres!$A$1:$I$88,5,0)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projet'!$B$11,Paramètres!$A$1:$I$88,7,0))</f>
        <v>0</v>
      </c>
      <c r="BN62" s="17">
        <f>IF(ISNA(VLOOKUP(A62,'Données projet'!$A$87:$I$107,6,0)),0%,VLOOKUP(A62,'Données projet'!$A$87:$I$107,6,0)*VLOOKUP('Données projet'!$B$11,Paramètres!$A$1:$I$88,7,0))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projet'!$B$11,Paramètres!$A$1:$I$88,3,0)*0.475*44/12</f>
        <v>#N/A</v>
      </c>
      <c r="BQ62" s="23" t="e">
        <f>EXP(-LN(2)/25)*BQ61+(1-EXP(-LN(2)/25))/(LN(2)/25)*Calculateur!BL62*Calculateur!BN62*VLOOKUP('Données projet'!$B$11,Paramètres!$A$1:$I$88,3,0)*0.475*44/12</f>
        <v>#N/A</v>
      </c>
      <c r="BR62" s="23" t="e">
        <f>EXP(-LN(2)/2)*BR61+(1-EXP(-LN(2)/2))/(LN(2)/2)*BL62*BO62*VLOOKUP('Données projet'!$B$11,Paramètres!$A$1:$I$88,3,0)*0.475*44/12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projet'!$B$12,Paramètres!$A$1:$I$88,3,0)*VLOOKUP('Données projet'!$B$12,Paramètres!$A$1:$I$88,5,0)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projet'!$B$12,Paramètres!$A$1:$I$88,7,0))</f>
        <v>0</v>
      </c>
      <c r="CI62" s="17">
        <f>IF(ISNA(VLOOKUP(A62,'Données projet'!$A$113:$I$133,6,0)),0%,VLOOKUP(A62,'Données projet'!$A$113:$I$133,6,0)*VLOOKUP('Données projet'!$B$12,Paramètres!$A$1:$I$88,7,0))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projet'!$B$12,Paramètres!$A$1:$I$88,3,0)*0.475*44/12</f>
        <v>#N/A</v>
      </c>
      <c r="CL62" s="23" t="e">
        <f>EXP(-LN(2)/25)*CL61+(1-EXP(-LN(2)/25))/(LN(2)/25)*Calculateur!CG62*Calculateur!CI62*VLOOKUP('Données projet'!$B$12,Paramètres!$A$1:$I$88,3,0)*0.475*44/12</f>
        <v>#N/A</v>
      </c>
      <c r="CM62" s="23" t="e">
        <f>EXP(-LN(2)/2)*CM61+(1-EXP(-LN(2)/2))/(LN(2)/2)*CG62*CJ62*VLOOKUP('Données projet'!$B$12,Paramètres!$A$1:$I$88,3,0)*0.475*44/12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projet'!$B$13,Paramètres!$A$1:$I$88,3,0)*VLOOKUP('Données projet'!$B$13,Paramètres!$A$1:$I$88,5,0)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projet'!$B$13,Paramètres!$A$1:$I$88,7,0))</f>
        <v>0</v>
      </c>
      <c r="DD62" s="17">
        <f>IF(ISNA(VLOOKUP(A62,'Données projet'!$A$139:$I$159,6,0)),0%,VLOOKUP(A62,'Données projet'!$A$139:$I$159,6,0)*VLOOKUP('Données projet'!$B$13,Paramètres!$A$1:$I$88,7,0))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projet'!$B$13,Paramètres!$A$1:$I$88,3,0)*0.475*44/12</f>
        <v>#N/A</v>
      </c>
      <c r="DG62" s="23" t="e">
        <f>EXP(-LN(2)/25)*DG61+(1-EXP(-LN(2)/25))/(LN(2)/25)*Calculateur!DB62*Calculateur!DD62*VLOOKUP('Données projet'!$B$13,Paramètres!$A$1:$I$88,3,0)*0.475*44/12</f>
        <v>#N/A</v>
      </c>
      <c r="DH62" s="23" t="e">
        <f>EXP(-LN(2)/2)*DH61+(1-EXP(-LN(2)/2))/(LN(2)/2)*DB62*DE62*VLOOKUP('Données projet'!$B$13,Paramètres!$A$1:$I$88,3,0)*0.475*44/12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projet'!$B$14,Paramètres!$A$1:$I$88,3,0)*VLOOKUP('Données projet'!$B$14,Paramètres!$A$1:$I$88,5,0)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projet'!$B$14,Paramètres!$A$1:$I$88,7,0))</f>
        <v>0</v>
      </c>
      <c r="DY62" s="17">
        <f>IF(ISNA(VLOOKUP(A62,'Données projet'!$A$165:$I$185,6,0)),0%,VLOOKUP(A62,'Données projet'!$A$165:$I$185,6,0)*VLOOKUP('Données projet'!$B$14,Paramètres!$A$1:$I$88,7,0))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projet'!$B$14,Paramètres!$A$1:$I$88,3,0)*0.475*44/12</f>
        <v>#N/A</v>
      </c>
      <c r="EB62" s="23" t="e">
        <f>EXP(-LN(2)/25)*EB61+(1-EXP(-LN(2)/25))/(LN(2)/25)*Calculateur!DW62*Calculateur!DY62*VLOOKUP('Données projet'!$B$14,Paramètres!$A$1:$I$88,3,0)*0.475*44/12</f>
        <v>#N/A</v>
      </c>
      <c r="EC62" s="23" t="e">
        <f>EXP(-LN(2)/2)*EC61+(1-EXP(-LN(2)/2))/(LN(2)/2)*DW62*DZ62*VLOOKUP('Données projet'!$B$14,Paramètres!$A$1:$I$88,3,0)*0.475*44/12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projet'!$B$15,Paramètres!$A$1:$I$88,3,0)*VLOOKUP('Données projet'!$B$15,Paramètres!$A$1:$I$88,5,0)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projet'!$B$15,Paramètres!$A$1:$I$88,7,0))</f>
        <v>0</v>
      </c>
      <c r="ET62" s="17">
        <f>IF(ISNA(VLOOKUP(A62,'Données projet'!$A$191:$I$211,6,0)),0%,VLOOKUP(A62,'Données projet'!$A$191:$I$211,6,0)*VLOOKUP('Données projet'!$B$15,Paramètres!$A$1:$I$88,7,0))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projet'!$B$15,Paramètres!$A$1:$I$88,3,0)*0.475*44/12</f>
        <v>#N/A</v>
      </c>
      <c r="EW62" s="23" t="e">
        <f>EXP(-LN(2)/25)*EW61+(1-EXP(-LN(2)/25))/(LN(2)/25)*Calculateur!ER62*Calculateur!ET62*VLOOKUP('Données projet'!$B$15,Paramètres!$A$1:$I$88,3,0)*0.475*44/12</f>
        <v>#N/A</v>
      </c>
      <c r="EX62" s="23" t="e">
        <f>EXP(-LN(2)/2)*EX61+(1-EXP(-LN(2)/2))/(LN(2)/2)*ER62*EU62*VLOOKUP('Données projet'!$B$15,Paramètres!$A$1:$I$88,3,0)*0.475*44/12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projet'!$B$16,Paramètres!$A$1:$I$88,3,0)*VLOOKUP('Données projet'!$B$16,Paramètres!$A$1:$I$88,5,0)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projet'!$B$16,Paramètres!$A$1:$I$88,7,0))</f>
        <v>0</v>
      </c>
      <c r="FO62" s="17">
        <f>IF(ISNA(VLOOKUP(A62,'Données projet'!$A$217:$I$237,6,0)),0%,VLOOKUP(A62,'Données projet'!$A$217:$I$237,6,0)*VLOOKUP('Données projet'!$B$16,Paramètres!$A$1:$I$88,7,0))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projet'!$B$16,Paramètres!$A$1:$I$88,3,0)*0.475*44/12</f>
        <v>#N/A</v>
      </c>
      <c r="FR62" s="23" t="e">
        <f>EXP(-LN(2)/25)*FR61+(1-EXP(-LN(2)/25))/(LN(2)/25)*Calculateur!FM62*Calculateur!FO62*VLOOKUP('Données projet'!$B$16,Paramètres!$A$1:$I$88,3,0)*0.475*44/12</f>
        <v>#N/A</v>
      </c>
      <c r="FS62" s="23" t="e">
        <f>EXP(-LN(2)/2)*FS61+(1-EXP(-LN(2)/2))/(LN(2)/2)*FM62*FP62*VLOOKUP('Données projet'!$B$16,Paramètres!$A$1:$I$88,3,0)*0.475*44/12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projet'!$B$17,Paramètres!$A$1:$I$88,3,0)*VLOOKUP('Données projet'!$B$17,Paramètres!$A$1:$I$88,5,0)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projet'!$B$17,Paramètres!$A$1:$I$88,7,0))</f>
        <v>0</v>
      </c>
      <c r="GJ62" s="17">
        <f>IF(ISNA(VLOOKUP(A62,'Données projet'!$A$243:$I$263,6,0)),0%,VLOOKUP(A62,'Données projet'!$A$243:$I$263,6,0)*VLOOKUP('Données projet'!$B$17,Paramètres!$A$1:$I$88,7,0))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projet'!$B$17,Paramètres!$A$1:$I$88,3,0)*0.475*44/12</f>
        <v>#N/A</v>
      </c>
      <c r="GM62" s="23" t="e">
        <f>EXP(-LN(2)/25)*GM61+(1-EXP(-LN(2)/25))/(LN(2)/25)*Calculateur!GH62*Calculateur!GJ62*VLOOKUP('Données projet'!$B$17,Paramètres!$A$1:$I$88,3,0)*0.475*44/12</f>
        <v>#N/A</v>
      </c>
      <c r="GN62" s="23" t="e">
        <f>EXP(-LN(2)/2)*GN61+(1-EXP(-LN(2)/2))/(LN(2)/2)*GH62*GK62*VLOOKUP('Données projet'!$B$17,Paramètres!$A$1:$I$88,3,0)*0.475*44/12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projet'!$B$18,Paramètres!$A$1:$I$88,3,0)*VLOOKUP('Données projet'!$B$18,Paramètres!$A$1:$I$88,5,0)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projet'!$B$18,Paramètres!$A$1:$I$88,7,0))</f>
        <v>0</v>
      </c>
      <c r="HE62" s="17">
        <f>IF(ISNA(VLOOKUP(A62,'Données projet'!$A$269:$I$289,6,0)),0%,VLOOKUP(A62,'Données projet'!$A$269:$I$289,6,0)*VLOOKUP('Données projet'!$B$18,Paramètres!$A$1:$I$88,7,0))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projet'!$B$18,Paramètres!$A$1:$I$88,3,0)*0.475*44/12</f>
        <v>#N/A</v>
      </c>
      <c r="HH62" s="23" t="e">
        <f>EXP(-LN(2)/25)*HH61+(1-EXP(-LN(2)/25))/(LN(2)/25)*Calculateur!HC62*Calculateur!HE62*VLOOKUP('Données projet'!$B$18,Paramètres!$A$1:$I$88,3,0)*0.475*44/12</f>
        <v>#N/A</v>
      </c>
      <c r="HI62" s="23" t="e">
        <f>EXP(-LN(2)/2)*HI61+(1-EXP(-LN(2)/2))/(LN(2)/2)*HC62*HF62*VLOOKUP('Données projet'!$B$18,Paramètres!$A$1:$I$88,3,0)*0.475*44/12</f>
        <v>#N/A</v>
      </c>
      <c r="HJ62" s="24" t="e">
        <f t="shared" si="30"/>
        <v>#N/A</v>
      </c>
    </row>
    <row r="63" spans="1:218" s="5" customFormat="1" x14ac:dyDescent="0.3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517</v>
      </c>
      <c r="L63" s="13">
        <f>VLOOKUP(A63,'Données projet'!$A$35:$I$55,9,0)</f>
        <v>16.428571428571427</v>
      </c>
      <c r="M63" s="13">
        <f t="array" ref="M63">INDEX(L:L,MIN(IF(ISNUMBER(L63:L259),ROW(L63:L259),"")))</f>
        <v>16.428571428571427</v>
      </c>
      <c r="N63" s="14">
        <f>IF('Données projet'!$A$36&gt;35,N62+M63-V62,IF(A63&lt;'Données projet'!$A$36,$K$205^A63,IF(A63='Données projet'!$A$36,'Données projet'!$B$36,N62+M63-V62)))</f>
        <v>517.00000000000034</v>
      </c>
      <c r="O63" s="14">
        <f>N63*VLOOKUP('Données projet'!$B$9,Paramètres!$A$1:$I$88,3,0)*VLOOKUP('Données projet'!$B$9,Paramètres!$A$1:$I$88,5,0)</f>
        <v>289.00300000000021</v>
      </c>
      <c r="P63" s="14">
        <f t="shared" si="33"/>
        <v>68.8660830840155</v>
      </c>
      <c r="Q63" s="22">
        <f t="shared" si="53"/>
        <v>623.28865303799398</v>
      </c>
      <c r="R63" s="62">
        <f t="shared" si="0"/>
        <v>884.54435936947152</v>
      </c>
      <c r="S63" s="62">
        <f ca="1">AVERAGE(OFFSET($R$3,0,0,'Données projet'!$E$9+1,1))-AVERAGE(OFFSET($H$3,0,0,'Données projet'!$E$9+1,1))</f>
        <v>367.03450586441784</v>
      </c>
      <c r="T63" s="62">
        <f t="shared" si="34"/>
        <v>413.14502442862897</v>
      </c>
      <c r="U63" s="16">
        <f>IF(ISNA(VLOOKUP(A63,'Données projet'!$A$35:$I$55,3,0)),0,VLOOKUP(A63,'Données projet'!$A$35:$I$55,3,0))</f>
        <v>6</v>
      </c>
      <c r="V63" s="16">
        <f>IF(ISNA(VLOOKUP(A63,'Données projet'!$A$35:$I$55,4,0)),0,VLOOKUP(A63,'Données projet'!$A$35:$I$55,4,0))</f>
        <v>97</v>
      </c>
      <c r="W63" s="17">
        <f>IF(ISNA(VLOOKUP(A63,'Données projet'!$A$35:$I$55,5,0)),0%,VLOOKUP(A63,'Données projet'!$A$35:$I$55,5,0)*VLOOKUP('Données projet'!$B$9,Paramètres!$A$1:$I$88,7,0))</f>
        <v>0.38500000000000001</v>
      </c>
      <c r="X63" s="17">
        <f>IF(ISNA(VLOOKUP(A63,'Données projet'!$A$35:$I$55,6,0)),0%,VLOOKUP(A63,'Données projet'!$A$35:$I$55,6,0)*VLOOKUP('Données projet'!$B$9,Paramètres!$A$1:$I$88,7,0))</f>
        <v>0.16500000000000001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projet'!$B$9,Paramètres!$A$1:$I$88,3,0)*0.475*44/12</f>
        <v>68.607406612963743</v>
      </c>
      <c r="AA63" s="23">
        <f>EXP(-LN(2)/25)*AA62+(1-EXP(-LN(2)/25))/(LN(2)/25)*Calculateur!V63*Calculateur!X63*VLOOKUP('Données projet'!$B$9,Paramètres!$A$1:$I$88,3,0)*0.475*44/12</f>
        <v>55.103464633015278</v>
      </c>
      <c r="AB63" s="23">
        <f>EXP(-LN(2)/2)*AB62+(1-EXP(-LN(2)/2))/(LN(2)/2)*V63*Y63*VLOOKUP('Données projet'!$B$9,Paramètres!$A$1:$I$88,3,0)*0.475*44/12</f>
        <v>0</v>
      </c>
      <c r="AC63" s="24">
        <f t="shared" si="3"/>
        <v>123.71087124597902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projet'!$B$10,Paramètres!$A$1:$I$88,3,0)*VLOOKUP('Données projet'!$B$10,Paramètres!$A$1:$I$88,5,0)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projet'!$B$10,Paramètres!$A$1:$I$88,7,0))</f>
        <v>0</v>
      </c>
      <c r="AS63" s="17">
        <f>IF(ISNA(VLOOKUP(A63,'Données projet'!$A$61:$I$81,6,0)),0%,VLOOKUP(A63,'Données projet'!$A$61:$I$81,6,0)*VLOOKUP('Données projet'!$B$10,Paramètres!$A$1:$I$88,7,0))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projet'!$B$10,Paramètres!$A$1:$I$88,3,0)*0.475*44/12</f>
        <v>#N/A</v>
      </c>
      <c r="AV63" s="23" t="e">
        <f>EXP(-LN(2)/25)*AV62+(1-EXP(-LN(2)/25))/(LN(2)/25)*Calculateur!AQ63*Calculateur!AS63*VLOOKUP('Données projet'!$B$10,Paramètres!$A$1:$I$88,3,0)*0.475*44/12</f>
        <v>#N/A</v>
      </c>
      <c r="AW63" s="23" t="e">
        <f>EXP(-LN(2)/2)*AW62+(1-EXP(-LN(2)/2))/(LN(2)/2)*AQ63*AT63*VLOOKUP('Données projet'!$B$10,Paramètres!$A$1:$I$88,3,0)*0.475*44/12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projet'!$B$11,Paramètres!$A$1:$I$88,3,0)*VLOOKUP('Données projet'!$B$11,Paramètres!$A$1:$I$88,5,0)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projet'!$B$11,Paramètres!$A$1:$I$88,7,0))</f>
        <v>0</v>
      </c>
      <c r="BN63" s="17">
        <f>IF(ISNA(VLOOKUP(A63,'Données projet'!$A$87:$I$107,6,0)),0%,VLOOKUP(A63,'Données projet'!$A$87:$I$107,6,0)*VLOOKUP('Données projet'!$B$11,Paramètres!$A$1:$I$88,7,0))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projet'!$B$11,Paramètres!$A$1:$I$88,3,0)*0.475*44/12</f>
        <v>#N/A</v>
      </c>
      <c r="BQ63" s="23" t="e">
        <f>EXP(-LN(2)/25)*BQ62+(1-EXP(-LN(2)/25))/(LN(2)/25)*Calculateur!BL63*Calculateur!BN63*VLOOKUP('Données projet'!$B$11,Paramètres!$A$1:$I$88,3,0)*0.475*44/12</f>
        <v>#N/A</v>
      </c>
      <c r="BR63" s="23" t="e">
        <f>EXP(-LN(2)/2)*BR62+(1-EXP(-LN(2)/2))/(LN(2)/2)*BL63*BO63*VLOOKUP('Données projet'!$B$11,Paramètres!$A$1:$I$88,3,0)*0.475*44/12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projet'!$B$12,Paramètres!$A$1:$I$88,3,0)*VLOOKUP('Données projet'!$B$12,Paramètres!$A$1:$I$88,5,0)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projet'!$B$12,Paramètres!$A$1:$I$88,7,0))</f>
        <v>0</v>
      </c>
      <c r="CI63" s="17">
        <f>IF(ISNA(VLOOKUP(A63,'Données projet'!$A$113:$I$133,6,0)),0%,VLOOKUP(A63,'Données projet'!$A$113:$I$133,6,0)*VLOOKUP('Données projet'!$B$12,Paramètres!$A$1:$I$88,7,0))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projet'!$B$12,Paramètres!$A$1:$I$88,3,0)*0.475*44/12</f>
        <v>#N/A</v>
      </c>
      <c r="CL63" s="23" t="e">
        <f>EXP(-LN(2)/25)*CL62+(1-EXP(-LN(2)/25))/(LN(2)/25)*Calculateur!CG63*Calculateur!CI63*VLOOKUP('Données projet'!$B$12,Paramètres!$A$1:$I$88,3,0)*0.475*44/12</f>
        <v>#N/A</v>
      </c>
      <c r="CM63" s="23" t="e">
        <f>EXP(-LN(2)/2)*CM62+(1-EXP(-LN(2)/2))/(LN(2)/2)*CG63*CJ63*VLOOKUP('Données projet'!$B$12,Paramètres!$A$1:$I$88,3,0)*0.475*44/12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projet'!$B$13,Paramètres!$A$1:$I$88,3,0)*VLOOKUP('Données projet'!$B$13,Paramètres!$A$1:$I$88,5,0)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projet'!$B$13,Paramètres!$A$1:$I$88,7,0))</f>
        <v>0</v>
      </c>
      <c r="DD63" s="17">
        <f>IF(ISNA(VLOOKUP(A63,'Données projet'!$A$139:$I$159,6,0)),0%,VLOOKUP(A63,'Données projet'!$A$139:$I$159,6,0)*VLOOKUP('Données projet'!$B$13,Paramètres!$A$1:$I$88,7,0))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projet'!$B$13,Paramètres!$A$1:$I$88,3,0)*0.475*44/12</f>
        <v>#N/A</v>
      </c>
      <c r="DG63" s="23" t="e">
        <f>EXP(-LN(2)/25)*DG62+(1-EXP(-LN(2)/25))/(LN(2)/25)*Calculateur!DB63*Calculateur!DD63*VLOOKUP('Données projet'!$B$13,Paramètres!$A$1:$I$88,3,0)*0.475*44/12</f>
        <v>#N/A</v>
      </c>
      <c r="DH63" s="23" t="e">
        <f>EXP(-LN(2)/2)*DH62+(1-EXP(-LN(2)/2))/(LN(2)/2)*DB63*DE63*VLOOKUP('Données projet'!$B$13,Paramètres!$A$1:$I$88,3,0)*0.475*44/12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projet'!$B$14,Paramètres!$A$1:$I$88,3,0)*VLOOKUP('Données projet'!$B$14,Paramètres!$A$1:$I$88,5,0)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projet'!$B$14,Paramètres!$A$1:$I$88,7,0))</f>
        <v>0</v>
      </c>
      <c r="DY63" s="17">
        <f>IF(ISNA(VLOOKUP(A63,'Données projet'!$A$165:$I$185,6,0)),0%,VLOOKUP(A63,'Données projet'!$A$165:$I$185,6,0)*VLOOKUP('Données projet'!$B$14,Paramètres!$A$1:$I$88,7,0))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projet'!$B$14,Paramètres!$A$1:$I$88,3,0)*0.475*44/12</f>
        <v>#N/A</v>
      </c>
      <c r="EB63" s="23" t="e">
        <f>EXP(-LN(2)/25)*EB62+(1-EXP(-LN(2)/25))/(LN(2)/25)*Calculateur!DW63*Calculateur!DY63*VLOOKUP('Données projet'!$B$14,Paramètres!$A$1:$I$88,3,0)*0.475*44/12</f>
        <v>#N/A</v>
      </c>
      <c r="EC63" s="23" t="e">
        <f>EXP(-LN(2)/2)*EC62+(1-EXP(-LN(2)/2))/(LN(2)/2)*DW63*DZ63*VLOOKUP('Données projet'!$B$14,Paramètres!$A$1:$I$88,3,0)*0.475*44/12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projet'!$B$15,Paramètres!$A$1:$I$88,3,0)*VLOOKUP('Données projet'!$B$15,Paramètres!$A$1:$I$88,5,0)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projet'!$B$15,Paramètres!$A$1:$I$88,7,0))</f>
        <v>0</v>
      </c>
      <c r="ET63" s="17">
        <f>IF(ISNA(VLOOKUP(A63,'Données projet'!$A$191:$I$211,6,0)),0%,VLOOKUP(A63,'Données projet'!$A$191:$I$211,6,0)*VLOOKUP('Données projet'!$B$15,Paramètres!$A$1:$I$88,7,0))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projet'!$B$15,Paramètres!$A$1:$I$88,3,0)*0.475*44/12</f>
        <v>#N/A</v>
      </c>
      <c r="EW63" s="23" t="e">
        <f>EXP(-LN(2)/25)*EW62+(1-EXP(-LN(2)/25))/(LN(2)/25)*Calculateur!ER63*Calculateur!ET63*VLOOKUP('Données projet'!$B$15,Paramètres!$A$1:$I$88,3,0)*0.475*44/12</f>
        <v>#N/A</v>
      </c>
      <c r="EX63" s="23" t="e">
        <f>EXP(-LN(2)/2)*EX62+(1-EXP(-LN(2)/2))/(LN(2)/2)*ER63*EU63*VLOOKUP('Données projet'!$B$15,Paramètres!$A$1:$I$88,3,0)*0.475*44/12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projet'!$B$16,Paramètres!$A$1:$I$88,3,0)*VLOOKUP('Données projet'!$B$16,Paramètres!$A$1:$I$88,5,0)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projet'!$B$16,Paramètres!$A$1:$I$88,7,0))</f>
        <v>0</v>
      </c>
      <c r="FO63" s="17">
        <f>IF(ISNA(VLOOKUP(A63,'Données projet'!$A$217:$I$237,6,0)),0%,VLOOKUP(A63,'Données projet'!$A$217:$I$237,6,0)*VLOOKUP('Données projet'!$B$16,Paramètres!$A$1:$I$88,7,0))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projet'!$B$16,Paramètres!$A$1:$I$88,3,0)*0.475*44/12</f>
        <v>#N/A</v>
      </c>
      <c r="FR63" s="23" t="e">
        <f>EXP(-LN(2)/25)*FR62+(1-EXP(-LN(2)/25))/(LN(2)/25)*Calculateur!FM63*Calculateur!FO63*VLOOKUP('Données projet'!$B$16,Paramètres!$A$1:$I$88,3,0)*0.475*44/12</f>
        <v>#N/A</v>
      </c>
      <c r="FS63" s="23" t="e">
        <f>EXP(-LN(2)/2)*FS62+(1-EXP(-LN(2)/2))/(LN(2)/2)*FM63*FP63*VLOOKUP('Données projet'!$B$16,Paramètres!$A$1:$I$88,3,0)*0.475*44/12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projet'!$B$17,Paramètres!$A$1:$I$88,3,0)*VLOOKUP('Données projet'!$B$17,Paramètres!$A$1:$I$88,5,0)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projet'!$B$17,Paramètres!$A$1:$I$88,7,0))</f>
        <v>0</v>
      </c>
      <c r="GJ63" s="17">
        <f>IF(ISNA(VLOOKUP(A63,'Données projet'!$A$243:$I$263,6,0)),0%,VLOOKUP(A63,'Données projet'!$A$243:$I$263,6,0)*VLOOKUP('Données projet'!$B$17,Paramètres!$A$1:$I$88,7,0))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projet'!$B$17,Paramètres!$A$1:$I$88,3,0)*0.475*44/12</f>
        <v>#N/A</v>
      </c>
      <c r="GM63" s="23" t="e">
        <f>EXP(-LN(2)/25)*GM62+(1-EXP(-LN(2)/25))/(LN(2)/25)*Calculateur!GH63*Calculateur!GJ63*VLOOKUP('Données projet'!$B$17,Paramètres!$A$1:$I$88,3,0)*0.475*44/12</f>
        <v>#N/A</v>
      </c>
      <c r="GN63" s="23" t="e">
        <f>EXP(-LN(2)/2)*GN62+(1-EXP(-LN(2)/2))/(LN(2)/2)*GH63*GK63*VLOOKUP('Données projet'!$B$17,Paramètres!$A$1:$I$88,3,0)*0.475*44/12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projet'!$B$18,Paramètres!$A$1:$I$88,3,0)*VLOOKUP('Données projet'!$B$18,Paramètres!$A$1:$I$88,5,0)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projet'!$B$18,Paramètres!$A$1:$I$88,7,0))</f>
        <v>0</v>
      </c>
      <c r="HE63" s="17">
        <f>IF(ISNA(VLOOKUP(A63,'Données projet'!$A$269:$I$289,6,0)),0%,VLOOKUP(A63,'Données projet'!$A$269:$I$289,6,0)*VLOOKUP('Données projet'!$B$18,Paramètres!$A$1:$I$88,7,0))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projet'!$B$18,Paramètres!$A$1:$I$88,3,0)*0.475*44/12</f>
        <v>#N/A</v>
      </c>
      <c r="HH63" s="23" t="e">
        <f>EXP(-LN(2)/25)*HH62+(1-EXP(-LN(2)/25))/(LN(2)/25)*Calculateur!HC63*Calculateur!HE63*VLOOKUP('Données projet'!$B$18,Paramètres!$A$1:$I$88,3,0)*0.475*44/12</f>
        <v>#N/A</v>
      </c>
      <c r="HI63" s="23" t="e">
        <f>EXP(-LN(2)/2)*HI62+(1-EXP(-LN(2)/2))/(LN(2)/2)*HC63*HF63*VLOOKUP('Données projet'!$B$18,Paramètres!$A$1:$I$88,3,0)*0.475*44/12</f>
        <v>#N/A</v>
      </c>
      <c r="HJ63" s="24" t="e">
        <f t="shared" si="30"/>
        <v>#N/A</v>
      </c>
    </row>
    <row r="64" spans="1:218" s="5" customFormat="1" x14ac:dyDescent="0.3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14.428571428571429</v>
      </c>
      <c r="N64" s="14">
        <f>IF('Données projet'!$A$36&gt;35,N63+M64-V63,IF(A64&lt;'Données projet'!$A$36,$K$205^A64,IF(A64='Données projet'!$A$36,'Données projet'!$B$36,N63+M64-V63)))</f>
        <v>434.42857142857179</v>
      </c>
      <c r="O64" s="14">
        <f>N64*VLOOKUP('Données projet'!$B$9,Paramètres!$A$1:$I$88,3,0)*VLOOKUP('Données projet'!$B$9,Paramètres!$A$1:$I$88,5,0)</f>
        <v>242.84557142857165</v>
      </c>
      <c r="P64" s="14">
        <f t="shared" si="33"/>
        <v>59.051348413542001</v>
      </c>
      <c r="Q64" s="22">
        <f t="shared" si="53"/>
        <v>525.80380205834797</v>
      </c>
      <c r="R64" s="62">
        <f t="shared" si="0"/>
        <v>787.61598350347731</v>
      </c>
      <c r="S64" s="62">
        <f ca="1">AVERAGE(OFFSET($R$3,0,0,'Données projet'!$E$9+1,1))-AVERAGE(OFFSET($H$3,0,0,'Données projet'!$E$9+1,1))</f>
        <v>367.03450586441784</v>
      </c>
      <c r="T64" s="62">
        <f t="shared" si="34"/>
        <v>413.14502442862897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projet'!$B$9,Paramètres!$A$1:$I$88,7,0))</f>
        <v>0</v>
      </c>
      <c r="X64" s="17">
        <f>IF(ISNA(VLOOKUP(A64,'Données projet'!$A$35:$I$55,6,0)),0%,VLOOKUP(A64,'Données projet'!$A$35:$I$55,6,0)*VLOOKUP('Données projet'!$B$9,Paramètres!$A$1:$I$88,7,0))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projet'!$B$9,Paramètres!$A$1:$I$88,3,0)*0.475*44/12</f>
        <v>67.262057215669572</v>
      </c>
      <c r="AA64" s="23">
        <f>EXP(-LN(2)/25)*AA63+(1-EXP(-LN(2)/25))/(LN(2)/25)*Calculateur!V64*Calculateur!X64*VLOOKUP('Données projet'!$B$9,Paramètres!$A$1:$I$88,3,0)*0.475*44/12</f>
        <v>53.59665749486021</v>
      </c>
      <c r="AB64" s="23">
        <f>EXP(-LN(2)/2)*AB63+(1-EXP(-LN(2)/2))/(LN(2)/2)*V64*Y64*VLOOKUP('Données projet'!$B$9,Paramètres!$A$1:$I$88,3,0)*0.475*44/12</f>
        <v>0</v>
      </c>
      <c r="AC64" s="24">
        <f t="shared" si="3"/>
        <v>120.85871471052978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projet'!$B$10,Paramètres!$A$1:$I$88,3,0)*VLOOKUP('Données projet'!$B$10,Paramètres!$A$1:$I$88,5,0)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projet'!$B$10,Paramètres!$A$1:$I$88,7,0))</f>
        <v>0</v>
      </c>
      <c r="AS64" s="17">
        <f>IF(ISNA(VLOOKUP(A64,'Données projet'!$A$61:$I$81,6,0)),0%,VLOOKUP(A64,'Données projet'!$A$61:$I$81,6,0)*VLOOKUP('Données projet'!$B$10,Paramètres!$A$1:$I$88,7,0))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projet'!$B$10,Paramètres!$A$1:$I$88,3,0)*0.475*44/12</f>
        <v>#N/A</v>
      </c>
      <c r="AV64" s="23" t="e">
        <f>EXP(-LN(2)/25)*AV63+(1-EXP(-LN(2)/25))/(LN(2)/25)*Calculateur!AQ64*Calculateur!AS64*VLOOKUP('Données projet'!$B$10,Paramètres!$A$1:$I$88,3,0)*0.475*44/12</f>
        <v>#N/A</v>
      </c>
      <c r="AW64" s="23" t="e">
        <f>EXP(-LN(2)/2)*AW63+(1-EXP(-LN(2)/2))/(LN(2)/2)*AQ64*AT64*VLOOKUP('Données projet'!$B$10,Paramètres!$A$1:$I$88,3,0)*0.475*44/12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projet'!$B$11,Paramètres!$A$1:$I$88,3,0)*VLOOKUP('Données projet'!$B$11,Paramètres!$A$1:$I$88,5,0)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projet'!$B$11,Paramètres!$A$1:$I$88,7,0))</f>
        <v>0</v>
      </c>
      <c r="BN64" s="17">
        <f>IF(ISNA(VLOOKUP(A64,'Données projet'!$A$87:$I$107,6,0)),0%,VLOOKUP(A64,'Données projet'!$A$87:$I$107,6,0)*VLOOKUP('Données projet'!$B$11,Paramètres!$A$1:$I$88,7,0))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projet'!$B$11,Paramètres!$A$1:$I$88,3,0)*0.475*44/12</f>
        <v>#N/A</v>
      </c>
      <c r="BQ64" s="23" t="e">
        <f>EXP(-LN(2)/25)*BQ63+(1-EXP(-LN(2)/25))/(LN(2)/25)*Calculateur!BL64*Calculateur!BN64*VLOOKUP('Données projet'!$B$11,Paramètres!$A$1:$I$88,3,0)*0.475*44/12</f>
        <v>#N/A</v>
      </c>
      <c r="BR64" s="23" t="e">
        <f>EXP(-LN(2)/2)*BR63+(1-EXP(-LN(2)/2))/(LN(2)/2)*BL64*BO64*VLOOKUP('Données projet'!$B$11,Paramètres!$A$1:$I$88,3,0)*0.475*44/12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projet'!$B$12,Paramètres!$A$1:$I$88,3,0)*VLOOKUP('Données projet'!$B$12,Paramètres!$A$1:$I$88,5,0)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projet'!$B$12,Paramètres!$A$1:$I$88,7,0))</f>
        <v>0</v>
      </c>
      <c r="CI64" s="17">
        <f>IF(ISNA(VLOOKUP(A64,'Données projet'!$A$113:$I$133,6,0)),0%,VLOOKUP(A64,'Données projet'!$A$113:$I$133,6,0)*VLOOKUP('Données projet'!$B$12,Paramètres!$A$1:$I$88,7,0))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projet'!$B$12,Paramètres!$A$1:$I$88,3,0)*0.475*44/12</f>
        <v>#N/A</v>
      </c>
      <c r="CL64" s="23" t="e">
        <f>EXP(-LN(2)/25)*CL63+(1-EXP(-LN(2)/25))/(LN(2)/25)*Calculateur!CG64*Calculateur!CI64*VLOOKUP('Données projet'!$B$12,Paramètres!$A$1:$I$88,3,0)*0.475*44/12</f>
        <v>#N/A</v>
      </c>
      <c r="CM64" s="23" t="e">
        <f>EXP(-LN(2)/2)*CM63+(1-EXP(-LN(2)/2))/(LN(2)/2)*CG64*CJ64*VLOOKUP('Données projet'!$B$12,Paramètres!$A$1:$I$88,3,0)*0.475*44/12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projet'!$B$13,Paramètres!$A$1:$I$88,3,0)*VLOOKUP('Données projet'!$B$13,Paramètres!$A$1:$I$88,5,0)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projet'!$B$13,Paramètres!$A$1:$I$88,7,0))</f>
        <v>0</v>
      </c>
      <c r="DD64" s="17">
        <f>IF(ISNA(VLOOKUP(A64,'Données projet'!$A$139:$I$159,6,0)),0%,VLOOKUP(A64,'Données projet'!$A$139:$I$159,6,0)*VLOOKUP('Données projet'!$B$13,Paramètres!$A$1:$I$88,7,0))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projet'!$B$13,Paramètres!$A$1:$I$88,3,0)*0.475*44/12</f>
        <v>#N/A</v>
      </c>
      <c r="DG64" s="23" t="e">
        <f>EXP(-LN(2)/25)*DG63+(1-EXP(-LN(2)/25))/(LN(2)/25)*Calculateur!DB64*Calculateur!DD64*VLOOKUP('Données projet'!$B$13,Paramètres!$A$1:$I$88,3,0)*0.475*44/12</f>
        <v>#N/A</v>
      </c>
      <c r="DH64" s="23" t="e">
        <f>EXP(-LN(2)/2)*DH63+(1-EXP(-LN(2)/2))/(LN(2)/2)*DB64*DE64*VLOOKUP('Données projet'!$B$13,Paramètres!$A$1:$I$88,3,0)*0.475*44/12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projet'!$B$14,Paramètres!$A$1:$I$88,3,0)*VLOOKUP('Données projet'!$B$14,Paramètres!$A$1:$I$88,5,0)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projet'!$B$14,Paramètres!$A$1:$I$88,7,0))</f>
        <v>0</v>
      </c>
      <c r="DY64" s="17">
        <f>IF(ISNA(VLOOKUP(A64,'Données projet'!$A$165:$I$185,6,0)),0%,VLOOKUP(A64,'Données projet'!$A$165:$I$185,6,0)*VLOOKUP('Données projet'!$B$14,Paramètres!$A$1:$I$88,7,0))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projet'!$B$14,Paramètres!$A$1:$I$88,3,0)*0.475*44/12</f>
        <v>#N/A</v>
      </c>
      <c r="EB64" s="23" t="e">
        <f>EXP(-LN(2)/25)*EB63+(1-EXP(-LN(2)/25))/(LN(2)/25)*Calculateur!DW64*Calculateur!DY64*VLOOKUP('Données projet'!$B$14,Paramètres!$A$1:$I$88,3,0)*0.475*44/12</f>
        <v>#N/A</v>
      </c>
      <c r="EC64" s="23" t="e">
        <f>EXP(-LN(2)/2)*EC63+(1-EXP(-LN(2)/2))/(LN(2)/2)*DW64*DZ64*VLOOKUP('Données projet'!$B$14,Paramètres!$A$1:$I$88,3,0)*0.475*44/12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projet'!$B$15,Paramètres!$A$1:$I$88,3,0)*VLOOKUP('Données projet'!$B$15,Paramètres!$A$1:$I$88,5,0)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projet'!$B$15,Paramètres!$A$1:$I$88,7,0))</f>
        <v>0</v>
      </c>
      <c r="ET64" s="17">
        <f>IF(ISNA(VLOOKUP(A64,'Données projet'!$A$191:$I$211,6,0)),0%,VLOOKUP(A64,'Données projet'!$A$191:$I$211,6,0)*VLOOKUP('Données projet'!$B$15,Paramètres!$A$1:$I$88,7,0))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projet'!$B$15,Paramètres!$A$1:$I$88,3,0)*0.475*44/12</f>
        <v>#N/A</v>
      </c>
      <c r="EW64" s="23" t="e">
        <f>EXP(-LN(2)/25)*EW63+(1-EXP(-LN(2)/25))/(LN(2)/25)*Calculateur!ER64*Calculateur!ET64*VLOOKUP('Données projet'!$B$15,Paramètres!$A$1:$I$88,3,0)*0.475*44/12</f>
        <v>#N/A</v>
      </c>
      <c r="EX64" s="23" t="e">
        <f>EXP(-LN(2)/2)*EX63+(1-EXP(-LN(2)/2))/(LN(2)/2)*ER64*EU64*VLOOKUP('Données projet'!$B$15,Paramètres!$A$1:$I$88,3,0)*0.475*44/12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projet'!$B$16,Paramètres!$A$1:$I$88,3,0)*VLOOKUP('Données projet'!$B$16,Paramètres!$A$1:$I$88,5,0)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projet'!$B$16,Paramètres!$A$1:$I$88,7,0))</f>
        <v>0</v>
      </c>
      <c r="FO64" s="17">
        <f>IF(ISNA(VLOOKUP(A64,'Données projet'!$A$217:$I$237,6,0)),0%,VLOOKUP(A64,'Données projet'!$A$217:$I$237,6,0)*VLOOKUP('Données projet'!$B$16,Paramètres!$A$1:$I$88,7,0))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projet'!$B$16,Paramètres!$A$1:$I$88,3,0)*0.475*44/12</f>
        <v>#N/A</v>
      </c>
      <c r="FR64" s="23" t="e">
        <f>EXP(-LN(2)/25)*FR63+(1-EXP(-LN(2)/25))/(LN(2)/25)*Calculateur!FM64*Calculateur!FO64*VLOOKUP('Données projet'!$B$16,Paramètres!$A$1:$I$88,3,0)*0.475*44/12</f>
        <v>#N/A</v>
      </c>
      <c r="FS64" s="23" t="e">
        <f>EXP(-LN(2)/2)*FS63+(1-EXP(-LN(2)/2))/(LN(2)/2)*FM64*FP64*VLOOKUP('Données projet'!$B$16,Paramètres!$A$1:$I$88,3,0)*0.475*44/12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projet'!$B$17,Paramètres!$A$1:$I$88,3,0)*VLOOKUP('Données projet'!$B$17,Paramètres!$A$1:$I$88,5,0)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projet'!$B$17,Paramètres!$A$1:$I$88,7,0))</f>
        <v>0</v>
      </c>
      <c r="GJ64" s="17">
        <f>IF(ISNA(VLOOKUP(A64,'Données projet'!$A$243:$I$263,6,0)),0%,VLOOKUP(A64,'Données projet'!$A$243:$I$263,6,0)*VLOOKUP('Données projet'!$B$17,Paramètres!$A$1:$I$88,7,0))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projet'!$B$17,Paramètres!$A$1:$I$88,3,0)*0.475*44/12</f>
        <v>#N/A</v>
      </c>
      <c r="GM64" s="23" t="e">
        <f>EXP(-LN(2)/25)*GM63+(1-EXP(-LN(2)/25))/(LN(2)/25)*Calculateur!GH64*Calculateur!GJ64*VLOOKUP('Données projet'!$B$17,Paramètres!$A$1:$I$88,3,0)*0.475*44/12</f>
        <v>#N/A</v>
      </c>
      <c r="GN64" s="23" t="e">
        <f>EXP(-LN(2)/2)*GN63+(1-EXP(-LN(2)/2))/(LN(2)/2)*GH64*GK64*VLOOKUP('Données projet'!$B$17,Paramètres!$A$1:$I$88,3,0)*0.475*44/12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projet'!$B$18,Paramètres!$A$1:$I$88,3,0)*VLOOKUP('Données projet'!$B$18,Paramètres!$A$1:$I$88,5,0)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projet'!$B$18,Paramètres!$A$1:$I$88,7,0))</f>
        <v>0</v>
      </c>
      <c r="HE64" s="17">
        <f>IF(ISNA(VLOOKUP(A64,'Données projet'!$A$269:$I$289,6,0)),0%,VLOOKUP(A64,'Données projet'!$A$269:$I$289,6,0)*VLOOKUP('Données projet'!$B$18,Paramètres!$A$1:$I$88,7,0))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projet'!$B$18,Paramètres!$A$1:$I$88,3,0)*0.475*44/12</f>
        <v>#N/A</v>
      </c>
      <c r="HH64" s="23" t="e">
        <f>EXP(-LN(2)/25)*HH63+(1-EXP(-LN(2)/25))/(LN(2)/25)*Calculateur!HC64*Calculateur!HE64*VLOOKUP('Données projet'!$B$18,Paramètres!$A$1:$I$88,3,0)*0.475*44/12</f>
        <v>#N/A</v>
      </c>
      <c r="HI64" s="23" t="e">
        <f>EXP(-LN(2)/2)*HI63+(1-EXP(-LN(2)/2))/(LN(2)/2)*HC64*HF64*VLOOKUP('Données projet'!$B$18,Paramètres!$A$1:$I$88,3,0)*0.475*44/12</f>
        <v>#N/A</v>
      </c>
      <c r="HJ64" s="24" t="e">
        <f t="shared" si="30"/>
        <v>#N/A</v>
      </c>
    </row>
    <row r="65" spans="1:218" s="5" customFormat="1" x14ac:dyDescent="0.3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14.428571428571429</v>
      </c>
      <c r="N65" s="14">
        <f>IF('Données projet'!$A$36&gt;35,N64+M65-V64,IF(A65&lt;'Données projet'!$A$36,$K$205^A65,IF(A65='Données projet'!$A$36,'Données projet'!$B$36,N64+M65-V64)))</f>
        <v>448.85714285714323</v>
      </c>
      <c r="O65" s="14">
        <f>N65*VLOOKUP('Données projet'!$B$9,Paramètres!$A$1:$I$88,3,0)*VLOOKUP('Données projet'!$B$9,Paramètres!$A$1:$I$88,5,0)</f>
        <v>250.91114285714309</v>
      </c>
      <c r="P65" s="14">
        <f t="shared" si="33"/>
        <v>60.781007052879865</v>
      </c>
      <c r="Q65" s="22">
        <f t="shared" si="53"/>
        <v>542.86382775995662</v>
      </c>
      <c r="R65" s="62">
        <f t="shared" si="0"/>
        <v>805.22283071960794</v>
      </c>
      <c r="S65" s="62">
        <f ca="1">AVERAGE(OFFSET($R$3,0,0,'Données projet'!$E$9+1,1))-AVERAGE(OFFSET($H$3,0,0,'Données projet'!$E$9+1,1))</f>
        <v>367.03450586441784</v>
      </c>
      <c r="T65" s="62">
        <f t="shared" si="34"/>
        <v>413.14502442862897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projet'!$B$9,Paramètres!$A$1:$I$88,7,0))</f>
        <v>0</v>
      </c>
      <c r="X65" s="17">
        <f>IF(ISNA(VLOOKUP(A65,'Données projet'!$A$35:$I$55,6,0)),0%,VLOOKUP(A65,'Données projet'!$A$35:$I$55,6,0)*VLOOKUP('Données projet'!$B$9,Paramètres!$A$1:$I$88,7,0))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projet'!$B$9,Paramètres!$A$1:$I$88,3,0)*0.475*44/12</f>
        <v>65.943089299474238</v>
      </c>
      <c r="AA65" s="23">
        <f>EXP(-LN(2)/25)*AA64+(1-EXP(-LN(2)/25))/(LN(2)/25)*Calculateur!V65*Calculateur!X65*VLOOKUP('Données projet'!$B$9,Paramètres!$A$1:$I$88,3,0)*0.475*44/12</f>
        <v>52.131054077137534</v>
      </c>
      <c r="AB65" s="23">
        <f>EXP(-LN(2)/2)*AB64+(1-EXP(-LN(2)/2))/(LN(2)/2)*V65*Y65*VLOOKUP('Données projet'!$B$9,Paramètres!$A$1:$I$88,3,0)*0.475*44/12</f>
        <v>0</v>
      </c>
      <c r="AC65" s="24">
        <f t="shared" si="3"/>
        <v>118.07414337661177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projet'!$B$10,Paramètres!$A$1:$I$88,3,0)*VLOOKUP('Données projet'!$B$10,Paramètres!$A$1:$I$88,5,0)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projet'!$B$10,Paramètres!$A$1:$I$88,7,0))</f>
        <v>0</v>
      </c>
      <c r="AS65" s="17">
        <f>IF(ISNA(VLOOKUP(A65,'Données projet'!$A$61:$I$81,6,0)),0%,VLOOKUP(A65,'Données projet'!$A$61:$I$81,6,0)*VLOOKUP('Données projet'!$B$10,Paramètres!$A$1:$I$88,7,0))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projet'!$B$10,Paramètres!$A$1:$I$88,3,0)*0.475*44/12</f>
        <v>#N/A</v>
      </c>
      <c r="AV65" s="23" t="e">
        <f>EXP(-LN(2)/25)*AV64+(1-EXP(-LN(2)/25))/(LN(2)/25)*Calculateur!AQ65*Calculateur!AS65*VLOOKUP('Données projet'!$B$10,Paramètres!$A$1:$I$88,3,0)*0.475*44/12</f>
        <v>#N/A</v>
      </c>
      <c r="AW65" s="23" t="e">
        <f>EXP(-LN(2)/2)*AW64+(1-EXP(-LN(2)/2))/(LN(2)/2)*AQ65*AT65*VLOOKUP('Données projet'!$B$10,Paramètres!$A$1:$I$88,3,0)*0.475*44/12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projet'!$B$11,Paramètres!$A$1:$I$88,3,0)*VLOOKUP('Données projet'!$B$11,Paramètres!$A$1:$I$88,5,0)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projet'!$B$11,Paramètres!$A$1:$I$88,7,0))</f>
        <v>0</v>
      </c>
      <c r="BN65" s="17">
        <f>IF(ISNA(VLOOKUP(A65,'Données projet'!$A$87:$I$107,6,0)),0%,VLOOKUP(A65,'Données projet'!$A$87:$I$107,6,0)*VLOOKUP('Données projet'!$B$11,Paramètres!$A$1:$I$88,7,0))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projet'!$B$11,Paramètres!$A$1:$I$88,3,0)*0.475*44/12</f>
        <v>#N/A</v>
      </c>
      <c r="BQ65" s="23" t="e">
        <f>EXP(-LN(2)/25)*BQ64+(1-EXP(-LN(2)/25))/(LN(2)/25)*Calculateur!BL65*Calculateur!BN65*VLOOKUP('Données projet'!$B$11,Paramètres!$A$1:$I$88,3,0)*0.475*44/12</f>
        <v>#N/A</v>
      </c>
      <c r="BR65" s="23" t="e">
        <f>EXP(-LN(2)/2)*BR64+(1-EXP(-LN(2)/2))/(LN(2)/2)*BL65*BO65*VLOOKUP('Données projet'!$B$11,Paramètres!$A$1:$I$88,3,0)*0.475*44/12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projet'!$B$12,Paramètres!$A$1:$I$88,3,0)*VLOOKUP('Données projet'!$B$12,Paramètres!$A$1:$I$88,5,0)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projet'!$B$12,Paramètres!$A$1:$I$88,7,0))</f>
        <v>0</v>
      </c>
      <c r="CI65" s="17">
        <f>IF(ISNA(VLOOKUP(A65,'Données projet'!$A$113:$I$133,6,0)),0%,VLOOKUP(A65,'Données projet'!$A$113:$I$133,6,0)*VLOOKUP('Données projet'!$B$12,Paramètres!$A$1:$I$88,7,0))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projet'!$B$12,Paramètres!$A$1:$I$88,3,0)*0.475*44/12</f>
        <v>#N/A</v>
      </c>
      <c r="CL65" s="23" t="e">
        <f>EXP(-LN(2)/25)*CL64+(1-EXP(-LN(2)/25))/(LN(2)/25)*Calculateur!CG65*Calculateur!CI65*VLOOKUP('Données projet'!$B$12,Paramètres!$A$1:$I$88,3,0)*0.475*44/12</f>
        <v>#N/A</v>
      </c>
      <c r="CM65" s="23" t="e">
        <f>EXP(-LN(2)/2)*CM64+(1-EXP(-LN(2)/2))/(LN(2)/2)*CG65*CJ65*VLOOKUP('Données projet'!$B$12,Paramètres!$A$1:$I$88,3,0)*0.475*44/12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projet'!$B$13,Paramètres!$A$1:$I$88,3,0)*VLOOKUP('Données projet'!$B$13,Paramètres!$A$1:$I$88,5,0)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projet'!$B$13,Paramètres!$A$1:$I$88,7,0))</f>
        <v>0</v>
      </c>
      <c r="DD65" s="17">
        <f>IF(ISNA(VLOOKUP(A65,'Données projet'!$A$139:$I$159,6,0)),0%,VLOOKUP(A65,'Données projet'!$A$139:$I$159,6,0)*VLOOKUP('Données projet'!$B$13,Paramètres!$A$1:$I$88,7,0))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projet'!$B$13,Paramètres!$A$1:$I$88,3,0)*0.475*44/12</f>
        <v>#N/A</v>
      </c>
      <c r="DG65" s="23" t="e">
        <f>EXP(-LN(2)/25)*DG64+(1-EXP(-LN(2)/25))/(LN(2)/25)*Calculateur!DB65*Calculateur!DD65*VLOOKUP('Données projet'!$B$13,Paramètres!$A$1:$I$88,3,0)*0.475*44/12</f>
        <v>#N/A</v>
      </c>
      <c r="DH65" s="23" t="e">
        <f>EXP(-LN(2)/2)*DH64+(1-EXP(-LN(2)/2))/(LN(2)/2)*DB65*DE65*VLOOKUP('Données projet'!$B$13,Paramètres!$A$1:$I$88,3,0)*0.475*44/12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projet'!$B$14,Paramètres!$A$1:$I$88,3,0)*VLOOKUP('Données projet'!$B$14,Paramètres!$A$1:$I$88,5,0)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projet'!$B$14,Paramètres!$A$1:$I$88,7,0))</f>
        <v>0</v>
      </c>
      <c r="DY65" s="17">
        <f>IF(ISNA(VLOOKUP(A65,'Données projet'!$A$165:$I$185,6,0)),0%,VLOOKUP(A65,'Données projet'!$A$165:$I$185,6,0)*VLOOKUP('Données projet'!$B$14,Paramètres!$A$1:$I$88,7,0))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projet'!$B$14,Paramètres!$A$1:$I$88,3,0)*0.475*44/12</f>
        <v>#N/A</v>
      </c>
      <c r="EB65" s="23" t="e">
        <f>EXP(-LN(2)/25)*EB64+(1-EXP(-LN(2)/25))/(LN(2)/25)*Calculateur!DW65*Calculateur!DY65*VLOOKUP('Données projet'!$B$14,Paramètres!$A$1:$I$88,3,0)*0.475*44/12</f>
        <v>#N/A</v>
      </c>
      <c r="EC65" s="23" t="e">
        <f>EXP(-LN(2)/2)*EC64+(1-EXP(-LN(2)/2))/(LN(2)/2)*DW65*DZ65*VLOOKUP('Données projet'!$B$14,Paramètres!$A$1:$I$88,3,0)*0.475*44/12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projet'!$B$15,Paramètres!$A$1:$I$88,3,0)*VLOOKUP('Données projet'!$B$15,Paramètres!$A$1:$I$88,5,0)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projet'!$B$15,Paramètres!$A$1:$I$88,7,0))</f>
        <v>0</v>
      </c>
      <c r="ET65" s="17">
        <f>IF(ISNA(VLOOKUP(A65,'Données projet'!$A$191:$I$211,6,0)),0%,VLOOKUP(A65,'Données projet'!$A$191:$I$211,6,0)*VLOOKUP('Données projet'!$B$15,Paramètres!$A$1:$I$88,7,0))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projet'!$B$15,Paramètres!$A$1:$I$88,3,0)*0.475*44/12</f>
        <v>#N/A</v>
      </c>
      <c r="EW65" s="23" t="e">
        <f>EXP(-LN(2)/25)*EW64+(1-EXP(-LN(2)/25))/(LN(2)/25)*Calculateur!ER65*Calculateur!ET65*VLOOKUP('Données projet'!$B$15,Paramètres!$A$1:$I$88,3,0)*0.475*44/12</f>
        <v>#N/A</v>
      </c>
      <c r="EX65" s="23" t="e">
        <f>EXP(-LN(2)/2)*EX64+(1-EXP(-LN(2)/2))/(LN(2)/2)*ER65*EU65*VLOOKUP('Données projet'!$B$15,Paramètres!$A$1:$I$88,3,0)*0.475*44/12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projet'!$B$16,Paramètres!$A$1:$I$88,3,0)*VLOOKUP('Données projet'!$B$16,Paramètres!$A$1:$I$88,5,0)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projet'!$B$16,Paramètres!$A$1:$I$88,7,0))</f>
        <v>0</v>
      </c>
      <c r="FO65" s="17">
        <f>IF(ISNA(VLOOKUP(A65,'Données projet'!$A$217:$I$237,6,0)),0%,VLOOKUP(A65,'Données projet'!$A$217:$I$237,6,0)*VLOOKUP('Données projet'!$B$16,Paramètres!$A$1:$I$88,7,0))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projet'!$B$16,Paramètres!$A$1:$I$88,3,0)*0.475*44/12</f>
        <v>#N/A</v>
      </c>
      <c r="FR65" s="23" t="e">
        <f>EXP(-LN(2)/25)*FR64+(1-EXP(-LN(2)/25))/(LN(2)/25)*Calculateur!FM65*Calculateur!FO65*VLOOKUP('Données projet'!$B$16,Paramètres!$A$1:$I$88,3,0)*0.475*44/12</f>
        <v>#N/A</v>
      </c>
      <c r="FS65" s="23" t="e">
        <f>EXP(-LN(2)/2)*FS64+(1-EXP(-LN(2)/2))/(LN(2)/2)*FM65*FP65*VLOOKUP('Données projet'!$B$16,Paramètres!$A$1:$I$88,3,0)*0.475*44/12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projet'!$B$17,Paramètres!$A$1:$I$88,3,0)*VLOOKUP('Données projet'!$B$17,Paramètres!$A$1:$I$88,5,0)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projet'!$B$17,Paramètres!$A$1:$I$88,7,0))</f>
        <v>0</v>
      </c>
      <c r="GJ65" s="17">
        <f>IF(ISNA(VLOOKUP(A65,'Données projet'!$A$243:$I$263,6,0)),0%,VLOOKUP(A65,'Données projet'!$A$243:$I$263,6,0)*VLOOKUP('Données projet'!$B$17,Paramètres!$A$1:$I$88,7,0))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projet'!$B$17,Paramètres!$A$1:$I$88,3,0)*0.475*44/12</f>
        <v>#N/A</v>
      </c>
      <c r="GM65" s="23" t="e">
        <f>EXP(-LN(2)/25)*GM64+(1-EXP(-LN(2)/25))/(LN(2)/25)*Calculateur!GH65*Calculateur!GJ65*VLOOKUP('Données projet'!$B$17,Paramètres!$A$1:$I$88,3,0)*0.475*44/12</f>
        <v>#N/A</v>
      </c>
      <c r="GN65" s="23" t="e">
        <f>EXP(-LN(2)/2)*GN64+(1-EXP(-LN(2)/2))/(LN(2)/2)*GH65*GK65*VLOOKUP('Données projet'!$B$17,Paramètres!$A$1:$I$88,3,0)*0.475*44/12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projet'!$B$18,Paramètres!$A$1:$I$88,3,0)*VLOOKUP('Données projet'!$B$18,Paramètres!$A$1:$I$88,5,0)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projet'!$B$18,Paramètres!$A$1:$I$88,7,0))</f>
        <v>0</v>
      </c>
      <c r="HE65" s="17">
        <f>IF(ISNA(VLOOKUP(A65,'Données projet'!$A$269:$I$289,6,0)),0%,VLOOKUP(A65,'Données projet'!$A$269:$I$289,6,0)*VLOOKUP('Données projet'!$B$18,Paramètres!$A$1:$I$88,7,0))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projet'!$B$18,Paramètres!$A$1:$I$88,3,0)*0.475*44/12</f>
        <v>#N/A</v>
      </c>
      <c r="HH65" s="23" t="e">
        <f>EXP(-LN(2)/25)*HH64+(1-EXP(-LN(2)/25))/(LN(2)/25)*Calculateur!HC65*Calculateur!HE65*VLOOKUP('Données projet'!$B$18,Paramètres!$A$1:$I$88,3,0)*0.475*44/12</f>
        <v>#N/A</v>
      </c>
      <c r="HI65" s="23" t="e">
        <f>EXP(-LN(2)/2)*HI64+(1-EXP(-LN(2)/2))/(LN(2)/2)*HC65*HF65*VLOOKUP('Données projet'!$B$18,Paramètres!$A$1:$I$88,3,0)*0.475*44/12</f>
        <v>#N/A</v>
      </c>
      <c r="HJ65" s="24" t="e">
        <f t="shared" si="30"/>
        <v>#N/A</v>
      </c>
    </row>
    <row r="66" spans="1:218" s="5" customFormat="1" x14ac:dyDescent="0.3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14.428571428571429</v>
      </c>
      <c r="N66" s="14">
        <f>IF('Données projet'!$A$36&gt;35,N65+M66-V65,IF(A66&lt;'Données projet'!$A$36,$K$205^A66,IF(A66='Données projet'!$A$36,'Données projet'!$B$36,N65+M66-V65)))</f>
        <v>463.28571428571468</v>
      </c>
      <c r="O66" s="14">
        <f>N66*VLOOKUP('Données projet'!$B$9,Paramètres!$A$1:$I$88,3,0)*VLOOKUP('Données projet'!$B$9,Paramètres!$A$1:$I$88,5,0)</f>
        <v>258.97671428571448</v>
      </c>
      <c r="P66" s="14">
        <f t="shared" si="33"/>
        <v>62.504204757480167</v>
      </c>
      <c r="Q66" s="22">
        <f t="shared" si="53"/>
        <v>559.91260066689733</v>
      </c>
      <c r="R66" s="62">
        <f t="shared" si="0"/>
        <v>822.80893901030345</v>
      </c>
      <c r="S66" s="62">
        <f ca="1">AVERAGE(OFFSET($R$3,0,0,'Données projet'!$E$9+1,1))-AVERAGE(OFFSET($H$3,0,0,'Données projet'!$E$9+1,1))</f>
        <v>367.03450586441784</v>
      </c>
      <c r="T66" s="62">
        <f t="shared" si="34"/>
        <v>413.14502442862897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projet'!$B$9,Paramètres!$A$1:$I$88,7,0))</f>
        <v>0</v>
      </c>
      <c r="X66" s="17">
        <f>IF(ISNA(VLOOKUP(A66,'Données projet'!$A$35:$I$55,6,0)),0%,VLOOKUP(A66,'Données projet'!$A$35:$I$55,6,0)*VLOOKUP('Données projet'!$B$9,Paramètres!$A$1:$I$88,7,0))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projet'!$B$9,Paramètres!$A$1:$I$88,3,0)*0.475*44/12</f>
        <v>64.649985539624495</v>
      </c>
      <c r="AA66" s="23">
        <f>EXP(-LN(2)/25)*AA65+(1-EXP(-LN(2)/25))/(LN(2)/25)*Calculateur!V66*Calculateur!X66*VLOOKUP('Données projet'!$B$9,Paramètres!$A$1:$I$88,3,0)*0.475*44/12</f>
        <v>50.705527661945219</v>
      </c>
      <c r="AB66" s="23">
        <f>EXP(-LN(2)/2)*AB65+(1-EXP(-LN(2)/2))/(LN(2)/2)*V66*Y66*VLOOKUP('Données projet'!$B$9,Paramètres!$A$1:$I$88,3,0)*0.475*44/12</f>
        <v>0</v>
      </c>
      <c r="AC66" s="24">
        <f t="shared" si="3"/>
        <v>115.35551320156972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projet'!$B$10,Paramètres!$A$1:$I$88,3,0)*VLOOKUP('Données projet'!$B$10,Paramètres!$A$1:$I$88,5,0)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projet'!$B$10,Paramètres!$A$1:$I$88,7,0))</f>
        <v>0</v>
      </c>
      <c r="AS66" s="17">
        <f>IF(ISNA(VLOOKUP(A66,'Données projet'!$A$61:$I$81,6,0)),0%,VLOOKUP(A66,'Données projet'!$A$61:$I$81,6,0)*VLOOKUP('Données projet'!$B$10,Paramètres!$A$1:$I$88,7,0))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projet'!$B$10,Paramètres!$A$1:$I$88,3,0)*0.475*44/12</f>
        <v>#N/A</v>
      </c>
      <c r="AV66" s="23" t="e">
        <f>EXP(-LN(2)/25)*AV65+(1-EXP(-LN(2)/25))/(LN(2)/25)*Calculateur!AQ66*Calculateur!AS66*VLOOKUP('Données projet'!$B$10,Paramètres!$A$1:$I$88,3,0)*0.475*44/12</f>
        <v>#N/A</v>
      </c>
      <c r="AW66" s="23" t="e">
        <f>EXP(-LN(2)/2)*AW65+(1-EXP(-LN(2)/2))/(LN(2)/2)*AQ66*AT66*VLOOKUP('Données projet'!$B$10,Paramètres!$A$1:$I$88,3,0)*0.475*44/12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projet'!$B$11,Paramètres!$A$1:$I$88,3,0)*VLOOKUP('Données projet'!$B$11,Paramètres!$A$1:$I$88,5,0)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projet'!$B$11,Paramètres!$A$1:$I$88,7,0))</f>
        <v>0</v>
      </c>
      <c r="BN66" s="17">
        <f>IF(ISNA(VLOOKUP(A66,'Données projet'!$A$87:$I$107,6,0)),0%,VLOOKUP(A66,'Données projet'!$A$87:$I$107,6,0)*VLOOKUP('Données projet'!$B$11,Paramètres!$A$1:$I$88,7,0))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projet'!$B$11,Paramètres!$A$1:$I$88,3,0)*0.475*44/12</f>
        <v>#N/A</v>
      </c>
      <c r="BQ66" s="23" t="e">
        <f>EXP(-LN(2)/25)*BQ65+(1-EXP(-LN(2)/25))/(LN(2)/25)*Calculateur!BL66*Calculateur!BN66*VLOOKUP('Données projet'!$B$11,Paramètres!$A$1:$I$88,3,0)*0.475*44/12</f>
        <v>#N/A</v>
      </c>
      <c r="BR66" s="23" t="e">
        <f>EXP(-LN(2)/2)*BR65+(1-EXP(-LN(2)/2))/(LN(2)/2)*BL66*BO66*VLOOKUP('Données projet'!$B$11,Paramètres!$A$1:$I$88,3,0)*0.475*44/12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projet'!$B$12,Paramètres!$A$1:$I$88,3,0)*VLOOKUP('Données projet'!$B$12,Paramètres!$A$1:$I$88,5,0)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projet'!$B$12,Paramètres!$A$1:$I$88,7,0))</f>
        <v>0</v>
      </c>
      <c r="CI66" s="17">
        <f>IF(ISNA(VLOOKUP(A66,'Données projet'!$A$113:$I$133,6,0)),0%,VLOOKUP(A66,'Données projet'!$A$113:$I$133,6,0)*VLOOKUP('Données projet'!$B$12,Paramètres!$A$1:$I$88,7,0))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projet'!$B$12,Paramètres!$A$1:$I$88,3,0)*0.475*44/12</f>
        <v>#N/A</v>
      </c>
      <c r="CL66" s="23" t="e">
        <f>EXP(-LN(2)/25)*CL65+(1-EXP(-LN(2)/25))/(LN(2)/25)*Calculateur!CG66*Calculateur!CI66*VLOOKUP('Données projet'!$B$12,Paramètres!$A$1:$I$88,3,0)*0.475*44/12</f>
        <v>#N/A</v>
      </c>
      <c r="CM66" s="23" t="e">
        <f>EXP(-LN(2)/2)*CM65+(1-EXP(-LN(2)/2))/(LN(2)/2)*CG66*CJ66*VLOOKUP('Données projet'!$B$12,Paramètres!$A$1:$I$88,3,0)*0.475*44/12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projet'!$B$13,Paramètres!$A$1:$I$88,3,0)*VLOOKUP('Données projet'!$B$13,Paramètres!$A$1:$I$88,5,0)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projet'!$B$13,Paramètres!$A$1:$I$88,7,0))</f>
        <v>0</v>
      </c>
      <c r="DD66" s="17">
        <f>IF(ISNA(VLOOKUP(A66,'Données projet'!$A$139:$I$159,6,0)),0%,VLOOKUP(A66,'Données projet'!$A$139:$I$159,6,0)*VLOOKUP('Données projet'!$B$13,Paramètres!$A$1:$I$88,7,0))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projet'!$B$13,Paramètres!$A$1:$I$88,3,0)*0.475*44/12</f>
        <v>#N/A</v>
      </c>
      <c r="DG66" s="23" t="e">
        <f>EXP(-LN(2)/25)*DG65+(1-EXP(-LN(2)/25))/(LN(2)/25)*Calculateur!DB66*Calculateur!DD66*VLOOKUP('Données projet'!$B$13,Paramètres!$A$1:$I$88,3,0)*0.475*44/12</f>
        <v>#N/A</v>
      </c>
      <c r="DH66" s="23" t="e">
        <f>EXP(-LN(2)/2)*DH65+(1-EXP(-LN(2)/2))/(LN(2)/2)*DB66*DE66*VLOOKUP('Données projet'!$B$13,Paramètres!$A$1:$I$88,3,0)*0.475*44/12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projet'!$B$14,Paramètres!$A$1:$I$88,3,0)*VLOOKUP('Données projet'!$B$14,Paramètres!$A$1:$I$88,5,0)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projet'!$B$14,Paramètres!$A$1:$I$88,7,0))</f>
        <v>0</v>
      </c>
      <c r="DY66" s="17">
        <f>IF(ISNA(VLOOKUP(A66,'Données projet'!$A$165:$I$185,6,0)),0%,VLOOKUP(A66,'Données projet'!$A$165:$I$185,6,0)*VLOOKUP('Données projet'!$B$14,Paramètres!$A$1:$I$88,7,0))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projet'!$B$14,Paramètres!$A$1:$I$88,3,0)*0.475*44/12</f>
        <v>#N/A</v>
      </c>
      <c r="EB66" s="23" t="e">
        <f>EXP(-LN(2)/25)*EB65+(1-EXP(-LN(2)/25))/(LN(2)/25)*Calculateur!DW66*Calculateur!DY66*VLOOKUP('Données projet'!$B$14,Paramètres!$A$1:$I$88,3,0)*0.475*44/12</f>
        <v>#N/A</v>
      </c>
      <c r="EC66" s="23" t="e">
        <f>EXP(-LN(2)/2)*EC65+(1-EXP(-LN(2)/2))/(LN(2)/2)*DW66*DZ66*VLOOKUP('Données projet'!$B$14,Paramètres!$A$1:$I$88,3,0)*0.475*44/12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projet'!$B$15,Paramètres!$A$1:$I$88,3,0)*VLOOKUP('Données projet'!$B$15,Paramètres!$A$1:$I$88,5,0)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projet'!$B$15,Paramètres!$A$1:$I$88,7,0))</f>
        <v>0</v>
      </c>
      <c r="ET66" s="17">
        <f>IF(ISNA(VLOOKUP(A66,'Données projet'!$A$191:$I$211,6,0)),0%,VLOOKUP(A66,'Données projet'!$A$191:$I$211,6,0)*VLOOKUP('Données projet'!$B$15,Paramètres!$A$1:$I$88,7,0))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projet'!$B$15,Paramètres!$A$1:$I$88,3,0)*0.475*44/12</f>
        <v>#N/A</v>
      </c>
      <c r="EW66" s="23" t="e">
        <f>EXP(-LN(2)/25)*EW65+(1-EXP(-LN(2)/25))/(LN(2)/25)*Calculateur!ER66*Calculateur!ET66*VLOOKUP('Données projet'!$B$15,Paramètres!$A$1:$I$88,3,0)*0.475*44/12</f>
        <v>#N/A</v>
      </c>
      <c r="EX66" s="23" t="e">
        <f>EXP(-LN(2)/2)*EX65+(1-EXP(-LN(2)/2))/(LN(2)/2)*ER66*EU66*VLOOKUP('Données projet'!$B$15,Paramètres!$A$1:$I$88,3,0)*0.475*44/12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projet'!$B$16,Paramètres!$A$1:$I$88,3,0)*VLOOKUP('Données projet'!$B$16,Paramètres!$A$1:$I$88,5,0)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projet'!$B$16,Paramètres!$A$1:$I$88,7,0))</f>
        <v>0</v>
      </c>
      <c r="FO66" s="17">
        <f>IF(ISNA(VLOOKUP(A66,'Données projet'!$A$217:$I$237,6,0)),0%,VLOOKUP(A66,'Données projet'!$A$217:$I$237,6,0)*VLOOKUP('Données projet'!$B$16,Paramètres!$A$1:$I$88,7,0))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projet'!$B$16,Paramètres!$A$1:$I$88,3,0)*0.475*44/12</f>
        <v>#N/A</v>
      </c>
      <c r="FR66" s="23" t="e">
        <f>EXP(-LN(2)/25)*FR65+(1-EXP(-LN(2)/25))/(LN(2)/25)*Calculateur!FM66*Calculateur!FO66*VLOOKUP('Données projet'!$B$16,Paramètres!$A$1:$I$88,3,0)*0.475*44/12</f>
        <v>#N/A</v>
      </c>
      <c r="FS66" s="23" t="e">
        <f>EXP(-LN(2)/2)*FS65+(1-EXP(-LN(2)/2))/(LN(2)/2)*FM66*FP66*VLOOKUP('Données projet'!$B$16,Paramètres!$A$1:$I$88,3,0)*0.475*44/12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projet'!$B$17,Paramètres!$A$1:$I$88,3,0)*VLOOKUP('Données projet'!$B$17,Paramètres!$A$1:$I$88,5,0)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projet'!$B$17,Paramètres!$A$1:$I$88,7,0))</f>
        <v>0</v>
      </c>
      <c r="GJ66" s="17">
        <f>IF(ISNA(VLOOKUP(A66,'Données projet'!$A$243:$I$263,6,0)),0%,VLOOKUP(A66,'Données projet'!$A$243:$I$263,6,0)*VLOOKUP('Données projet'!$B$17,Paramètres!$A$1:$I$88,7,0))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projet'!$B$17,Paramètres!$A$1:$I$88,3,0)*0.475*44/12</f>
        <v>#N/A</v>
      </c>
      <c r="GM66" s="23" t="e">
        <f>EXP(-LN(2)/25)*GM65+(1-EXP(-LN(2)/25))/(LN(2)/25)*Calculateur!GH66*Calculateur!GJ66*VLOOKUP('Données projet'!$B$17,Paramètres!$A$1:$I$88,3,0)*0.475*44/12</f>
        <v>#N/A</v>
      </c>
      <c r="GN66" s="23" t="e">
        <f>EXP(-LN(2)/2)*GN65+(1-EXP(-LN(2)/2))/(LN(2)/2)*GH66*GK66*VLOOKUP('Données projet'!$B$17,Paramètres!$A$1:$I$88,3,0)*0.475*44/12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projet'!$B$18,Paramètres!$A$1:$I$88,3,0)*VLOOKUP('Données projet'!$B$18,Paramètres!$A$1:$I$88,5,0)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projet'!$B$18,Paramètres!$A$1:$I$88,7,0))</f>
        <v>0</v>
      </c>
      <c r="HE66" s="17">
        <f>IF(ISNA(VLOOKUP(A66,'Données projet'!$A$269:$I$289,6,0)),0%,VLOOKUP(A66,'Données projet'!$A$269:$I$289,6,0)*VLOOKUP('Données projet'!$B$18,Paramètres!$A$1:$I$88,7,0))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projet'!$B$18,Paramètres!$A$1:$I$88,3,0)*0.475*44/12</f>
        <v>#N/A</v>
      </c>
      <c r="HH66" s="23" t="e">
        <f>EXP(-LN(2)/25)*HH65+(1-EXP(-LN(2)/25))/(LN(2)/25)*Calculateur!HC66*Calculateur!HE66*VLOOKUP('Données projet'!$B$18,Paramètres!$A$1:$I$88,3,0)*0.475*44/12</f>
        <v>#N/A</v>
      </c>
      <c r="HI66" s="23" t="e">
        <f>EXP(-LN(2)/2)*HI65+(1-EXP(-LN(2)/2))/(LN(2)/2)*HC66*HF66*VLOOKUP('Données projet'!$B$18,Paramètres!$A$1:$I$88,3,0)*0.475*44/12</f>
        <v>#N/A</v>
      </c>
      <c r="HJ66" s="24" t="e">
        <f t="shared" si="30"/>
        <v>#N/A</v>
      </c>
    </row>
    <row r="67" spans="1:218" s="5" customFormat="1" x14ac:dyDescent="0.3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14.428571428571429</v>
      </c>
      <c r="N67" s="14">
        <f>IF('Données projet'!$A$36&gt;35,N66+M67-V66,IF(A67&lt;'Données projet'!$A$36,$K$205^A67,IF(A67='Données projet'!$A$36,'Données projet'!$B$36,N66+M67-V66)))</f>
        <v>477.71428571428612</v>
      </c>
      <c r="O67" s="14">
        <f>N67*VLOOKUP('Données projet'!$B$9,Paramètres!$A$1:$I$88,3,0)*VLOOKUP('Données projet'!$B$9,Paramètres!$A$1:$I$88,5,0)</f>
        <v>267.04228571428598</v>
      </c>
      <c r="P67" s="14">
        <f t="shared" si="33"/>
        <v>64.221165835529604</v>
      </c>
      <c r="Q67" s="22">
        <f t="shared" ref="Q67:Q98" si="54">(O67+P67)*0.475*44/12</f>
        <v>576.95051144926219</v>
      </c>
      <c r="R67" s="62">
        <f t="shared" ref="R67:R130" si="55">Q67+(I67+J67)*44/12</f>
        <v>840.3748636088169</v>
      </c>
      <c r="S67" s="62">
        <f ca="1">AVERAGE(OFFSET($R$3,0,0,'Données projet'!$E$9+1,1))-AVERAGE(OFFSET($H$3,0,0,'Données projet'!$E$9+1,1))</f>
        <v>367.03450586441784</v>
      </c>
      <c r="T67" s="62">
        <f t="shared" si="34"/>
        <v>413.14502442862897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projet'!$B$9,Paramètres!$A$1:$I$88,7,0))</f>
        <v>0</v>
      </c>
      <c r="X67" s="17">
        <f>IF(ISNA(VLOOKUP(A67,'Données projet'!$A$35:$I$55,6,0)),0%,VLOOKUP(A67,'Données projet'!$A$35:$I$55,6,0)*VLOOKUP('Données projet'!$B$9,Paramètres!$A$1:$I$88,7,0))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projet'!$B$9,Paramètres!$A$1:$I$88,3,0)*0.475*44/12</f>
        <v>63.382238755789992</v>
      </c>
      <c r="AA67" s="23">
        <f>EXP(-LN(2)/25)*AA66+(1-EXP(-LN(2)/25))/(LN(2)/25)*Calculateur!V67*Calculateur!X67*VLOOKUP('Données projet'!$B$9,Paramètres!$A$1:$I$88,3,0)*0.475*44/12</f>
        <v>49.318982341541513</v>
      </c>
      <c r="AB67" s="23">
        <f>EXP(-LN(2)/2)*AB66+(1-EXP(-LN(2)/2))/(LN(2)/2)*V67*Y67*VLOOKUP('Données projet'!$B$9,Paramètres!$A$1:$I$88,3,0)*0.475*44/12</f>
        <v>0</v>
      </c>
      <c r="AC67" s="24">
        <f t="shared" si="3"/>
        <v>112.70122109733151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projet'!$B$10,Paramètres!$A$1:$I$88,3,0)*VLOOKUP('Données projet'!$B$10,Paramètres!$A$1:$I$88,5,0)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projet'!$B$10,Paramètres!$A$1:$I$88,7,0))</f>
        <v>0</v>
      </c>
      <c r="AS67" s="17">
        <f>IF(ISNA(VLOOKUP(A67,'Données projet'!$A$61:$I$81,6,0)),0%,VLOOKUP(A67,'Données projet'!$A$61:$I$81,6,0)*VLOOKUP('Données projet'!$B$10,Paramètres!$A$1:$I$88,7,0))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projet'!$B$10,Paramètres!$A$1:$I$88,3,0)*0.475*44/12</f>
        <v>#N/A</v>
      </c>
      <c r="AV67" s="23" t="e">
        <f>EXP(-LN(2)/25)*AV66+(1-EXP(-LN(2)/25))/(LN(2)/25)*Calculateur!AQ67*Calculateur!AS67*VLOOKUP('Données projet'!$B$10,Paramètres!$A$1:$I$88,3,0)*0.475*44/12</f>
        <v>#N/A</v>
      </c>
      <c r="AW67" s="23" t="e">
        <f>EXP(-LN(2)/2)*AW66+(1-EXP(-LN(2)/2))/(LN(2)/2)*AQ67*AT67*VLOOKUP('Données projet'!$B$10,Paramètres!$A$1:$I$88,3,0)*0.475*44/12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projet'!$B$11,Paramètres!$A$1:$I$88,3,0)*VLOOKUP('Données projet'!$B$11,Paramètres!$A$1:$I$88,5,0)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projet'!$B$11,Paramètres!$A$1:$I$88,7,0))</f>
        <v>0</v>
      </c>
      <c r="BN67" s="17">
        <f>IF(ISNA(VLOOKUP(A67,'Données projet'!$A$87:$I$107,6,0)),0%,VLOOKUP(A67,'Données projet'!$A$87:$I$107,6,0)*VLOOKUP('Données projet'!$B$11,Paramètres!$A$1:$I$88,7,0))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projet'!$B$11,Paramètres!$A$1:$I$88,3,0)*0.475*44/12</f>
        <v>#N/A</v>
      </c>
      <c r="BQ67" s="23" t="e">
        <f>EXP(-LN(2)/25)*BQ66+(1-EXP(-LN(2)/25))/(LN(2)/25)*Calculateur!BL67*Calculateur!BN67*VLOOKUP('Données projet'!$B$11,Paramètres!$A$1:$I$88,3,0)*0.475*44/12</f>
        <v>#N/A</v>
      </c>
      <c r="BR67" s="23" t="e">
        <f>EXP(-LN(2)/2)*BR66+(1-EXP(-LN(2)/2))/(LN(2)/2)*BL67*BO67*VLOOKUP('Données projet'!$B$11,Paramètres!$A$1:$I$88,3,0)*0.475*44/12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projet'!$B$12,Paramètres!$A$1:$I$88,3,0)*VLOOKUP('Données projet'!$B$12,Paramètres!$A$1:$I$88,5,0)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projet'!$B$12,Paramètres!$A$1:$I$88,7,0))</f>
        <v>0</v>
      </c>
      <c r="CI67" s="17">
        <f>IF(ISNA(VLOOKUP(A67,'Données projet'!$A$113:$I$133,6,0)),0%,VLOOKUP(A67,'Données projet'!$A$113:$I$133,6,0)*VLOOKUP('Données projet'!$B$12,Paramètres!$A$1:$I$88,7,0))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projet'!$B$12,Paramètres!$A$1:$I$88,3,0)*0.475*44/12</f>
        <v>#N/A</v>
      </c>
      <c r="CL67" s="23" t="e">
        <f>EXP(-LN(2)/25)*CL66+(1-EXP(-LN(2)/25))/(LN(2)/25)*Calculateur!CG67*Calculateur!CI67*VLOOKUP('Données projet'!$B$12,Paramètres!$A$1:$I$88,3,0)*0.475*44/12</f>
        <v>#N/A</v>
      </c>
      <c r="CM67" s="23" t="e">
        <f>EXP(-LN(2)/2)*CM66+(1-EXP(-LN(2)/2))/(LN(2)/2)*CG67*CJ67*VLOOKUP('Données projet'!$B$12,Paramètres!$A$1:$I$88,3,0)*0.475*44/12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projet'!$B$13,Paramètres!$A$1:$I$88,3,0)*VLOOKUP('Données projet'!$B$13,Paramètres!$A$1:$I$88,5,0)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projet'!$B$13,Paramètres!$A$1:$I$88,7,0))</f>
        <v>0</v>
      </c>
      <c r="DD67" s="17">
        <f>IF(ISNA(VLOOKUP(A67,'Données projet'!$A$139:$I$159,6,0)),0%,VLOOKUP(A67,'Données projet'!$A$139:$I$159,6,0)*VLOOKUP('Données projet'!$B$13,Paramètres!$A$1:$I$88,7,0))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projet'!$B$13,Paramètres!$A$1:$I$88,3,0)*0.475*44/12</f>
        <v>#N/A</v>
      </c>
      <c r="DG67" s="23" t="e">
        <f>EXP(-LN(2)/25)*DG66+(1-EXP(-LN(2)/25))/(LN(2)/25)*Calculateur!DB67*Calculateur!DD67*VLOOKUP('Données projet'!$B$13,Paramètres!$A$1:$I$88,3,0)*0.475*44/12</f>
        <v>#N/A</v>
      </c>
      <c r="DH67" s="23" t="e">
        <f>EXP(-LN(2)/2)*DH66+(1-EXP(-LN(2)/2))/(LN(2)/2)*DB67*DE67*VLOOKUP('Données projet'!$B$13,Paramètres!$A$1:$I$88,3,0)*0.475*44/12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projet'!$B$14,Paramètres!$A$1:$I$88,3,0)*VLOOKUP('Données projet'!$B$14,Paramètres!$A$1:$I$88,5,0)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projet'!$B$14,Paramètres!$A$1:$I$88,7,0))</f>
        <v>0</v>
      </c>
      <c r="DY67" s="17">
        <f>IF(ISNA(VLOOKUP(A67,'Données projet'!$A$165:$I$185,6,0)),0%,VLOOKUP(A67,'Données projet'!$A$165:$I$185,6,0)*VLOOKUP('Données projet'!$B$14,Paramètres!$A$1:$I$88,7,0))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projet'!$B$14,Paramètres!$A$1:$I$88,3,0)*0.475*44/12</f>
        <v>#N/A</v>
      </c>
      <c r="EB67" s="23" t="e">
        <f>EXP(-LN(2)/25)*EB66+(1-EXP(-LN(2)/25))/(LN(2)/25)*Calculateur!DW67*Calculateur!DY67*VLOOKUP('Données projet'!$B$14,Paramètres!$A$1:$I$88,3,0)*0.475*44/12</f>
        <v>#N/A</v>
      </c>
      <c r="EC67" s="23" t="e">
        <f>EXP(-LN(2)/2)*EC66+(1-EXP(-LN(2)/2))/(LN(2)/2)*DW67*DZ67*VLOOKUP('Données projet'!$B$14,Paramètres!$A$1:$I$88,3,0)*0.475*44/12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projet'!$B$15,Paramètres!$A$1:$I$88,3,0)*VLOOKUP('Données projet'!$B$15,Paramètres!$A$1:$I$88,5,0)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projet'!$B$15,Paramètres!$A$1:$I$88,7,0))</f>
        <v>0</v>
      </c>
      <c r="ET67" s="17">
        <f>IF(ISNA(VLOOKUP(A67,'Données projet'!$A$191:$I$211,6,0)),0%,VLOOKUP(A67,'Données projet'!$A$191:$I$211,6,0)*VLOOKUP('Données projet'!$B$15,Paramètres!$A$1:$I$88,7,0))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projet'!$B$15,Paramètres!$A$1:$I$88,3,0)*0.475*44/12</f>
        <v>#N/A</v>
      </c>
      <c r="EW67" s="23" t="e">
        <f>EXP(-LN(2)/25)*EW66+(1-EXP(-LN(2)/25))/(LN(2)/25)*Calculateur!ER67*Calculateur!ET67*VLOOKUP('Données projet'!$B$15,Paramètres!$A$1:$I$88,3,0)*0.475*44/12</f>
        <v>#N/A</v>
      </c>
      <c r="EX67" s="23" t="e">
        <f>EXP(-LN(2)/2)*EX66+(1-EXP(-LN(2)/2))/(LN(2)/2)*ER67*EU67*VLOOKUP('Données projet'!$B$15,Paramètres!$A$1:$I$88,3,0)*0.475*44/12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projet'!$B$16,Paramètres!$A$1:$I$88,3,0)*VLOOKUP('Données projet'!$B$16,Paramètres!$A$1:$I$88,5,0)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projet'!$B$16,Paramètres!$A$1:$I$88,7,0))</f>
        <v>0</v>
      </c>
      <c r="FO67" s="17">
        <f>IF(ISNA(VLOOKUP(A67,'Données projet'!$A$217:$I$237,6,0)),0%,VLOOKUP(A67,'Données projet'!$A$217:$I$237,6,0)*VLOOKUP('Données projet'!$B$16,Paramètres!$A$1:$I$88,7,0))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projet'!$B$16,Paramètres!$A$1:$I$88,3,0)*0.475*44/12</f>
        <v>#N/A</v>
      </c>
      <c r="FR67" s="23" t="e">
        <f>EXP(-LN(2)/25)*FR66+(1-EXP(-LN(2)/25))/(LN(2)/25)*Calculateur!FM67*Calculateur!FO67*VLOOKUP('Données projet'!$B$16,Paramètres!$A$1:$I$88,3,0)*0.475*44/12</f>
        <v>#N/A</v>
      </c>
      <c r="FS67" s="23" t="e">
        <f>EXP(-LN(2)/2)*FS66+(1-EXP(-LN(2)/2))/(LN(2)/2)*FM67*FP67*VLOOKUP('Données projet'!$B$16,Paramètres!$A$1:$I$88,3,0)*0.475*44/12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projet'!$B$17,Paramètres!$A$1:$I$88,3,0)*VLOOKUP('Données projet'!$B$17,Paramètres!$A$1:$I$88,5,0)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projet'!$B$17,Paramètres!$A$1:$I$88,7,0))</f>
        <v>0</v>
      </c>
      <c r="GJ67" s="17">
        <f>IF(ISNA(VLOOKUP(A67,'Données projet'!$A$243:$I$263,6,0)),0%,VLOOKUP(A67,'Données projet'!$A$243:$I$263,6,0)*VLOOKUP('Données projet'!$B$17,Paramètres!$A$1:$I$88,7,0))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projet'!$B$17,Paramètres!$A$1:$I$88,3,0)*0.475*44/12</f>
        <v>#N/A</v>
      </c>
      <c r="GM67" s="23" t="e">
        <f>EXP(-LN(2)/25)*GM66+(1-EXP(-LN(2)/25))/(LN(2)/25)*Calculateur!GH67*Calculateur!GJ67*VLOOKUP('Données projet'!$B$17,Paramètres!$A$1:$I$88,3,0)*0.475*44/12</f>
        <v>#N/A</v>
      </c>
      <c r="GN67" s="23" t="e">
        <f>EXP(-LN(2)/2)*GN66+(1-EXP(-LN(2)/2))/(LN(2)/2)*GH67*GK67*VLOOKUP('Données projet'!$B$17,Paramètres!$A$1:$I$88,3,0)*0.475*44/12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projet'!$B$18,Paramètres!$A$1:$I$88,3,0)*VLOOKUP('Données projet'!$B$18,Paramètres!$A$1:$I$88,5,0)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projet'!$B$18,Paramètres!$A$1:$I$88,7,0))</f>
        <v>0</v>
      </c>
      <c r="HE67" s="17">
        <f>IF(ISNA(VLOOKUP(A67,'Données projet'!$A$269:$I$289,6,0)),0%,VLOOKUP(A67,'Données projet'!$A$269:$I$289,6,0)*VLOOKUP('Données projet'!$B$18,Paramètres!$A$1:$I$88,7,0))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projet'!$B$18,Paramètres!$A$1:$I$88,3,0)*0.475*44/12</f>
        <v>#N/A</v>
      </c>
      <c r="HH67" s="23" t="e">
        <f>EXP(-LN(2)/25)*HH66+(1-EXP(-LN(2)/25))/(LN(2)/25)*Calculateur!HC67*Calculateur!HE67*VLOOKUP('Données projet'!$B$18,Paramètres!$A$1:$I$88,3,0)*0.475*44/12</f>
        <v>#N/A</v>
      </c>
      <c r="HI67" s="23" t="e">
        <f>EXP(-LN(2)/2)*HI66+(1-EXP(-LN(2)/2))/(LN(2)/2)*HC67*HF67*VLOOKUP('Données projet'!$B$18,Paramètres!$A$1:$I$88,3,0)*0.475*44/12</f>
        <v>#N/A</v>
      </c>
      <c r="HJ67" s="24" t="e">
        <f t="shared" si="30"/>
        <v>#N/A</v>
      </c>
    </row>
    <row r="68" spans="1:218" s="5" customFormat="1" x14ac:dyDescent="0.3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14.428571428571429</v>
      </c>
      <c r="N68" s="14">
        <f>IF('Données projet'!$A$36&gt;35,N67+M68-V67,IF(A68&lt;'Données projet'!$A$36,$K$205^A68,IF(A68='Données projet'!$A$36,'Données projet'!$B$36,N67+M68-V67)))</f>
        <v>492.14285714285757</v>
      </c>
      <c r="O68" s="14">
        <f>N68*VLOOKUP('Données projet'!$B$9,Paramètres!$A$1:$I$88,3,0)*VLOOKUP('Données projet'!$B$9,Paramètres!$A$1:$I$88,5,0)</f>
        <v>275.10785714285737</v>
      </c>
      <c r="P68" s="14">
        <f t="shared" si="33"/>
        <v>65.932100275480508</v>
      </c>
      <c r="Q68" s="22">
        <f t="shared" si="54"/>
        <v>593.97792583693843</v>
      </c>
      <c r="R68" s="62">
        <f t="shared" si="55"/>
        <v>857.92113195339357</v>
      </c>
      <c r="S68" s="62">
        <f ca="1">AVERAGE(OFFSET($R$3,0,0,'Données projet'!$E$9+1,1))-AVERAGE(OFFSET($H$3,0,0,'Données projet'!$E$9+1,1))</f>
        <v>367.03450586441784</v>
      </c>
      <c r="T68" s="62">
        <f t="shared" si="34"/>
        <v>413.14502442862897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projet'!$B$9,Paramètres!$A$1:$I$88,7,0))</f>
        <v>0</v>
      </c>
      <c r="X68" s="17">
        <f>IF(ISNA(VLOOKUP(A68,'Données projet'!$A$35:$I$55,6,0)),0%,VLOOKUP(A68,'Données projet'!$A$35:$I$55,6,0)*VLOOKUP('Données projet'!$B$9,Paramètres!$A$1:$I$88,7,0))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projet'!$B$9,Paramètres!$A$1:$I$88,3,0)*0.475*44/12</f>
        <v>62.139351713137295</v>
      </c>
      <c r="AA68" s="23">
        <f>EXP(-LN(2)/25)*AA67+(1-EXP(-LN(2)/25))/(LN(2)/25)*Calculateur!V68*Calculateur!X68*VLOOKUP('Données projet'!$B$9,Paramètres!$A$1:$I$88,3,0)*0.475*44/12</f>
        <v>47.970352175839501</v>
      </c>
      <c r="AB68" s="23">
        <f>EXP(-LN(2)/2)*AB67+(1-EXP(-LN(2)/2))/(LN(2)/2)*V68*Y68*VLOOKUP('Données projet'!$B$9,Paramètres!$A$1:$I$88,3,0)*0.475*44/12</f>
        <v>0</v>
      </c>
      <c r="AC68" s="24">
        <f t="shared" ref="AC68:AC131" si="57">SUM(Z68:AB68)</f>
        <v>110.1097038889768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projet'!$B$10,Paramètres!$A$1:$I$88,3,0)*VLOOKUP('Données projet'!$B$10,Paramètres!$A$1:$I$88,5,0)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projet'!$B$10,Paramètres!$A$1:$I$88,7,0))</f>
        <v>0</v>
      </c>
      <c r="AS68" s="17">
        <f>IF(ISNA(VLOOKUP(A68,'Données projet'!$A$61:$I$81,6,0)),0%,VLOOKUP(A68,'Données projet'!$A$61:$I$81,6,0)*VLOOKUP('Données projet'!$B$10,Paramètres!$A$1:$I$88,7,0))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projet'!$B$10,Paramètres!$A$1:$I$88,3,0)*0.475*44/12</f>
        <v>#N/A</v>
      </c>
      <c r="AV68" s="23" t="e">
        <f>EXP(-LN(2)/25)*AV67+(1-EXP(-LN(2)/25))/(LN(2)/25)*Calculateur!AQ68*Calculateur!AS68*VLOOKUP('Données projet'!$B$10,Paramètres!$A$1:$I$88,3,0)*0.475*44/12</f>
        <v>#N/A</v>
      </c>
      <c r="AW68" s="23" t="e">
        <f>EXP(-LN(2)/2)*AW67+(1-EXP(-LN(2)/2))/(LN(2)/2)*AQ68*AT68*VLOOKUP('Données projet'!$B$10,Paramètres!$A$1:$I$88,3,0)*0.475*44/12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projet'!$B$11,Paramètres!$A$1:$I$88,3,0)*VLOOKUP('Données projet'!$B$11,Paramètres!$A$1:$I$88,5,0)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projet'!$B$11,Paramètres!$A$1:$I$88,7,0))</f>
        <v>0</v>
      </c>
      <c r="BN68" s="17">
        <f>IF(ISNA(VLOOKUP(A68,'Données projet'!$A$87:$I$107,6,0)),0%,VLOOKUP(A68,'Données projet'!$A$87:$I$107,6,0)*VLOOKUP('Données projet'!$B$11,Paramètres!$A$1:$I$88,7,0))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projet'!$B$11,Paramètres!$A$1:$I$88,3,0)*0.475*44/12</f>
        <v>#N/A</v>
      </c>
      <c r="BQ68" s="23" t="e">
        <f>EXP(-LN(2)/25)*BQ67+(1-EXP(-LN(2)/25))/(LN(2)/25)*Calculateur!BL68*Calculateur!BN68*VLOOKUP('Données projet'!$B$11,Paramètres!$A$1:$I$88,3,0)*0.475*44/12</f>
        <v>#N/A</v>
      </c>
      <c r="BR68" s="23" t="e">
        <f>EXP(-LN(2)/2)*BR67+(1-EXP(-LN(2)/2))/(LN(2)/2)*BL68*BO68*VLOOKUP('Données projet'!$B$11,Paramètres!$A$1:$I$88,3,0)*0.475*44/12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projet'!$B$12,Paramètres!$A$1:$I$88,3,0)*VLOOKUP('Données projet'!$B$12,Paramètres!$A$1:$I$88,5,0)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projet'!$B$12,Paramètres!$A$1:$I$88,7,0))</f>
        <v>0</v>
      </c>
      <c r="CI68" s="17">
        <f>IF(ISNA(VLOOKUP(A68,'Données projet'!$A$113:$I$133,6,0)),0%,VLOOKUP(A68,'Données projet'!$A$113:$I$133,6,0)*VLOOKUP('Données projet'!$B$12,Paramètres!$A$1:$I$88,7,0))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projet'!$B$12,Paramètres!$A$1:$I$88,3,0)*0.475*44/12</f>
        <v>#N/A</v>
      </c>
      <c r="CL68" s="23" t="e">
        <f>EXP(-LN(2)/25)*CL67+(1-EXP(-LN(2)/25))/(LN(2)/25)*Calculateur!CG68*Calculateur!CI68*VLOOKUP('Données projet'!$B$12,Paramètres!$A$1:$I$88,3,0)*0.475*44/12</f>
        <v>#N/A</v>
      </c>
      <c r="CM68" s="23" t="e">
        <f>EXP(-LN(2)/2)*CM67+(1-EXP(-LN(2)/2))/(LN(2)/2)*CG68*CJ68*VLOOKUP('Données projet'!$B$12,Paramètres!$A$1:$I$88,3,0)*0.475*44/12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projet'!$B$13,Paramètres!$A$1:$I$88,3,0)*VLOOKUP('Données projet'!$B$13,Paramètres!$A$1:$I$88,5,0)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projet'!$B$13,Paramètres!$A$1:$I$88,7,0))</f>
        <v>0</v>
      </c>
      <c r="DD68" s="17">
        <f>IF(ISNA(VLOOKUP(A68,'Données projet'!$A$139:$I$159,6,0)),0%,VLOOKUP(A68,'Données projet'!$A$139:$I$159,6,0)*VLOOKUP('Données projet'!$B$13,Paramètres!$A$1:$I$88,7,0))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projet'!$B$13,Paramètres!$A$1:$I$88,3,0)*0.475*44/12</f>
        <v>#N/A</v>
      </c>
      <c r="DG68" s="23" t="e">
        <f>EXP(-LN(2)/25)*DG67+(1-EXP(-LN(2)/25))/(LN(2)/25)*Calculateur!DB68*Calculateur!DD68*VLOOKUP('Données projet'!$B$13,Paramètres!$A$1:$I$88,3,0)*0.475*44/12</f>
        <v>#N/A</v>
      </c>
      <c r="DH68" s="23" t="e">
        <f>EXP(-LN(2)/2)*DH67+(1-EXP(-LN(2)/2))/(LN(2)/2)*DB68*DE68*VLOOKUP('Données projet'!$B$13,Paramètres!$A$1:$I$88,3,0)*0.475*44/12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projet'!$B$14,Paramètres!$A$1:$I$88,3,0)*VLOOKUP('Données projet'!$B$14,Paramètres!$A$1:$I$88,5,0)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projet'!$B$14,Paramètres!$A$1:$I$88,7,0))</f>
        <v>0</v>
      </c>
      <c r="DY68" s="17">
        <f>IF(ISNA(VLOOKUP(A68,'Données projet'!$A$165:$I$185,6,0)),0%,VLOOKUP(A68,'Données projet'!$A$165:$I$185,6,0)*VLOOKUP('Données projet'!$B$14,Paramètres!$A$1:$I$88,7,0))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projet'!$B$14,Paramètres!$A$1:$I$88,3,0)*0.475*44/12</f>
        <v>#N/A</v>
      </c>
      <c r="EB68" s="23" t="e">
        <f>EXP(-LN(2)/25)*EB67+(1-EXP(-LN(2)/25))/(LN(2)/25)*Calculateur!DW68*Calculateur!DY68*VLOOKUP('Données projet'!$B$14,Paramètres!$A$1:$I$88,3,0)*0.475*44/12</f>
        <v>#N/A</v>
      </c>
      <c r="EC68" s="23" t="e">
        <f>EXP(-LN(2)/2)*EC67+(1-EXP(-LN(2)/2))/(LN(2)/2)*DW68*DZ68*VLOOKUP('Données projet'!$B$14,Paramètres!$A$1:$I$88,3,0)*0.475*44/12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projet'!$B$15,Paramètres!$A$1:$I$88,3,0)*VLOOKUP('Données projet'!$B$15,Paramètres!$A$1:$I$88,5,0)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projet'!$B$15,Paramètres!$A$1:$I$88,7,0))</f>
        <v>0</v>
      </c>
      <c r="ET68" s="17">
        <f>IF(ISNA(VLOOKUP(A68,'Données projet'!$A$191:$I$211,6,0)),0%,VLOOKUP(A68,'Données projet'!$A$191:$I$211,6,0)*VLOOKUP('Données projet'!$B$15,Paramètres!$A$1:$I$88,7,0))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projet'!$B$15,Paramètres!$A$1:$I$88,3,0)*0.475*44/12</f>
        <v>#N/A</v>
      </c>
      <c r="EW68" s="23" t="e">
        <f>EXP(-LN(2)/25)*EW67+(1-EXP(-LN(2)/25))/(LN(2)/25)*Calculateur!ER68*Calculateur!ET68*VLOOKUP('Données projet'!$B$15,Paramètres!$A$1:$I$88,3,0)*0.475*44/12</f>
        <v>#N/A</v>
      </c>
      <c r="EX68" s="23" t="e">
        <f>EXP(-LN(2)/2)*EX67+(1-EXP(-LN(2)/2))/(LN(2)/2)*ER68*EU68*VLOOKUP('Données projet'!$B$15,Paramètres!$A$1:$I$88,3,0)*0.475*44/12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projet'!$B$16,Paramètres!$A$1:$I$88,3,0)*VLOOKUP('Données projet'!$B$16,Paramètres!$A$1:$I$88,5,0)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projet'!$B$16,Paramètres!$A$1:$I$88,7,0))</f>
        <v>0</v>
      </c>
      <c r="FO68" s="17">
        <f>IF(ISNA(VLOOKUP(A68,'Données projet'!$A$217:$I$237,6,0)),0%,VLOOKUP(A68,'Données projet'!$A$217:$I$237,6,0)*VLOOKUP('Données projet'!$B$16,Paramètres!$A$1:$I$88,7,0))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projet'!$B$16,Paramètres!$A$1:$I$88,3,0)*0.475*44/12</f>
        <v>#N/A</v>
      </c>
      <c r="FR68" s="23" t="e">
        <f>EXP(-LN(2)/25)*FR67+(1-EXP(-LN(2)/25))/(LN(2)/25)*Calculateur!FM68*Calculateur!FO68*VLOOKUP('Données projet'!$B$16,Paramètres!$A$1:$I$88,3,0)*0.475*44/12</f>
        <v>#N/A</v>
      </c>
      <c r="FS68" s="23" t="e">
        <f>EXP(-LN(2)/2)*FS67+(1-EXP(-LN(2)/2))/(LN(2)/2)*FM68*FP68*VLOOKUP('Données projet'!$B$16,Paramètres!$A$1:$I$88,3,0)*0.475*44/12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projet'!$B$17,Paramètres!$A$1:$I$88,3,0)*VLOOKUP('Données projet'!$B$17,Paramètres!$A$1:$I$88,5,0)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projet'!$B$17,Paramètres!$A$1:$I$88,7,0))</f>
        <v>0</v>
      </c>
      <c r="GJ68" s="17">
        <f>IF(ISNA(VLOOKUP(A68,'Données projet'!$A$243:$I$263,6,0)),0%,VLOOKUP(A68,'Données projet'!$A$243:$I$263,6,0)*VLOOKUP('Données projet'!$B$17,Paramètres!$A$1:$I$88,7,0))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projet'!$B$17,Paramètres!$A$1:$I$88,3,0)*0.475*44/12</f>
        <v>#N/A</v>
      </c>
      <c r="GM68" s="23" t="e">
        <f>EXP(-LN(2)/25)*GM67+(1-EXP(-LN(2)/25))/(LN(2)/25)*Calculateur!GH68*Calculateur!GJ68*VLOOKUP('Données projet'!$B$17,Paramètres!$A$1:$I$88,3,0)*0.475*44/12</f>
        <v>#N/A</v>
      </c>
      <c r="GN68" s="23" t="e">
        <f>EXP(-LN(2)/2)*GN67+(1-EXP(-LN(2)/2))/(LN(2)/2)*GH68*GK68*VLOOKUP('Données projet'!$B$17,Paramètres!$A$1:$I$88,3,0)*0.475*44/12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projet'!$B$18,Paramètres!$A$1:$I$88,3,0)*VLOOKUP('Données projet'!$B$18,Paramètres!$A$1:$I$88,5,0)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projet'!$B$18,Paramètres!$A$1:$I$88,7,0))</f>
        <v>0</v>
      </c>
      <c r="HE68" s="17">
        <f>IF(ISNA(VLOOKUP(A68,'Données projet'!$A$269:$I$289,6,0)),0%,VLOOKUP(A68,'Données projet'!$A$269:$I$289,6,0)*VLOOKUP('Données projet'!$B$18,Paramètres!$A$1:$I$88,7,0))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projet'!$B$18,Paramètres!$A$1:$I$88,3,0)*0.475*44/12</f>
        <v>#N/A</v>
      </c>
      <c r="HH68" s="23" t="e">
        <f>EXP(-LN(2)/25)*HH67+(1-EXP(-LN(2)/25))/(LN(2)/25)*Calculateur!HC68*Calculateur!HE68*VLOOKUP('Données projet'!$B$18,Paramètres!$A$1:$I$88,3,0)*0.475*44/12</f>
        <v>#N/A</v>
      </c>
      <c r="HI68" s="23" t="e">
        <f>EXP(-LN(2)/2)*HI67+(1-EXP(-LN(2)/2))/(LN(2)/2)*HC68*HF68*VLOOKUP('Données projet'!$B$18,Paramètres!$A$1:$I$88,3,0)*0.475*44/12</f>
        <v>#N/A</v>
      </c>
      <c r="HJ68" s="24" t="e">
        <f t="shared" ref="HJ68:HJ131" si="84">SUM(HG68:HI68)</f>
        <v>#N/A</v>
      </c>
    </row>
    <row r="69" spans="1:218" s="5" customFormat="1" x14ac:dyDescent="0.3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14.428571428571429</v>
      </c>
      <c r="N69" s="14">
        <f>IF('Données projet'!$A$36&gt;35,N68+M69-V68,IF(A69&lt;'Données projet'!$A$36,$K$205^A69,IF(A69='Données projet'!$A$36,'Données projet'!$B$36,N68+M69-V68)))</f>
        <v>506.57142857142901</v>
      </c>
      <c r="O69" s="14">
        <f>N69*VLOOKUP('Données projet'!$B$9,Paramètres!$A$1:$I$88,3,0)*VLOOKUP('Données projet'!$B$9,Paramètres!$A$1:$I$88,5,0)</f>
        <v>283.17342857142881</v>
      </c>
      <c r="P69" s="14">
        <f t="shared" ref="P69:P132" si="87">EXP(-1.0587+0.8836*LN(O69)+0.284)</f>
        <v>67.637205052920223</v>
      </c>
      <c r="Q69" s="22">
        <f t="shared" si="54"/>
        <v>610.9951868957412</v>
      </c>
      <c r="R69" s="62">
        <f t="shared" si="55"/>
        <v>875.44824601292828</v>
      </c>
      <c r="S69" s="62">
        <f ca="1">AVERAGE(OFFSET($R$3,0,0,'Données projet'!$E$9+1,1))-AVERAGE(OFFSET($H$3,0,0,'Données projet'!$E$9+1,1))</f>
        <v>367.03450586441784</v>
      </c>
      <c r="T69" s="62">
        <f t="shared" ref="T69:T132" si="88">$T$3</f>
        <v>413.14502442862897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projet'!$B$9,Paramètres!$A$1:$I$88,7,0))</f>
        <v>0</v>
      </c>
      <c r="X69" s="17">
        <f>IF(ISNA(VLOOKUP(A69,'Données projet'!$A$35:$I$55,6,0)),0%,VLOOKUP(A69,'Données projet'!$A$35:$I$55,6,0)*VLOOKUP('Données projet'!$B$9,Paramètres!$A$1:$I$88,7,0))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projet'!$B$9,Paramètres!$A$1:$I$88,3,0)*0.475*44/12</f>
        <v>60.920836927304777</v>
      </c>
      <c r="AA69" s="23">
        <f>EXP(-LN(2)/25)*AA68+(1-EXP(-LN(2)/25))/(LN(2)/25)*Calculateur!V69*Calculateur!X69*VLOOKUP('Données projet'!$B$9,Paramètres!$A$1:$I$88,3,0)*0.475*44/12</f>
        <v>46.658600372939986</v>
      </c>
      <c r="AB69" s="23">
        <f>EXP(-LN(2)/2)*AB68+(1-EXP(-LN(2)/2))/(LN(2)/2)*V69*Y69*VLOOKUP('Données projet'!$B$9,Paramètres!$A$1:$I$88,3,0)*0.475*44/12</f>
        <v>0</v>
      </c>
      <c r="AC69" s="24">
        <f t="shared" si="57"/>
        <v>107.57943730024476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projet'!$B$10,Paramètres!$A$1:$I$88,3,0)*VLOOKUP('Données projet'!$B$10,Paramètres!$A$1:$I$88,5,0)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projet'!$B$10,Paramètres!$A$1:$I$88,7,0))</f>
        <v>0</v>
      </c>
      <c r="AS69" s="17">
        <f>IF(ISNA(VLOOKUP(A69,'Données projet'!$A$61:$I$81,6,0)),0%,VLOOKUP(A69,'Données projet'!$A$61:$I$81,6,0)*VLOOKUP('Données projet'!$B$10,Paramètres!$A$1:$I$88,7,0))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projet'!$B$10,Paramètres!$A$1:$I$88,3,0)*0.475*44/12</f>
        <v>#N/A</v>
      </c>
      <c r="AV69" s="23" t="e">
        <f>EXP(-LN(2)/25)*AV68+(1-EXP(-LN(2)/25))/(LN(2)/25)*Calculateur!AQ69*Calculateur!AS69*VLOOKUP('Données projet'!$B$10,Paramètres!$A$1:$I$88,3,0)*0.475*44/12</f>
        <v>#N/A</v>
      </c>
      <c r="AW69" s="23" t="e">
        <f>EXP(-LN(2)/2)*AW68+(1-EXP(-LN(2)/2))/(LN(2)/2)*AQ69*AT69*VLOOKUP('Données projet'!$B$10,Paramètres!$A$1:$I$88,3,0)*0.475*44/12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projet'!$B$11,Paramètres!$A$1:$I$88,3,0)*VLOOKUP('Données projet'!$B$11,Paramètres!$A$1:$I$88,5,0)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projet'!$B$11,Paramètres!$A$1:$I$88,7,0))</f>
        <v>0</v>
      </c>
      <c r="BN69" s="17">
        <f>IF(ISNA(VLOOKUP(A69,'Données projet'!$A$87:$I$107,6,0)),0%,VLOOKUP(A69,'Données projet'!$A$87:$I$107,6,0)*VLOOKUP('Données projet'!$B$11,Paramètres!$A$1:$I$88,7,0))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projet'!$B$11,Paramètres!$A$1:$I$88,3,0)*0.475*44/12</f>
        <v>#N/A</v>
      </c>
      <c r="BQ69" s="23" t="e">
        <f>EXP(-LN(2)/25)*BQ68+(1-EXP(-LN(2)/25))/(LN(2)/25)*Calculateur!BL69*Calculateur!BN69*VLOOKUP('Données projet'!$B$11,Paramètres!$A$1:$I$88,3,0)*0.475*44/12</f>
        <v>#N/A</v>
      </c>
      <c r="BR69" s="23" t="e">
        <f>EXP(-LN(2)/2)*BR68+(1-EXP(-LN(2)/2))/(LN(2)/2)*BL69*BO69*VLOOKUP('Données projet'!$B$11,Paramètres!$A$1:$I$88,3,0)*0.475*44/12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projet'!$B$12,Paramètres!$A$1:$I$88,3,0)*VLOOKUP('Données projet'!$B$12,Paramètres!$A$1:$I$88,5,0)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projet'!$B$12,Paramètres!$A$1:$I$88,7,0))</f>
        <v>0</v>
      </c>
      <c r="CI69" s="17">
        <f>IF(ISNA(VLOOKUP(A69,'Données projet'!$A$113:$I$133,6,0)),0%,VLOOKUP(A69,'Données projet'!$A$113:$I$133,6,0)*VLOOKUP('Données projet'!$B$12,Paramètres!$A$1:$I$88,7,0))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projet'!$B$12,Paramètres!$A$1:$I$88,3,0)*0.475*44/12</f>
        <v>#N/A</v>
      </c>
      <c r="CL69" s="23" t="e">
        <f>EXP(-LN(2)/25)*CL68+(1-EXP(-LN(2)/25))/(LN(2)/25)*Calculateur!CG69*Calculateur!CI69*VLOOKUP('Données projet'!$B$12,Paramètres!$A$1:$I$88,3,0)*0.475*44/12</f>
        <v>#N/A</v>
      </c>
      <c r="CM69" s="23" t="e">
        <f>EXP(-LN(2)/2)*CM68+(1-EXP(-LN(2)/2))/(LN(2)/2)*CG69*CJ69*VLOOKUP('Données projet'!$B$12,Paramètres!$A$1:$I$88,3,0)*0.475*44/12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projet'!$B$13,Paramètres!$A$1:$I$88,3,0)*VLOOKUP('Données projet'!$B$13,Paramètres!$A$1:$I$88,5,0)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projet'!$B$13,Paramètres!$A$1:$I$88,7,0))</f>
        <v>0</v>
      </c>
      <c r="DD69" s="17">
        <f>IF(ISNA(VLOOKUP(A69,'Données projet'!$A$139:$I$159,6,0)),0%,VLOOKUP(A69,'Données projet'!$A$139:$I$159,6,0)*VLOOKUP('Données projet'!$B$13,Paramètres!$A$1:$I$88,7,0))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projet'!$B$13,Paramètres!$A$1:$I$88,3,0)*0.475*44/12</f>
        <v>#N/A</v>
      </c>
      <c r="DG69" s="23" t="e">
        <f>EXP(-LN(2)/25)*DG68+(1-EXP(-LN(2)/25))/(LN(2)/25)*Calculateur!DB69*Calculateur!DD69*VLOOKUP('Données projet'!$B$13,Paramètres!$A$1:$I$88,3,0)*0.475*44/12</f>
        <v>#N/A</v>
      </c>
      <c r="DH69" s="23" t="e">
        <f>EXP(-LN(2)/2)*DH68+(1-EXP(-LN(2)/2))/(LN(2)/2)*DB69*DE69*VLOOKUP('Données projet'!$B$13,Paramètres!$A$1:$I$88,3,0)*0.475*44/12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projet'!$B$14,Paramètres!$A$1:$I$88,3,0)*VLOOKUP('Données projet'!$B$14,Paramètres!$A$1:$I$88,5,0)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projet'!$B$14,Paramètres!$A$1:$I$88,7,0))</f>
        <v>0</v>
      </c>
      <c r="DY69" s="17">
        <f>IF(ISNA(VLOOKUP(A69,'Données projet'!$A$165:$I$185,6,0)),0%,VLOOKUP(A69,'Données projet'!$A$165:$I$185,6,0)*VLOOKUP('Données projet'!$B$14,Paramètres!$A$1:$I$88,7,0))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projet'!$B$14,Paramètres!$A$1:$I$88,3,0)*0.475*44/12</f>
        <v>#N/A</v>
      </c>
      <c r="EB69" s="23" t="e">
        <f>EXP(-LN(2)/25)*EB68+(1-EXP(-LN(2)/25))/(LN(2)/25)*Calculateur!DW69*Calculateur!DY69*VLOOKUP('Données projet'!$B$14,Paramètres!$A$1:$I$88,3,0)*0.475*44/12</f>
        <v>#N/A</v>
      </c>
      <c r="EC69" s="23" t="e">
        <f>EXP(-LN(2)/2)*EC68+(1-EXP(-LN(2)/2))/(LN(2)/2)*DW69*DZ69*VLOOKUP('Données projet'!$B$14,Paramètres!$A$1:$I$88,3,0)*0.475*44/12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projet'!$B$15,Paramètres!$A$1:$I$88,3,0)*VLOOKUP('Données projet'!$B$15,Paramètres!$A$1:$I$88,5,0)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projet'!$B$15,Paramètres!$A$1:$I$88,7,0))</f>
        <v>0</v>
      </c>
      <c r="ET69" s="17">
        <f>IF(ISNA(VLOOKUP(A69,'Données projet'!$A$191:$I$211,6,0)),0%,VLOOKUP(A69,'Données projet'!$A$191:$I$211,6,0)*VLOOKUP('Données projet'!$B$15,Paramètres!$A$1:$I$88,7,0))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projet'!$B$15,Paramètres!$A$1:$I$88,3,0)*0.475*44/12</f>
        <v>#N/A</v>
      </c>
      <c r="EW69" s="23" t="e">
        <f>EXP(-LN(2)/25)*EW68+(1-EXP(-LN(2)/25))/(LN(2)/25)*Calculateur!ER69*Calculateur!ET69*VLOOKUP('Données projet'!$B$15,Paramètres!$A$1:$I$88,3,0)*0.475*44/12</f>
        <v>#N/A</v>
      </c>
      <c r="EX69" s="23" t="e">
        <f>EXP(-LN(2)/2)*EX68+(1-EXP(-LN(2)/2))/(LN(2)/2)*ER69*EU69*VLOOKUP('Données projet'!$B$15,Paramètres!$A$1:$I$88,3,0)*0.475*44/12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projet'!$B$16,Paramètres!$A$1:$I$88,3,0)*VLOOKUP('Données projet'!$B$16,Paramètres!$A$1:$I$88,5,0)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projet'!$B$16,Paramètres!$A$1:$I$88,7,0))</f>
        <v>0</v>
      </c>
      <c r="FO69" s="17">
        <f>IF(ISNA(VLOOKUP(A69,'Données projet'!$A$217:$I$237,6,0)),0%,VLOOKUP(A69,'Données projet'!$A$217:$I$237,6,0)*VLOOKUP('Données projet'!$B$16,Paramètres!$A$1:$I$88,7,0))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projet'!$B$16,Paramètres!$A$1:$I$88,3,0)*0.475*44/12</f>
        <v>#N/A</v>
      </c>
      <c r="FR69" s="23" t="e">
        <f>EXP(-LN(2)/25)*FR68+(1-EXP(-LN(2)/25))/(LN(2)/25)*Calculateur!FM69*Calculateur!FO69*VLOOKUP('Données projet'!$B$16,Paramètres!$A$1:$I$88,3,0)*0.475*44/12</f>
        <v>#N/A</v>
      </c>
      <c r="FS69" s="23" t="e">
        <f>EXP(-LN(2)/2)*FS68+(1-EXP(-LN(2)/2))/(LN(2)/2)*FM69*FP69*VLOOKUP('Données projet'!$B$16,Paramètres!$A$1:$I$88,3,0)*0.475*44/12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projet'!$B$17,Paramètres!$A$1:$I$88,3,0)*VLOOKUP('Données projet'!$B$17,Paramètres!$A$1:$I$88,5,0)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projet'!$B$17,Paramètres!$A$1:$I$88,7,0))</f>
        <v>0</v>
      </c>
      <c r="GJ69" s="17">
        <f>IF(ISNA(VLOOKUP(A69,'Données projet'!$A$243:$I$263,6,0)),0%,VLOOKUP(A69,'Données projet'!$A$243:$I$263,6,0)*VLOOKUP('Données projet'!$B$17,Paramètres!$A$1:$I$88,7,0))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projet'!$B$17,Paramètres!$A$1:$I$88,3,0)*0.475*44/12</f>
        <v>#N/A</v>
      </c>
      <c r="GM69" s="23" t="e">
        <f>EXP(-LN(2)/25)*GM68+(1-EXP(-LN(2)/25))/(LN(2)/25)*Calculateur!GH69*Calculateur!GJ69*VLOOKUP('Données projet'!$B$17,Paramètres!$A$1:$I$88,3,0)*0.475*44/12</f>
        <v>#N/A</v>
      </c>
      <c r="GN69" s="23" t="e">
        <f>EXP(-LN(2)/2)*GN68+(1-EXP(-LN(2)/2))/(LN(2)/2)*GH69*GK69*VLOOKUP('Données projet'!$B$17,Paramètres!$A$1:$I$88,3,0)*0.475*44/12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projet'!$B$18,Paramètres!$A$1:$I$88,3,0)*VLOOKUP('Données projet'!$B$18,Paramètres!$A$1:$I$88,5,0)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projet'!$B$18,Paramètres!$A$1:$I$88,7,0))</f>
        <v>0</v>
      </c>
      <c r="HE69" s="17">
        <f>IF(ISNA(VLOOKUP(A69,'Données projet'!$A$269:$I$289,6,0)),0%,VLOOKUP(A69,'Données projet'!$A$269:$I$289,6,0)*VLOOKUP('Données projet'!$B$18,Paramètres!$A$1:$I$88,7,0))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projet'!$B$18,Paramètres!$A$1:$I$88,3,0)*0.475*44/12</f>
        <v>#N/A</v>
      </c>
      <c r="HH69" s="23" t="e">
        <f>EXP(-LN(2)/25)*HH68+(1-EXP(-LN(2)/25))/(LN(2)/25)*Calculateur!HC69*Calculateur!HE69*VLOOKUP('Données projet'!$B$18,Paramètres!$A$1:$I$88,3,0)*0.475*44/12</f>
        <v>#N/A</v>
      </c>
      <c r="HI69" s="23" t="e">
        <f>EXP(-LN(2)/2)*HI68+(1-EXP(-LN(2)/2))/(LN(2)/2)*HC69*HF69*VLOOKUP('Données projet'!$B$18,Paramètres!$A$1:$I$88,3,0)*0.475*44/12</f>
        <v>#N/A</v>
      </c>
      <c r="HJ69" s="24" t="e">
        <f t="shared" si="84"/>
        <v>#N/A</v>
      </c>
    </row>
    <row r="70" spans="1:218" s="5" customFormat="1" x14ac:dyDescent="0.3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>
        <f>VLOOKUP(A70,'Données projet'!$A$35:$I$55,2,0)</f>
        <v>521</v>
      </c>
      <c r="L70" s="13">
        <f>VLOOKUP(A70,'Données projet'!$A$35:$I$55,9,0)</f>
        <v>14.428571428571429</v>
      </c>
      <c r="M70" s="13">
        <f t="array" ref="M70">INDEX(L:L,MIN(IF(ISNUMBER(L70:L266),ROW(L70:L266),"")))</f>
        <v>14.428571428571429</v>
      </c>
      <c r="N70" s="14">
        <f>IF('Données projet'!$A$36&gt;35,N69+M70-V69,IF(A70&lt;'Données projet'!$A$36,$K$205^A70,IF(A70='Données projet'!$A$36,'Données projet'!$B$36,N69+M70-V69)))</f>
        <v>521.00000000000045</v>
      </c>
      <c r="O70" s="14">
        <f>N70*VLOOKUP('Données projet'!$B$9,Paramètres!$A$1:$I$88,3,0)*VLOOKUP('Données projet'!$B$9,Paramètres!$A$1:$I$88,5,0)</f>
        <v>291.23900000000026</v>
      </c>
      <c r="P70" s="14">
        <f t="shared" si="87"/>
        <v>69.336665284362454</v>
      </c>
      <c r="Q70" s="22">
        <f t="shared" si="54"/>
        <v>628.00261703693161</v>
      </c>
      <c r="R70" s="62">
        <f t="shared" si="55"/>
        <v>892.95668434514846</v>
      </c>
      <c r="S70" s="62">
        <f ca="1">AVERAGE(OFFSET($R$3,0,0,'Données projet'!$E$9+1,1))-AVERAGE(OFFSET($H$3,0,0,'Données projet'!$E$9+1,1))</f>
        <v>367.03450586441784</v>
      </c>
      <c r="T70" s="62">
        <f t="shared" si="88"/>
        <v>413.14502442862897</v>
      </c>
      <c r="U70" s="16">
        <f>IF(ISNA(VLOOKUP(A70,'Données projet'!$A$35:$I$55,3,0)),0,VLOOKUP(A70,'Données projet'!$A$35:$I$55,3,0))</f>
        <v>7</v>
      </c>
      <c r="V70" s="16">
        <f>IF(ISNA(VLOOKUP(A70,'Données projet'!$A$35:$I$55,4,0)),0,VLOOKUP(A70,'Données projet'!$A$35:$I$55,4,0))</f>
        <v>521</v>
      </c>
      <c r="W70" s="17">
        <f>IF(ISNA(VLOOKUP(A70,'Données projet'!$A$35:$I$55,5,0)),0%,VLOOKUP(A70,'Données projet'!$A$35:$I$55,5,0)*VLOOKUP('Données projet'!$B$9,Paramètres!$A$1:$I$88,7,0))</f>
        <v>0.38500000000000001</v>
      </c>
      <c r="X70" s="17">
        <f>IF(ISNA(VLOOKUP(A70,'Données projet'!$A$35:$I$55,6,0)),0%,VLOOKUP(A70,'Données projet'!$A$35:$I$55,6,0)*VLOOKUP('Données projet'!$B$9,Paramètres!$A$1:$I$88,7,0))</f>
        <v>0.16500000000000001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projet'!$B$9,Paramètres!$A$1:$I$88,3,0)*0.475*44/12</f>
        <v>208.46992906673796</v>
      </c>
      <c r="AA70" s="23">
        <f>EXP(-LN(2)/25)*AA69+(1-EXP(-LN(2)/25))/(LN(2)/25)*Calculateur!V70*Calculateur!X70*VLOOKUP('Données projet'!$B$9,Paramètres!$A$1:$I$88,3,0)*0.475*44/12</f>
        <v>108.87902645832605</v>
      </c>
      <c r="AB70" s="23">
        <f>EXP(-LN(2)/2)*AB69+(1-EXP(-LN(2)/2))/(LN(2)/2)*V70*Y70*VLOOKUP('Données projet'!$B$9,Paramètres!$A$1:$I$88,3,0)*0.475*44/12</f>
        <v>0</v>
      </c>
      <c r="AC70" s="24">
        <f t="shared" si="57"/>
        <v>317.34895552506401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projet'!$B$10,Paramètres!$A$1:$I$88,3,0)*VLOOKUP('Données projet'!$B$10,Paramètres!$A$1:$I$88,5,0)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projet'!$B$10,Paramètres!$A$1:$I$88,7,0))</f>
        <v>0</v>
      </c>
      <c r="AS70" s="17">
        <f>IF(ISNA(VLOOKUP(A70,'Données projet'!$A$61:$I$81,6,0)),0%,VLOOKUP(A70,'Données projet'!$A$61:$I$81,6,0)*VLOOKUP('Données projet'!$B$10,Paramètres!$A$1:$I$88,7,0))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projet'!$B$10,Paramètres!$A$1:$I$88,3,0)*0.475*44/12</f>
        <v>#N/A</v>
      </c>
      <c r="AV70" s="23" t="e">
        <f>EXP(-LN(2)/25)*AV69+(1-EXP(-LN(2)/25))/(LN(2)/25)*Calculateur!AQ70*Calculateur!AS70*VLOOKUP('Données projet'!$B$10,Paramètres!$A$1:$I$88,3,0)*0.475*44/12</f>
        <v>#N/A</v>
      </c>
      <c r="AW70" s="23" t="e">
        <f>EXP(-LN(2)/2)*AW69+(1-EXP(-LN(2)/2))/(LN(2)/2)*AQ70*AT70*VLOOKUP('Données projet'!$B$10,Paramètres!$A$1:$I$88,3,0)*0.475*44/12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projet'!$B$11,Paramètres!$A$1:$I$88,3,0)*VLOOKUP('Données projet'!$B$11,Paramètres!$A$1:$I$88,5,0)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projet'!$B$11,Paramètres!$A$1:$I$88,7,0))</f>
        <v>0</v>
      </c>
      <c r="BN70" s="17">
        <f>IF(ISNA(VLOOKUP(A70,'Données projet'!$A$87:$I$107,6,0)),0%,VLOOKUP(A70,'Données projet'!$A$87:$I$107,6,0)*VLOOKUP('Données projet'!$B$11,Paramètres!$A$1:$I$88,7,0))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projet'!$B$11,Paramètres!$A$1:$I$88,3,0)*0.475*44/12</f>
        <v>#N/A</v>
      </c>
      <c r="BQ70" s="23" t="e">
        <f>EXP(-LN(2)/25)*BQ69+(1-EXP(-LN(2)/25))/(LN(2)/25)*Calculateur!BL70*Calculateur!BN70*VLOOKUP('Données projet'!$B$11,Paramètres!$A$1:$I$88,3,0)*0.475*44/12</f>
        <v>#N/A</v>
      </c>
      <c r="BR70" s="23" t="e">
        <f>EXP(-LN(2)/2)*BR69+(1-EXP(-LN(2)/2))/(LN(2)/2)*BL70*BO70*VLOOKUP('Données projet'!$B$11,Paramètres!$A$1:$I$88,3,0)*0.475*44/12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projet'!$B$12,Paramètres!$A$1:$I$88,3,0)*VLOOKUP('Données projet'!$B$12,Paramètres!$A$1:$I$88,5,0)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projet'!$B$12,Paramètres!$A$1:$I$88,7,0))</f>
        <v>0</v>
      </c>
      <c r="CI70" s="17">
        <f>IF(ISNA(VLOOKUP(A70,'Données projet'!$A$113:$I$133,6,0)),0%,VLOOKUP(A70,'Données projet'!$A$113:$I$133,6,0)*VLOOKUP('Données projet'!$B$12,Paramètres!$A$1:$I$88,7,0))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projet'!$B$12,Paramètres!$A$1:$I$88,3,0)*0.475*44/12</f>
        <v>#N/A</v>
      </c>
      <c r="CL70" s="23" t="e">
        <f>EXP(-LN(2)/25)*CL69+(1-EXP(-LN(2)/25))/(LN(2)/25)*Calculateur!CG70*Calculateur!CI70*VLOOKUP('Données projet'!$B$12,Paramètres!$A$1:$I$88,3,0)*0.475*44/12</f>
        <v>#N/A</v>
      </c>
      <c r="CM70" s="23" t="e">
        <f>EXP(-LN(2)/2)*CM69+(1-EXP(-LN(2)/2))/(LN(2)/2)*CG70*CJ70*VLOOKUP('Données projet'!$B$12,Paramètres!$A$1:$I$88,3,0)*0.475*44/12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projet'!$B$13,Paramètres!$A$1:$I$88,3,0)*VLOOKUP('Données projet'!$B$13,Paramètres!$A$1:$I$88,5,0)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projet'!$B$13,Paramètres!$A$1:$I$88,7,0))</f>
        <v>0</v>
      </c>
      <c r="DD70" s="17">
        <f>IF(ISNA(VLOOKUP(A70,'Données projet'!$A$139:$I$159,6,0)),0%,VLOOKUP(A70,'Données projet'!$A$139:$I$159,6,0)*VLOOKUP('Données projet'!$B$13,Paramètres!$A$1:$I$88,7,0))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projet'!$B$13,Paramètres!$A$1:$I$88,3,0)*0.475*44/12</f>
        <v>#N/A</v>
      </c>
      <c r="DG70" s="23" t="e">
        <f>EXP(-LN(2)/25)*DG69+(1-EXP(-LN(2)/25))/(LN(2)/25)*Calculateur!DB70*Calculateur!DD70*VLOOKUP('Données projet'!$B$13,Paramètres!$A$1:$I$88,3,0)*0.475*44/12</f>
        <v>#N/A</v>
      </c>
      <c r="DH70" s="23" t="e">
        <f>EXP(-LN(2)/2)*DH69+(1-EXP(-LN(2)/2))/(LN(2)/2)*DB70*DE70*VLOOKUP('Données projet'!$B$13,Paramètres!$A$1:$I$88,3,0)*0.475*44/12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projet'!$B$14,Paramètres!$A$1:$I$88,3,0)*VLOOKUP('Données projet'!$B$14,Paramètres!$A$1:$I$88,5,0)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projet'!$B$14,Paramètres!$A$1:$I$88,7,0))</f>
        <v>0</v>
      </c>
      <c r="DY70" s="17">
        <f>IF(ISNA(VLOOKUP(A70,'Données projet'!$A$165:$I$185,6,0)),0%,VLOOKUP(A70,'Données projet'!$A$165:$I$185,6,0)*VLOOKUP('Données projet'!$B$14,Paramètres!$A$1:$I$88,7,0))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projet'!$B$14,Paramètres!$A$1:$I$88,3,0)*0.475*44/12</f>
        <v>#N/A</v>
      </c>
      <c r="EB70" s="23" t="e">
        <f>EXP(-LN(2)/25)*EB69+(1-EXP(-LN(2)/25))/(LN(2)/25)*Calculateur!DW70*Calculateur!DY70*VLOOKUP('Données projet'!$B$14,Paramètres!$A$1:$I$88,3,0)*0.475*44/12</f>
        <v>#N/A</v>
      </c>
      <c r="EC70" s="23" t="e">
        <f>EXP(-LN(2)/2)*EC69+(1-EXP(-LN(2)/2))/(LN(2)/2)*DW70*DZ70*VLOOKUP('Données projet'!$B$14,Paramètres!$A$1:$I$88,3,0)*0.475*44/12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projet'!$B$15,Paramètres!$A$1:$I$88,3,0)*VLOOKUP('Données projet'!$B$15,Paramètres!$A$1:$I$88,5,0)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projet'!$B$15,Paramètres!$A$1:$I$88,7,0))</f>
        <v>0</v>
      </c>
      <c r="ET70" s="17">
        <f>IF(ISNA(VLOOKUP(A70,'Données projet'!$A$191:$I$211,6,0)),0%,VLOOKUP(A70,'Données projet'!$A$191:$I$211,6,0)*VLOOKUP('Données projet'!$B$15,Paramètres!$A$1:$I$88,7,0))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projet'!$B$15,Paramètres!$A$1:$I$88,3,0)*0.475*44/12</f>
        <v>#N/A</v>
      </c>
      <c r="EW70" s="23" t="e">
        <f>EXP(-LN(2)/25)*EW69+(1-EXP(-LN(2)/25))/(LN(2)/25)*Calculateur!ER70*Calculateur!ET70*VLOOKUP('Données projet'!$B$15,Paramètres!$A$1:$I$88,3,0)*0.475*44/12</f>
        <v>#N/A</v>
      </c>
      <c r="EX70" s="23" t="e">
        <f>EXP(-LN(2)/2)*EX69+(1-EXP(-LN(2)/2))/(LN(2)/2)*ER70*EU70*VLOOKUP('Données projet'!$B$15,Paramètres!$A$1:$I$88,3,0)*0.475*44/12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projet'!$B$16,Paramètres!$A$1:$I$88,3,0)*VLOOKUP('Données projet'!$B$16,Paramètres!$A$1:$I$88,5,0)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projet'!$B$16,Paramètres!$A$1:$I$88,7,0))</f>
        <v>0</v>
      </c>
      <c r="FO70" s="17">
        <f>IF(ISNA(VLOOKUP(A70,'Données projet'!$A$217:$I$237,6,0)),0%,VLOOKUP(A70,'Données projet'!$A$217:$I$237,6,0)*VLOOKUP('Données projet'!$B$16,Paramètres!$A$1:$I$88,7,0))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projet'!$B$16,Paramètres!$A$1:$I$88,3,0)*0.475*44/12</f>
        <v>#N/A</v>
      </c>
      <c r="FR70" s="23" t="e">
        <f>EXP(-LN(2)/25)*FR69+(1-EXP(-LN(2)/25))/(LN(2)/25)*Calculateur!FM70*Calculateur!FO70*VLOOKUP('Données projet'!$B$16,Paramètres!$A$1:$I$88,3,0)*0.475*44/12</f>
        <v>#N/A</v>
      </c>
      <c r="FS70" s="23" t="e">
        <f>EXP(-LN(2)/2)*FS69+(1-EXP(-LN(2)/2))/(LN(2)/2)*FM70*FP70*VLOOKUP('Données projet'!$B$16,Paramètres!$A$1:$I$88,3,0)*0.475*44/12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projet'!$B$17,Paramètres!$A$1:$I$88,3,0)*VLOOKUP('Données projet'!$B$17,Paramètres!$A$1:$I$88,5,0)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projet'!$B$17,Paramètres!$A$1:$I$88,7,0))</f>
        <v>0</v>
      </c>
      <c r="GJ70" s="17">
        <f>IF(ISNA(VLOOKUP(A70,'Données projet'!$A$243:$I$263,6,0)),0%,VLOOKUP(A70,'Données projet'!$A$243:$I$263,6,0)*VLOOKUP('Données projet'!$B$17,Paramètres!$A$1:$I$88,7,0))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projet'!$B$17,Paramètres!$A$1:$I$88,3,0)*0.475*44/12</f>
        <v>#N/A</v>
      </c>
      <c r="GM70" s="23" t="e">
        <f>EXP(-LN(2)/25)*GM69+(1-EXP(-LN(2)/25))/(LN(2)/25)*Calculateur!GH70*Calculateur!GJ70*VLOOKUP('Données projet'!$B$17,Paramètres!$A$1:$I$88,3,0)*0.475*44/12</f>
        <v>#N/A</v>
      </c>
      <c r="GN70" s="23" t="e">
        <f>EXP(-LN(2)/2)*GN69+(1-EXP(-LN(2)/2))/(LN(2)/2)*GH70*GK70*VLOOKUP('Données projet'!$B$17,Paramètres!$A$1:$I$88,3,0)*0.475*44/12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projet'!$B$18,Paramètres!$A$1:$I$88,3,0)*VLOOKUP('Données projet'!$B$18,Paramètres!$A$1:$I$88,5,0)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projet'!$B$18,Paramètres!$A$1:$I$88,7,0))</f>
        <v>0</v>
      </c>
      <c r="HE70" s="17">
        <f>IF(ISNA(VLOOKUP(A70,'Données projet'!$A$269:$I$289,6,0)),0%,VLOOKUP(A70,'Données projet'!$A$269:$I$289,6,0)*VLOOKUP('Données projet'!$B$18,Paramètres!$A$1:$I$88,7,0))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projet'!$B$18,Paramètres!$A$1:$I$88,3,0)*0.475*44/12</f>
        <v>#N/A</v>
      </c>
      <c r="HH70" s="23" t="e">
        <f>EXP(-LN(2)/25)*HH69+(1-EXP(-LN(2)/25))/(LN(2)/25)*Calculateur!HC70*Calculateur!HE70*VLOOKUP('Données projet'!$B$18,Paramètres!$A$1:$I$88,3,0)*0.475*44/12</f>
        <v>#N/A</v>
      </c>
      <c r="HI70" s="23" t="e">
        <f>EXP(-LN(2)/2)*HI69+(1-EXP(-LN(2)/2))/(LN(2)/2)*HC70*HF70*VLOOKUP('Données projet'!$B$18,Paramètres!$A$1:$I$88,3,0)*0.475*44/12</f>
        <v>#N/A</v>
      </c>
      <c r="HJ70" s="24" t="e">
        <f t="shared" si="84"/>
        <v>#N/A</v>
      </c>
    </row>
    <row r="71" spans="1:218" s="5" customFormat="1" x14ac:dyDescent="0.3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4.5474735088646412E-13</v>
      </c>
      <c r="O71" s="14">
        <f>N71*VLOOKUP('Données projet'!$B$9,Paramètres!$A$1:$I$88,3,0)*VLOOKUP('Données projet'!$B$9,Paramètres!$A$1:$I$88,5,0)</f>
        <v>2.5420376914553347E-13</v>
      </c>
      <c r="P71" s="14">
        <f t="shared" si="87"/>
        <v>3.4258699088369875E-12</v>
      </c>
      <c r="Q71" s="22">
        <f t="shared" si="54"/>
        <v>6.4094616558195571E-12</v>
      </c>
      <c r="R71" s="62">
        <f t="shared" si="55"/>
        <v>265.44638412722526</v>
      </c>
      <c r="S71" s="62">
        <f ca="1">AVERAGE(OFFSET($R$3,0,0,'Données projet'!$E$9+1,1))-AVERAGE(OFFSET($H$3,0,0,'Données projet'!$E$9+1,1))</f>
        <v>367.03450586441784</v>
      </c>
      <c r="T71" s="62">
        <f t="shared" si="88"/>
        <v>413.14502442862897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projet'!$B$9,Paramètres!$A$1:$I$88,7,0))</f>
        <v>0</v>
      </c>
      <c r="X71" s="17">
        <f>IF(ISNA(VLOOKUP(A71,'Données projet'!$A$35:$I$55,6,0)),0%,VLOOKUP(A71,'Données projet'!$A$35:$I$55,6,0)*VLOOKUP('Données projet'!$B$9,Paramètres!$A$1:$I$88,7,0))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projet'!$B$9,Paramètres!$A$1:$I$88,3,0)*0.475*44/12</f>
        <v>204.38196091184054</v>
      </c>
      <c r="AA71" s="23">
        <f>EXP(-LN(2)/25)*AA70+(1-EXP(-LN(2)/25))/(LN(2)/25)*Calculateur!V71*Calculateur!X71*VLOOKUP('Données projet'!$B$9,Paramètres!$A$1:$I$88,3,0)*0.475*44/12</f>
        <v>105.90172375412398</v>
      </c>
      <c r="AB71" s="23">
        <f>EXP(-LN(2)/2)*AB70+(1-EXP(-LN(2)/2))/(LN(2)/2)*V71*Y71*VLOOKUP('Données projet'!$B$9,Paramètres!$A$1:$I$88,3,0)*0.475*44/12</f>
        <v>0</v>
      </c>
      <c r="AC71" s="24">
        <f t="shared" si="57"/>
        <v>310.28368466596453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projet'!$B$10,Paramètres!$A$1:$I$88,3,0)*VLOOKUP('Données projet'!$B$10,Paramètres!$A$1:$I$88,5,0)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projet'!$B$10,Paramètres!$A$1:$I$88,7,0))</f>
        <v>0</v>
      </c>
      <c r="AS71" s="17">
        <f>IF(ISNA(VLOOKUP(A71,'Données projet'!$A$61:$I$81,6,0)),0%,VLOOKUP(A71,'Données projet'!$A$61:$I$81,6,0)*VLOOKUP('Données projet'!$B$10,Paramètres!$A$1:$I$88,7,0))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projet'!$B$10,Paramètres!$A$1:$I$88,3,0)*0.475*44/12</f>
        <v>#N/A</v>
      </c>
      <c r="AV71" s="23" t="e">
        <f>EXP(-LN(2)/25)*AV70+(1-EXP(-LN(2)/25))/(LN(2)/25)*Calculateur!AQ71*Calculateur!AS71*VLOOKUP('Données projet'!$B$10,Paramètres!$A$1:$I$88,3,0)*0.475*44/12</f>
        <v>#N/A</v>
      </c>
      <c r="AW71" s="23" t="e">
        <f>EXP(-LN(2)/2)*AW70+(1-EXP(-LN(2)/2))/(LN(2)/2)*AQ71*AT71*VLOOKUP('Données projet'!$B$10,Paramètres!$A$1:$I$88,3,0)*0.475*44/12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projet'!$B$11,Paramètres!$A$1:$I$88,3,0)*VLOOKUP('Données projet'!$B$11,Paramètres!$A$1:$I$88,5,0)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projet'!$B$11,Paramètres!$A$1:$I$88,7,0))</f>
        <v>0</v>
      </c>
      <c r="BN71" s="17">
        <f>IF(ISNA(VLOOKUP(A71,'Données projet'!$A$87:$I$107,6,0)),0%,VLOOKUP(A71,'Données projet'!$A$87:$I$107,6,0)*VLOOKUP('Données projet'!$B$11,Paramètres!$A$1:$I$88,7,0))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projet'!$B$11,Paramètres!$A$1:$I$88,3,0)*0.475*44/12</f>
        <v>#N/A</v>
      </c>
      <c r="BQ71" s="23" t="e">
        <f>EXP(-LN(2)/25)*BQ70+(1-EXP(-LN(2)/25))/(LN(2)/25)*Calculateur!BL71*Calculateur!BN71*VLOOKUP('Données projet'!$B$11,Paramètres!$A$1:$I$88,3,0)*0.475*44/12</f>
        <v>#N/A</v>
      </c>
      <c r="BR71" s="23" t="e">
        <f>EXP(-LN(2)/2)*BR70+(1-EXP(-LN(2)/2))/(LN(2)/2)*BL71*BO71*VLOOKUP('Données projet'!$B$11,Paramètres!$A$1:$I$88,3,0)*0.475*44/12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projet'!$B$12,Paramètres!$A$1:$I$88,3,0)*VLOOKUP('Données projet'!$B$12,Paramètres!$A$1:$I$88,5,0)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projet'!$B$12,Paramètres!$A$1:$I$88,7,0))</f>
        <v>0</v>
      </c>
      <c r="CI71" s="17">
        <f>IF(ISNA(VLOOKUP(A71,'Données projet'!$A$113:$I$133,6,0)),0%,VLOOKUP(A71,'Données projet'!$A$113:$I$133,6,0)*VLOOKUP('Données projet'!$B$12,Paramètres!$A$1:$I$88,7,0))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projet'!$B$12,Paramètres!$A$1:$I$88,3,0)*0.475*44/12</f>
        <v>#N/A</v>
      </c>
      <c r="CL71" s="23" t="e">
        <f>EXP(-LN(2)/25)*CL70+(1-EXP(-LN(2)/25))/(LN(2)/25)*Calculateur!CG71*Calculateur!CI71*VLOOKUP('Données projet'!$B$12,Paramètres!$A$1:$I$88,3,0)*0.475*44/12</f>
        <v>#N/A</v>
      </c>
      <c r="CM71" s="23" t="e">
        <f>EXP(-LN(2)/2)*CM70+(1-EXP(-LN(2)/2))/(LN(2)/2)*CG71*CJ71*VLOOKUP('Données projet'!$B$12,Paramètres!$A$1:$I$88,3,0)*0.475*44/12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projet'!$B$13,Paramètres!$A$1:$I$88,3,0)*VLOOKUP('Données projet'!$B$13,Paramètres!$A$1:$I$88,5,0)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projet'!$B$13,Paramètres!$A$1:$I$88,7,0))</f>
        <v>0</v>
      </c>
      <c r="DD71" s="17">
        <f>IF(ISNA(VLOOKUP(A71,'Données projet'!$A$139:$I$159,6,0)),0%,VLOOKUP(A71,'Données projet'!$A$139:$I$159,6,0)*VLOOKUP('Données projet'!$B$13,Paramètres!$A$1:$I$88,7,0))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projet'!$B$13,Paramètres!$A$1:$I$88,3,0)*0.475*44/12</f>
        <v>#N/A</v>
      </c>
      <c r="DG71" s="23" t="e">
        <f>EXP(-LN(2)/25)*DG70+(1-EXP(-LN(2)/25))/(LN(2)/25)*Calculateur!DB71*Calculateur!DD71*VLOOKUP('Données projet'!$B$13,Paramètres!$A$1:$I$88,3,0)*0.475*44/12</f>
        <v>#N/A</v>
      </c>
      <c r="DH71" s="23" t="e">
        <f>EXP(-LN(2)/2)*DH70+(1-EXP(-LN(2)/2))/(LN(2)/2)*DB71*DE71*VLOOKUP('Données projet'!$B$13,Paramètres!$A$1:$I$88,3,0)*0.475*44/12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projet'!$B$14,Paramètres!$A$1:$I$88,3,0)*VLOOKUP('Données projet'!$B$14,Paramètres!$A$1:$I$88,5,0)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projet'!$B$14,Paramètres!$A$1:$I$88,7,0))</f>
        <v>0</v>
      </c>
      <c r="DY71" s="17">
        <f>IF(ISNA(VLOOKUP(A71,'Données projet'!$A$165:$I$185,6,0)),0%,VLOOKUP(A71,'Données projet'!$A$165:$I$185,6,0)*VLOOKUP('Données projet'!$B$14,Paramètres!$A$1:$I$88,7,0))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projet'!$B$14,Paramètres!$A$1:$I$88,3,0)*0.475*44/12</f>
        <v>#N/A</v>
      </c>
      <c r="EB71" s="23" t="e">
        <f>EXP(-LN(2)/25)*EB70+(1-EXP(-LN(2)/25))/(LN(2)/25)*Calculateur!DW71*Calculateur!DY71*VLOOKUP('Données projet'!$B$14,Paramètres!$A$1:$I$88,3,0)*0.475*44/12</f>
        <v>#N/A</v>
      </c>
      <c r="EC71" s="23" t="e">
        <f>EXP(-LN(2)/2)*EC70+(1-EXP(-LN(2)/2))/(LN(2)/2)*DW71*DZ71*VLOOKUP('Données projet'!$B$14,Paramètres!$A$1:$I$88,3,0)*0.475*44/12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projet'!$B$15,Paramètres!$A$1:$I$88,3,0)*VLOOKUP('Données projet'!$B$15,Paramètres!$A$1:$I$88,5,0)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projet'!$B$15,Paramètres!$A$1:$I$88,7,0))</f>
        <v>0</v>
      </c>
      <c r="ET71" s="17">
        <f>IF(ISNA(VLOOKUP(A71,'Données projet'!$A$191:$I$211,6,0)),0%,VLOOKUP(A71,'Données projet'!$A$191:$I$211,6,0)*VLOOKUP('Données projet'!$B$15,Paramètres!$A$1:$I$88,7,0))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projet'!$B$15,Paramètres!$A$1:$I$88,3,0)*0.475*44/12</f>
        <v>#N/A</v>
      </c>
      <c r="EW71" s="23" t="e">
        <f>EXP(-LN(2)/25)*EW70+(1-EXP(-LN(2)/25))/(LN(2)/25)*Calculateur!ER71*Calculateur!ET71*VLOOKUP('Données projet'!$B$15,Paramètres!$A$1:$I$88,3,0)*0.475*44/12</f>
        <v>#N/A</v>
      </c>
      <c r="EX71" s="23" t="e">
        <f>EXP(-LN(2)/2)*EX70+(1-EXP(-LN(2)/2))/(LN(2)/2)*ER71*EU71*VLOOKUP('Données projet'!$B$15,Paramètres!$A$1:$I$88,3,0)*0.475*44/12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projet'!$B$16,Paramètres!$A$1:$I$88,3,0)*VLOOKUP('Données projet'!$B$16,Paramètres!$A$1:$I$88,5,0)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projet'!$B$16,Paramètres!$A$1:$I$88,7,0))</f>
        <v>0</v>
      </c>
      <c r="FO71" s="17">
        <f>IF(ISNA(VLOOKUP(A71,'Données projet'!$A$217:$I$237,6,0)),0%,VLOOKUP(A71,'Données projet'!$A$217:$I$237,6,0)*VLOOKUP('Données projet'!$B$16,Paramètres!$A$1:$I$88,7,0))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projet'!$B$16,Paramètres!$A$1:$I$88,3,0)*0.475*44/12</f>
        <v>#N/A</v>
      </c>
      <c r="FR71" s="23" t="e">
        <f>EXP(-LN(2)/25)*FR70+(1-EXP(-LN(2)/25))/(LN(2)/25)*Calculateur!FM71*Calculateur!FO71*VLOOKUP('Données projet'!$B$16,Paramètres!$A$1:$I$88,3,0)*0.475*44/12</f>
        <v>#N/A</v>
      </c>
      <c r="FS71" s="23" t="e">
        <f>EXP(-LN(2)/2)*FS70+(1-EXP(-LN(2)/2))/(LN(2)/2)*FM71*FP71*VLOOKUP('Données projet'!$B$16,Paramètres!$A$1:$I$88,3,0)*0.475*44/12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projet'!$B$17,Paramètres!$A$1:$I$88,3,0)*VLOOKUP('Données projet'!$B$17,Paramètres!$A$1:$I$88,5,0)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projet'!$B$17,Paramètres!$A$1:$I$88,7,0))</f>
        <v>0</v>
      </c>
      <c r="GJ71" s="17">
        <f>IF(ISNA(VLOOKUP(A71,'Données projet'!$A$243:$I$263,6,0)),0%,VLOOKUP(A71,'Données projet'!$A$243:$I$263,6,0)*VLOOKUP('Données projet'!$B$17,Paramètres!$A$1:$I$88,7,0))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projet'!$B$17,Paramètres!$A$1:$I$88,3,0)*0.475*44/12</f>
        <v>#N/A</v>
      </c>
      <c r="GM71" s="23" t="e">
        <f>EXP(-LN(2)/25)*GM70+(1-EXP(-LN(2)/25))/(LN(2)/25)*Calculateur!GH71*Calculateur!GJ71*VLOOKUP('Données projet'!$B$17,Paramètres!$A$1:$I$88,3,0)*0.475*44/12</f>
        <v>#N/A</v>
      </c>
      <c r="GN71" s="23" t="e">
        <f>EXP(-LN(2)/2)*GN70+(1-EXP(-LN(2)/2))/(LN(2)/2)*GH71*GK71*VLOOKUP('Données projet'!$B$17,Paramètres!$A$1:$I$88,3,0)*0.475*44/12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projet'!$B$18,Paramètres!$A$1:$I$88,3,0)*VLOOKUP('Données projet'!$B$18,Paramètres!$A$1:$I$88,5,0)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projet'!$B$18,Paramètres!$A$1:$I$88,7,0))</f>
        <v>0</v>
      </c>
      <c r="HE71" s="17">
        <f>IF(ISNA(VLOOKUP(A71,'Données projet'!$A$269:$I$289,6,0)),0%,VLOOKUP(A71,'Données projet'!$A$269:$I$289,6,0)*VLOOKUP('Données projet'!$B$18,Paramètres!$A$1:$I$88,7,0))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projet'!$B$18,Paramètres!$A$1:$I$88,3,0)*0.475*44/12</f>
        <v>#N/A</v>
      </c>
      <c r="HH71" s="23" t="e">
        <f>EXP(-LN(2)/25)*HH70+(1-EXP(-LN(2)/25))/(LN(2)/25)*Calculateur!HC71*Calculateur!HE71*VLOOKUP('Données projet'!$B$18,Paramètres!$A$1:$I$88,3,0)*0.475*44/12</f>
        <v>#N/A</v>
      </c>
      <c r="HI71" s="23" t="e">
        <f>EXP(-LN(2)/2)*HI70+(1-EXP(-LN(2)/2))/(LN(2)/2)*HC71*HF71*VLOOKUP('Données projet'!$B$18,Paramètres!$A$1:$I$88,3,0)*0.475*44/12</f>
        <v>#N/A</v>
      </c>
      <c r="HJ71" s="24" t="e">
        <f t="shared" si="84"/>
        <v>#N/A</v>
      </c>
    </row>
    <row r="72" spans="1:218" s="5" customFormat="1" x14ac:dyDescent="0.3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4.5474735088646412E-13</v>
      </c>
      <c r="O72" s="14">
        <f>N72*VLOOKUP('Données projet'!$B$9,Paramètres!$A$1:$I$88,3,0)*VLOOKUP('Données projet'!$B$9,Paramètres!$A$1:$I$88,5,0)</f>
        <v>2.5420376914553347E-13</v>
      </c>
      <c r="P72" s="14">
        <f t="shared" si="87"/>
        <v>3.4258699088369875E-12</v>
      </c>
      <c r="Q72" s="22">
        <f t="shared" si="54"/>
        <v>6.4094616558195571E-12</v>
      </c>
      <c r="R72" s="62">
        <f t="shared" si="55"/>
        <v>265.93016035007298</v>
      </c>
      <c r="S72" s="62">
        <f ca="1">AVERAGE(OFFSET($R$3,0,0,'Données projet'!$E$9+1,1))-AVERAGE(OFFSET($H$3,0,0,'Données projet'!$E$9+1,1))</f>
        <v>367.03450586441784</v>
      </c>
      <c r="T72" s="62">
        <f t="shared" si="88"/>
        <v>413.14502442862897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projet'!$B$9,Paramètres!$A$1:$I$88,7,0))</f>
        <v>0</v>
      </c>
      <c r="X72" s="17">
        <f>IF(ISNA(VLOOKUP(A72,'Données projet'!$A$35:$I$55,6,0)),0%,VLOOKUP(A72,'Données projet'!$A$35:$I$55,6,0)*VLOOKUP('Données projet'!$B$9,Paramètres!$A$1:$I$88,7,0))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projet'!$B$9,Paramètres!$A$1:$I$88,3,0)*0.475*44/12</f>
        <v>200.37415531904628</v>
      </c>
      <c r="AA72" s="23">
        <f>EXP(-LN(2)/25)*AA71+(1-EXP(-LN(2)/25))/(LN(2)/25)*Calculateur!V72*Calculateur!X72*VLOOKUP('Données projet'!$B$9,Paramètres!$A$1:$I$88,3,0)*0.475*44/12</f>
        <v>103.00583554893785</v>
      </c>
      <c r="AB72" s="23">
        <f>EXP(-LN(2)/2)*AB71+(1-EXP(-LN(2)/2))/(LN(2)/2)*V72*Y72*VLOOKUP('Données projet'!$B$9,Paramètres!$A$1:$I$88,3,0)*0.475*44/12</f>
        <v>0</v>
      </c>
      <c r="AC72" s="24">
        <f t="shared" si="57"/>
        <v>303.37999086798413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projet'!$B$10,Paramètres!$A$1:$I$88,3,0)*VLOOKUP('Données projet'!$B$10,Paramètres!$A$1:$I$88,5,0)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projet'!$B$10,Paramètres!$A$1:$I$88,7,0))</f>
        <v>0</v>
      </c>
      <c r="AS72" s="17">
        <f>IF(ISNA(VLOOKUP(A72,'Données projet'!$A$61:$I$81,6,0)),0%,VLOOKUP(A72,'Données projet'!$A$61:$I$81,6,0)*VLOOKUP('Données projet'!$B$10,Paramètres!$A$1:$I$88,7,0))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projet'!$B$10,Paramètres!$A$1:$I$88,3,0)*0.475*44/12</f>
        <v>#N/A</v>
      </c>
      <c r="AV72" s="23" t="e">
        <f>EXP(-LN(2)/25)*AV71+(1-EXP(-LN(2)/25))/(LN(2)/25)*Calculateur!AQ72*Calculateur!AS72*VLOOKUP('Données projet'!$B$10,Paramètres!$A$1:$I$88,3,0)*0.475*44/12</f>
        <v>#N/A</v>
      </c>
      <c r="AW72" s="23" t="e">
        <f>EXP(-LN(2)/2)*AW71+(1-EXP(-LN(2)/2))/(LN(2)/2)*AQ72*AT72*VLOOKUP('Données projet'!$B$10,Paramètres!$A$1:$I$88,3,0)*0.475*44/12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projet'!$B$11,Paramètres!$A$1:$I$88,3,0)*VLOOKUP('Données projet'!$B$11,Paramètres!$A$1:$I$88,5,0)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projet'!$B$11,Paramètres!$A$1:$I$88,7,0))</f>
        <v>0</v>
      </c>
      <c r="BN72" s="17">
        <f>IF(ISNA(VLOOKUP(A72,'Données projet'!$A$87:$I$107,6,0)),0%,VLOOKUP(A72,'Données projet'!$A$87:$I$107,6,0)*VLOOKUP('Données projet'!$B$11,Paramètres!$A$1:$I$88,7,0))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projet'!$B$11,Paramètres!$A$1:$I$88,3,0)*0.475*44/12</f>
        <v>#N/A</v>
      </c>
      <c r="BQ72" s="23" t="e">
        <f>EXP(-LN(2)/25)*BQ71+(1-EXP(-LN(2)/25))/(LN(2)/25)*Calculateur!BL72*Calculateur!BN72*VLOOKUP('Données projet'!$B$11,Paramètres!$A$1:$I$88,3,0)*0.475*44/12</f>
        <v>#N/A</v>
      </c>
      <c r="BR72" s="23" t="e">
        <f>EXP(-LN(2)/2)*BR71+(1-EXP(-LN(2)/2))/(LN(2)/2)*BL72*BO72*VLOOKUP('Données projet'!$B$11,Paramètres!$A$1:$I$88,3,0)*0.475*44/12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projet'!$B$12,Paramètres!$A$1:$I$88,3,0)*VLOOKUP('Données projet'!$B$12,Paramètres!$A$1:$I$88,5,0)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projet'!$B$12,Paramètres!$A$1:$I$88,7,0))</f>
        <v>0</v>
      </c>
      <c r="CI72" s="17">
        <f>IF(ISNA(VLOOKUP(A72,'Données projet'!$A$113:$I$133,6,0)),0%,VLOOKUP(A72,'Données projet'!$A$113:$I$133,6,0)*VLOOKUP('Données projet'!$B$12,Paramètres!$A$1:$I$88,7,0))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projet'!$B$12,Paramètres!$A$1:$I$88,3,0)*0.475*44/12</f>
        <v>#N/A</v>
      </c>
      <c r="CL72" s="23" t="e">
        <f>EXP(-LN(2)/25)*CL71+(1-EXP(-LN(2)/25))/(LN(2)/25)*Calculateur!CG72*Calculateur!CI72*VLOOKUP('Données projet'!$B$12,Paramètres!$A$1:$I$88,3,0)*0.475*44/12</f>
        <v>#N/A</v>
      </c>
      <c r="CM72" s="23" t="e">
        <f>EXP(-LN(2)/2)*CM71+(1-EXP(-LN(2)/2))/(LN(2)/2)*CG72*CJ72*VLOOKUP('Données projet'!$B$12,Paramètres!$A$1:$I$88,3,0)*0.475*44/12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projet'!$B$13,Paramètres!$A$1:$I$88,3,0)*VLOOKUP('Données projet'!$B$13,Paramètres!$A$1:$I$88,5,0)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projet'!$B$13,Paramètres!$A$1:$I$88,7,0))</f>
        <v>0</v>
      </c>
      <c r="DD72" s="17">
        <f>IF(ISNA(VLOOKUP(A72,'Données projet'!$A$139:$I$159,6,0)),0%,VLOOKUP(A72,'Données projet'!$A$139:$I$159,6,0)*VLOOKUP('Données projet'!$B$13,Paramètres!$A$1:$I$88,7,0))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projet'!$B$13,Paramètres!$A$1:$I$88,3,0)*0.475*44/12</f>
        <v>#N/A</v>
      </c>
      <c r="DG72" s="23" t="e">
        <f>EXP(-LN(2)/25)*DG71+(1-EXP(-LN(2)/25))/(LN(2)/25)*Calculateur!DB72*Calculateur!DD72*VLOOKUP('Données projet'!$B$13,Paramètres!$A$1:$I$88,3,0)*0.475*44/12</f>
        <v>#N/A</v>
      </c>
      <c r="DH72" s="23" t="e">
        <f>EXP(-LN(2)/2)*DH71+(1-EXP(-LN(2)/2))/(LN(2)/2)*DB72*DE72*VLOOKUP('Données projet'!$B$13,Paramètres!$A$1:$I$88,3,0)*0.475*44/12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projet'!$B$14,Paramètres!$A$1:$I$88,3,0)*VLOOKUP('Données projet'!$B$14,Paramètres!$A$1:$I$88,5,0)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projet'!$B$14,Paramètres!$A$1:$I$88,7,0))</f>
        <v>0</v>
      </c>
      <c r="DY72" s="17">
        <f>IF(ISNA(VLOOKUP(A72,'Données projet'!$A$165:$I$185,6,0)),0%,VLOOKUP(A72,'Données projet'!$A$165:$I$185,6,0)*VLOOKUP('Données projet'!$B$14,Paramètres!$A$1:$I$88,7,0))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projet'!$B$14,Paramètres!$A$1:$I$88,3,0)*0.475*44/12</f>
        <v>#N/A</v>
      </c>
      <c r="EB72" s="23" t="e">
        <f>EXP(-LN(2)/25)*EB71+(1-EXP(-LN(2)/25))/(LN(2)/25)*Calculateur!DW72*Calculateur!DY72*VLOOKUP('Données projet'!$B$14,Paramètres!$A$1:$I$88,3,0)*0.475*44/12</f>
        <v>#N/A</v>
      </c>
      <c r="EC72" s="23" t="e">
        <f>EXP(-LN(2)/2)*EC71+(1-EXP(-LN(2)/2))/(LN(2)/2)*DW72*DZ72*VLOOKUP('Données projet'!$B$14,Paramètres!$A$1:$I$88,3,0)*0.475*44/12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projet'!$B$15,Paramètres!$A$1:$I$88,3,0)*VLOOKUP('Données projet'!$B$15,Paramètres!$A$1:$I$88,5,0)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projet'!$B$15,Paramètres!$A$1:$I$88,7,0))</f>
        <v>0</v>
      </c>
      <c r="ET72" s="17">
        <f>IF(ISNA(VLOOKUP(A72,'Données projet'!$A$191:$I$211,6,0)),0%,VLOOKUP(A72,'Données projet'!$A$191:$I$211,6,0)*VLOOKUP('Données projet'!$B$15,Paramètres!$A$1:$I$88,7,0))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projet'!$B$15,Paramètres!$A$1:$I$88,3,0)*0.475*44/12</f>
        <v>#N/A</v>
      </c>
      <c r="EW72" s="23" t="e">
        <f>EXP(-LN(2)/25)*EW71+(1-EXP(-LN(2)/25))/(LN(2)/25)*Calculateur!ER72*Calculateur!ET72*VLOOKUP('Données projet'!$B$15,Paramètres!$A$1:$I$88,3,0)*0.475*44/12</f>
        <v>#N/A</v>
      </c>
      <c r="EX72" s="23" t="e">
        <f>EXP(-LN(2)/2)*EX71+(1-EXP(-LN(2)/2))/(LN(2)/2)*ER72*EU72*VLOOKUP('Données projet'!$B$15,Paramètres!$A$1:$I$88,3,0)*0.475*44/12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projet'!$B$16,Paramètres!$A$1:$I$88,3,0)*VLOOKUP('Données projet'!$B$16,Paramètres!$A$1:$I$88,5,0)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projet'!$B$16,Paramètres!$A$1:$I$88,7,0))</f>
        <v>0</v>
      </c>
      <c r="FO72" s="17">
        <f>IF(ISNA(VLOOKUP(A72,'Données projet'!$A$217:$I$237,6,0)),0%,VLOOKUP(A72,'Données projet'!$A$217:$I$237,6,0)*VLOOKUP('Données projet'!$B$16,Paramètres!$A$1:$I$88,7,0))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projet'!$B$16,Paramètres!$A$1:$I$88,3,0)*0.475*44/12</f>
        <v>#N/A</v>
      </c>
      <c r="FR72" s="23" t="e">
        <f>EXP(-LN(2)/25)*FR71+(1-EXP(-LN(2)/25))/(LN(2)/25)*Calculateur!FM72*Calculateur!FO72*VLOOKUP('Données projet'!$B$16,Paramètres!$A$1:$I$88,3,0)*0.475*44/12</f>
        <v>#N/A</v>
      </c>
      <c r="FS72" s="23" t="e">
        <f>EXP(-LN(2)/2)*FS71+(1-EXP(-LN(2)/2))/(LN(2)/2)*FM72*FP72*VLOOKUP('Données projet'!$B$16,Paramètres!$A$1:$I$88,3,0)*0.475*44/12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projet'!$B$17,Paramètres!$A$1:$I$88,3,0)*VLOOKUP('Données projet'!$B$17,Paramètres!$A$1:$I$88,5,0)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projet'!$B$17,Paramètres!$A$1:$I$88,7,0))</f>
        <v>0</v>
      </c>
      <c r="GJ72" s="17">
        <f>IF(ISNA(VLOOKUP(A72,'Données projet'!$A$243:$I$263,6,0)),0%,VLOOKUP(A72,'Données projet'!$A$243:$I$263,6,0)*VLOOKUP('Données projet'!$B$17,Paramètres!$A$1:$I$88,7,0))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projet'!$B$17,Paramètres!$A$1:$I$88,3,0)*0.475*44/12</f>
        <v>#N/A</v>
      </c>
      <c r="GM72" s="23" t="e">
        <f>EXP(-LN(2)/25)*GM71+(1-EXP(-LN(2)/25))/(LN(2)/25)*Calculateur!GH72*Calculateur!GJ72*VLOOKUP('Données projet'!$B$17,Paramètres!$A$1:$I$88,3,0)*0.475*44/12</f>
        <v>#N/A</v>
      </c>
      <c r="GN72" s="23" t="e">
        <f>EXP(-LN(2)/2)*GN71+(1-EXP(-LN(2)/2))/(LN(2)/2)*GH72*GK72*VLOOKUP('Données projet'!$B$17,Paramètres!$A$1:$I$88,3,0)*0.475*44/12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projet'!$B$18,Paramètres!$A$1:$I$88,3,0)*VLOOKUP('Données projet'!$B$18,Paramètres!$A$1:$I$88,5,0)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projet'!$B$18,Paramètres!$A$1:$I$88,7,0))</f>
        <v>0</v>
      </c>
      <c r="HE72" s="17">
        <f>IF(ISNA(VLOOKUP(A72,'Données projet'!$A$269:$I$289,6,0)),0%,VLOOKUP(A72,'Données projet'!$A$269:$I$289,6,0)*VLOOKUP('Données projet'!$B$18,Paramètres!$A$1:$I$88,7,0))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projet'!$B$18,Paramètres!$A$1:$I$88,3,0)*0.475*44/12</f>
        <v>#N/A</v>
      </c>
      <c r="HH72" s="23" t="e">
        <f>EXP(-LN(2)/25)*HH71+(1-EXP(-LN(2)/25))/(LN(2)/25)*Calculateur!HC72*Calculateur!HE72*VLOOKUP('Données projet'!$B$18,Paramètres!$A$1:$I$88,3,0)*0.475*44/12</f>
        <v>#N/A</v>
      </c>
      <c r="HI72" s="23" t="e">
        <f>EXP(-LN(2)/2)*HI71+(1-EXP(-LN(2)/2))/(LN(2)/2)*HC72*HF72*VLOOKUP('Données projet'!$B$18,Paramètres!$A$1:$I$88,3,0)*0.475*44/12</f>
        <v>#N/A</v>
      </c>
      <c r="HJ72" s="24" t="e">
        <f t="shared" si="84"/>
        <v>#N/A</v>
      </c>
    </row>
    <row r="73" spans="1:218" s="5" customFormat="1" x14ac:dyDescent="0.3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4.5474735088646412E-13</v>
      </c>
      <c r="O73" s="14">
        <f>N73*VLOOKUP('Données projet'!$B$9,Paramètres!$A$1:$I$88,3,0)*VLOOKUP('Données projet'!$B$9,Paramètres!$A$1:$I$88,5,0)</f>
        <v>2.5420376914553347E-13</v>
      </c>
      <c r="P73" s="14">
        <f t="shared" si="87"/>
        <v>3.4258699088369875E-12</v>
      </c>
      <c r="Q73" s="22">
        <f t="shared" si="54"/>
        <v>6.4094616558195571E-12</v>
      </c>
      <c r="R73" s="62">
        <f t="shared" si="55"/>
        <v>266.40554413701591</v>
      </c>
      <c r="S73" s="62">
        <f ca="1">AVERAGE(OFFSET($R$3,0,0,'Données projet'!$E$9+1,1))-AVERAGE(OFFSET($H$3,0,0,'Données projet'!$E$9+1,1))</f>
        <v>367.03450586441784</v>
      </c>
      <c r="T73" s="62">
        <f t="shared" si="88"/>
        <v>413.14502442862897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projet'!$B$9,Paramètres!$A$1:$I$88,7,0))</f>
        <v>0</v>
      </c>
      <c r="X73" s="17">
        <f>IF(ISNA(VLOOKUP(A73,'Données projet'!$A$35:$I$55,6,0)),0%,VLOOKUP(A73,'Données projet'!$A$35:$I$55,6,0)*VLOOKUP('Données projet'!$B$9,Paramètres!$A$1:$I$88,7,0))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projet'!$B$9,Paramètres!$A$1:$I$88,3,0)*0.475*44/12</f>
        <v>196.44494034940669</v>
      </c>
      <c r="AA73" s="23">
        <f>EXP(-LN(2)/25)*AA72+(1-EXP(-LN(2)/25))/(LN(2)/25)*Calculateur!V73*Calculateur!X73*VLOOKUP('Données projet'!$B$9,Paramètres!$A$1:$I$88,3,0)*0.475*44/12</f>
        <v>100.18913555901068</v>
      </c>
      <c r="AB73" s="23">
        <f>EXP(-LN(2)/2)*AB72+(1-EXP(-LN(2)/2))/(LN(2)/2)*V73*Y73*VLOOKUP('Données projet'!$B$9,Paramètres!$A$1:$I$88,3,0)*0.475*44/12</f>
        <v>0</v>
      </c>
      <c r="AC73" s="24">
        <f t="shared" si="57"/>
        <v>296.63407590841734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projet'!$B$10,Paramètres!$A$1:$I$88,3,0)*VLOOKUP('Données projet'!$B$10,Paramètres!$A$1:$I$88,5,0)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projet'!$B$10,Paramètres!$A$1:$I$88,7,0))</f>
        <v>0</v>
      </c>
      <c r="AS73" s="17">
        <f>IF(ISNA(VLOOKUP(A73,'Données projet'!$A$61:$I$81,6,0)),0%,VLOOKUP(A73,'Données projet'!$A$61:$I$81,6,0)*VLOOKUP('Données projet'!$B$10,Paramètres!$A$1:$I$88,7,0))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projet'!$B$10,Paramètres!$A$1:$I$88,3,0)*0.475*44/12</f>
        <v>#N/A</v>
      </c>
      <c r="AV73" s="23" t="e">
        <f>EXP(-LN(2)/25)*AV72+(1-EXP(-LN(2)/25))/(LN(2)/25)*Calculateur!AQ73*Calculateur!AS73*VLOOKUP('Données projet'!$B$10,Paramètres!$A$1:$I$88,3,0)*0.475*44/12</f>
        <v>#N/A</v>
      </c>
      <c r="AW73" s="23" t="e">
        <f>EXP(-LN(2)/2)*AW72+(1-EXP(-LN(2)/2))/(LN(2)/2)*AQ73*AT73*VLOOKUP('Données projet'!$B$10,Paramètres!$A$1:$I$88,3,0)*0.475*44/12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projet'!$B$11,Paramètres!$A$1:$I$88,3,0)*VLOOKUP('Données projet'!$B$11,Paramètres!$A$1:$I$88,5,0)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projet'!$B$11,Paramètres!$A$1:$I$88,7,0))</f>
        <v>0</v>
      </c>
      <c r="BN73" s="17">
        <f>IF(ISNA(VLOOKUP(A73,'Données projet'!$A$87:$I$107,6,0)),0%,VLOOKUP(A73,'Données projet'!$A$87:$I$107,6,0)*VLOOKUP('Données projet'!$B$11,Paramètres!$A$1:$I$88,7,0))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projet'!$B$11,Paramètres!$A$1:$I$88,3,0)*0.475*44/12</f>
        <v>#N/A</v>
      </c>
      <c r="BQ73" s="23" t="e">
        <f>EXP(-LN(2)/25)*BQ72+(1-EXP(-LN(2)/25))/(LN(2)/25)*Calculateur!BL73*Calculateur!BN73*VLOOKUP('Données projet'!$B$11,Paramètres!$A$1:$I$88,3,0)*0.475*44/12</f>
        <v>#N/A</v>
      </c>
      <c r="BR73" s="23" t="e">
        <f>EXP(-LN(2)/2)*BR72+(1-EXP(-LN(2)/2))/(LN(2)/2)*BL73*BO73*VLOOKUP('Données projet'!$B$11,Paramètres!$A$1:$I$88,3,0)*0.475*44/12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projet'!$B$12,Paramètres!$A$1:$I$88,3,0)*VLOOKUP('Données projet'!$B$12,Paramètres!$A$1:$I$88,5,0)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projet'!$B$12,Paramètres!$A$1:$I$88,7,0))</f>
        <v>0</v>
      </c>
      <c r="CI73" s="17">
        <f>IF(ISNA(VLOOKUP(A73,'Données projet'!$A$113:$I$133,6,0)),0%,VLOOKUP(A73,'Données projet'!$A$113:$I$133,6,0)*VLOOKUP('Données projet'!$B$12,Paramètres!$A$1:$I$88,7,0))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projet'!$B$12,Paramètres!$A$1:$I$88,3,0)*0.475*44/12</f>
        <v>#N/A</v>
      </c>
      <c r="CL73" s="23" t="e">
        <f>EXP(-LN(2)/25)*CL72+(1-EXP(-LN(2)/25))/(LN(2)/25)*Calculateur!CG73*Calculateur!CI73*VLOOKUP('Données projet'!$B$12,Paramètres!$A$1:$I$88,3,0)*0.475*44/12</f>
        <v>#N/A</v>
      </c>
      <c r="CM73" s="23" t="e">
        <f>EXP(-LN(2)/2)*CM72+(1-EXP(-LN(2)/2))/(LN(2)/2)*CG73*CJ73*VLOOKUP('Données projet'!$B$12,Paramètres!$A$1:$I$88,3,0)*0.475*44/12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projet'!$B$13,Paramètres!$A$1:$I$88,3,0)*VLOOKUP('Données projet'!$B$13,Paramètres!$A$1:$I$88,5,0)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projet'!$B$13,Paramètres!$A$1:$I$88,7,0))</f>
        <v>0</v>
      </c>
      <c r="DD73" s="17">
        <f>IF(ISNA(VLOOKUP(A73,'Données projet'!$A$139:$I$159,6,0)),0%,VLOOKUP(A73,'Données projet'!$A$139:$I$159,6,0)*VLOOKUP('Données projet'!$B$13,Paramètres!$A$1:$I$88,7,0))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projet'!$B$13,Paramètres!$A$1:$I$88,3,0)*0.475*44/12</f>
        <v>#N/A</v>
      </c>
      <c r="DG73" s="23" t="e">
        <f>EXP(-LN(2)/25)*DG72+(1-EXP(-LN(2)/25))/(LN(2)/25)*Calculateur!DB73*Calculateur!DD73*VLOOKUP('Données projet'!$B$13,Paramètres!$A$1:$I$88,3,0)*0.475*44/12</f>
        <v>#N/A</v>
      </c>
      <c r="DH73" s="23" t="e">
        <f>EXP(-LN(2)/2)*DH72+(1-EXP(-LN(2)/2))/(LN(2)/2)*DB73*DE73*VLOOKUP('Données projet'!$B$13,Paramètres!$A$1:$I$88,3,0)*0.475*44/12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projet'!$B$14,Paramètres!$A$1:$I$88,3,0)*VLOOKUP('Données projet'!$B$14,Paramètres!$A$1:$I$88,5,0)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projet'!$B$14,Paramètres!$A$1:$I$88,7,0))</f>
        <v>0</v>
      </c>
      <c r="DY73" s="17">
        <f>IF(ISNA(VLOOKUP(A73,'Données projet'!$A$165:$I$185,6,0)),0%,VLOOKUP(A73,'Données projet'!$A$165:$I$185,6,0)*VLOOKUP('Données projet'!$B$14,Paramètres!$A$1:$I$88,7,0))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projet'!$B$14,Paramètres!$A$1:$I$88,3,0)*0.475*44/12</f>
        <v>#N/A</v>
      </c>
      <c r="EB73" s="23" t="e">
        <f>EXP(-LN(2)/25)*EB72+(1-EXP(-LN(2)/25))/(LN(2)/25)*Calculateur!DW73*Calculateur!DY73*VLOOKUP('Données projet'!$B$14,Paramètres!$A$1:$I$88,3,0)*0.475*44/12</f>
        <v>#N/A</v>
      </c>
      <c r="EC73" s="23" t="e">
        <f>EXP(-LN(2)/2)*EC72+(1-EXP(-LN(2)/2))/(LN(2)/2)*DW73*DZ73*VLOOKUP('Données projet'!$B$14,Paramètres!$A$1:$I$88,3,0)*0.475*44/12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projet'!$B$15,Paramètres!$A$1:$I$88,3,0)*VLOOKUP('Données projet'!$B$15,Paramètres!$A$1:$I$88,5,0)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projet'!$B$15,Paramètres!$A$1:$I$88,7,0))</f>
        <v>0</v>
      </c>
      <c r="ET73" s="17">
        <f>IF(ISNA(VLOOKUP(A73,'Données projet'!$A$191:$I$211,6,0)),0%,VLOOKUP(A73,'Données projet'!$A$191:$I$211,6,0)*VLOOKUP('Données projet'!$B$15,Paramètres!$A$1:$I$88,7,0))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projet'!$B$15,Paramètres!$A$1:$I$88,3,0)*0.475*44/12</f>
        <v>#N/A</v>
      </c>
      <c r="EW73" s="23" t="e">
        <f>EXP(-LN(2)/25)*EW72+(1-EXP(-LN(2)/25))/(LN(2)/25)*Calculateur!ER73*Calculateur!ET73*VLOOKUP('Données projet'!$B$15,Paramètres!$A$1:$I$88,3,0)*0.475*44/12</f>
        <v>#N/A</v>
      </c>
      <c r="EX73" s="23" t="e">
        <f>EXP(-LN(2)/2)*EX72+(1-EXP(-LN(2)/2))/(LN(2)/2)*ER73*EU73*VLOOKUP('Données projet'!$B$15,Paramètres!$A$1:$I$88,3,0)*0.475*44/12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projet'!$B$16,Paramètres!$A$1:$I$88,3,0)*VLOOKUP('Données projet'!$B$16,Paramètres!$A$1:$I$88,5,0)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projet'!$B$16,Paramètres!$A$1:$I$88,7,0))</f>
        <v>0</v>
      </c>
      <c r="FO73" s="17">
        <f>IF(ISNA(VLOOKUP(A73,'Données projet'!$A$217:$I$237,6,0)),0%,VLOOKUP(A73,'Données projet'!$A$217:$I$237,6,0)*VLOOKUP('Données projet'!$B$16,Paramètres!$A$1:$I$88,7,0))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projet'!$B$16,Paramètres!$A$1:$I$88,3,0)*0.475*44/12</f>
        <v>#N/A</v>
      </c>
      <c r="FR73" s="23" t="e">
        <f>EXP(-LN(2)/25)*FR72+(1-EXP(-LN(2)/25))/(LN(2)/25)*Calculateur!FM73*Calculateur!FO73*VLOOKUP('Données projet'!$B$16,Paramètres!$A$1:$I$88,3,0)*0.475*44/12</f>
        <v>#N/A</v>
      </c>
      <c r="FS73" s="23" t="e">
        <f>EXP(-LN(2)/2)*FS72+(1-EXP(-LN(2)/2))/(LN(2)/2)*FM73*FP73*VLOOKUP('Données projet'!$B$16,Paramètres!$A$1:$I$88,3,0)*0.475*44/12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projet'!$B$17,Paramètres!$A$1:$I$88,3,0)*VLOOKUP('Données projet'!$B$17,Paramètres!$A$1:$I$88,5,0)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projet'!$B$17,Paramètres!$A$1:$I$88,7,0))</f>
        <v>0</v>
      </c>
      <c r="GJ73" s="17">
        <f>IF(ISNA(VLOOKUP(A73,'Données projet'!$A$243:$I$263,6,0)),0%,VLOOKUP(A73,'Données projet'!$A$243:$I$263,6,0)*VLOOKUP('Données projet'!$B$17,Paramètres!$A$1:$I$88,7,0))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projet'!$B$17,Paramètres!$A$1:$I$88,3,0)*0.475*44/12</f>
        <v>#N/A</v>
      </c>
      <c r="GM73" s="23" t="e">
        <f>EXP(-LN(2)/25)*GM72+(1-EXP(-LN(2)/25))/(LN(2)/25)*Calculateur!GH73*Calculateur!GJ73*VLOOKUP('Données projet'!$B$17,Paramètres!$A$1:$I$88,3,0)*0.475*44/12</f>
        <v>#N/A</v>
      </c>
      <c r="GN73" s="23" t="e">
        <f>EXP(-LN(2)/2)*GN72+(1-EXP(-LN(2)/2))/(LN(2)/2)*GH73*GK73*VLOOKUP('Données projet'!$B$17,Paramètres!$A$1:$I$88,3,0)*0.475*44/12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projet'!$B$18,Paramètres!$A$1:$I$88,3,0)*VLOOKUP('Données projet'!$B$18,Paramètres!$A$1:$I$88,5,0)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projet'!$B$18,Paramètres!$A$1:$I$88,7,0))</f>
        <v>0</v>
      </c>
      <c r="HE73" s="17">
        <f>IF(ISNA(VLOOKUP(A73,'Données projet'!$A$269:$I$289,6,0)),0%,VLOOKUP(A73,'Données projet'!$A$269:$I$289,6,0)*VLOOKUP('Données projet'!$B$18,Paramètres!$A$1:$I$88,7,0))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projet'!$B$18,Paramètres!$A$1:$I$88,3,0)*0.475*44/12</f>
        <v>#N/A</v>
      </c>
      <c r="HH73" s="23" t="e">
        <f>EXP(-LN(2)/25)*HH72+(1-EXP(-LN(2)/25))/(LN(2)/25)*Calculateur!HC73*Calculateur!HE73*VLOOKUP('Données projet'!$B$18,Paramètres!$A$1:$I$88,3,0)*0.475*44/12</f>
        <v>#N/A</v>
      </c>
      <c r="HI73" s="23" t="e">
        <f>EXP(-LN(2)/2)*HI72+(1-EXP(-LN(2)/2))/(LN(2)/2)*HC73*HF73*VLOOKUP('Données projet'!$B$18,Paramètres!$A$1:$I$88,3,0)*0.475*44/12</f>
        <v>#N/A</v>
      </c>
      <c r="HJ73" s="24" t="e">
        <f t="shared" si="84"/>
        <v>#N/A</v>
      </c>
    </row>
    <row r="74" spans="1:218" s="5" customFormat="1" x14ac:dyDescent="0.3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4.5474735088646412E-13</v>
      </c>
      <c r="O74" s="14">
        <f>N74*VLOOKUP('Données projet'!$B$9,Paramètres!$A$1:$I$88,3,0)*VLOOKUP('Données projet'!$B$9,Paramètres!$A$1:$I$88,5,0)</f>
        <v>2.5420376914553347E-13</v>
      </c>
      <c r="P74" s="14">
        <f t="shared" si="87"/>
        <v>3.4258699088369875E-12</v>
      </c>
      <c r="Q74" s="22">
        <f t="shared" si="54"/>
        <v>6.4094616558195571E-12</v>
      </c>
      <c r="R74" s="62">
        <f t="shared" si="55"/>
        <v>266.87268107805437</v>
      </c>
      <c r="S74" s="62">
        <f ca="1">AVERAGE(OFFSET($R$3,0,0,'Données projet'!$E$9+1,1))-AVERAGE(OFFSET($H$3,0,0,'Données projet'!$E$9+1,1))</f>
        <v>367.03450586441784</v>
      </c>
      <c r="T74" s="62">
        <f t="shared" si="88"/>
        <v>413.14502442862897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projet'!$B$9,Paramètres!$A$1:$I$88,7,0))</f>
        <v>0</v>
      </c>
      <c r="X74" s="17">
        <f>IF(ISNA(VLOOKUP(A74,'Données projet'!$A$35:$I$55,6,0)),0%,VLOOKUP(A74,'Données projet'!$A$35:$I$55,6,0)*VLOOKUP('Données projet'!$B$9,Paramètres!$A$1:$I$88,7,0))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projet'!$B$9,Paramètres!$A$1:$I$88,3,0)*0.475*44/12</f>
        <v>192.59277488873724</v>
      </c>
      <c r="AA74" s="23">
        <f>EXP(-LN(2)/25)*AA73+(1-EXP(-LN(2)/25))/(LN(2)/25)*Calculateur!V74*Calculateur!X74*VLOOKUP('Données projet'!$B$9,Paramètres!$A$1:$I$88,3,0)*0.475*44/12</f>
        <v>97.449458378431885</v>
      </c>
      <c r="AB74" s="23">
        <f>EXP(-LN(2)/2)*AB73+(1-EXP(-LN(2)/2))/(LN(2)/2)*V74*Y74*VLOOKUP('Données projet'!$B$9,Paramètres!$A$1:$I$88,3,0)*0.475*44/12</f>
        <v>0</v>
      </c>
      <c r="AC74" s="24">
        <f t="shared" si="57"/>
        <v>290.04223326716914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projet'!$B$10,Paramètres!$A$1:$I$88,3,0)*VLOOKUP('Données projet'!$B$10,Paramètres!$A$1:$I$88,5,0)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projet'!$B$10,Paramètres!$A$1:$I$88,7,0))</f>
        <v>0</v>
      </c>
      <c r="AS74" s="17">
        <f>IF(ISNA(VLOOKUP(A74,'Données projet'!$A$61:$I$81,6,0)),0%,VLOOKUP(A74,'Données projet'!$A$61:$I$81,6,0)*VLOOKUP('Données projet'!$B$10,Paramètres!$A$1:$I$88,7,0))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projet'!$B$10,Paramètres!$A$1:$I$88,3,0)*0.475*44/12</f>
        <v>#N/A</v>
      </c>
      <c r="AV74" s="23" t="e">
        <f>EXP(-LN(2)/25)*AV73+(1-EXP(-LN(2)/25))/(LN(2)/25)*Calculateur!AQ74*Calculateur!AS74*VLOOKUP('Données projet'!$B$10,Paramètres!$A$1:$I$88,3,0)*0.475*44/12</f>
        <v>#N/A</v>
      </c>
      <c r="AW74" s="23" t="e">
        <f>EXP(-LN(2)/2)*AW73+(1-EXP(-LN(2)/2))/(LN(2)/2)*AQ74*AT74*VLOOKUP('Données projet'!$B$10,Paramètres!$A$1:$I$88,3,0)*0.475*44/12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projet'!$B$11,Paramètres!$A$1:$I$88,3,0)*VLOOKUP('Données projet'!$B$11,Paramètres!$A$1:$I$88,5,0)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projet'!$B$11,Paramètres!$A$1:$I$88,7,0))</f>
        <v>0</v>
      </c>
      <c r="BN74" s="17">
        <f>IF(ISNA(VLOOKUP(A74,'Données projet'!$A$87:$I$107,6,0)),0%,VLOOKUP(A74,'Données projet'!$A$87:$I$107,6,0)*VLOOKUP('Données projet'!$B$11,Paramètres!$A$1:$I$88,7,0))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projet'!$B$11,Paramètres!$A$1:$I$88,3,0)*0.475*44/12</f>
        <v>#N/A</v>
      </c>
      <c r="BQ74" s="23" t="e">
        <f>EXP(-LN(2)/25)*BQ73+(1-EXP(-LN(2)/25))/(LN(2)/25)*Calculateur!BL74*Calculateur!BN74*VLOOKUP('Données projet'!$B$11,Paramètres!$A$1:$I$88,3,0)*0.475*44/12</f>
        <v>#N/A</v>
      </c>
      <c r="BR74" s="23" t="e">
        <f>EXP(-LN(2)/2)*BR73+(1-EXP(-LN(2)/2))/(LN(2)/2)*BL74*BO74*VLOOKUP('Données projet'!$B$11,Paramètres!$A$1:$I$88,3,0)*0.475*44/12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projet'!$B$12,Paramètres!$A$1:$I$88,3,0)*VLOOKUP('Données projet'!$B$12,Paramètres!$A$1:$I$88,5,0)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projet'!$B$12,Paramètres!$A$1:$I$88,7,0))</f>
        <v>0</v>
      </c>
      <c r="CI74" s="17">
        <f>IF(ISNA(VLOOKUP(A74,'Données projet'!$A$113:$I$133,6,0)),0%,VLOOKUP(A74,'Données projet'!$A$113:$I$133,6,0)*VLOOKUP('Données projet'!$B$12,Paramètres!$A$1:$I$88,7,0))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projet'!$B$12,Paramètres!$A$1:$I$88,3,0)*0.475*44/12</f>
        <v>#N/A</v>
      </c>
      <c r="CL74" s="23" t="e">
        <f>EXP(-LN(2)/25)*CL73+(1-EXP(-LN(2)/25))/(LN(2)/25)*Calculateur!CG74*Calculateur!CI74*VLOOKUP('Données projet'!$B$12,Paramètres!$A$1:$I$88,3,0)*0.475*44/12</f>
        <v>#N/A</v>
      </c>
      <c r="CM74" s="23" t="e">
        <f>EXP(-LN(2)/2)*CM73+(1-EXP(-LN(2)/2))/(LN(2)/2)*CG74*CJ74*VLOOKUP('Données projet'!$B$12,Paramètres!$A$1:$I$88,3,0)*0.475*44/12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projet'!$B$13,Paramètres!$A$1:$I$88,3,0)*VLOOKUP('Données projet'!$B$13,Paramètres!$A$1:$I$88,5,0)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projet'!$B$13,Paramètres!$A$1:$I$88,7,0))</f>
        <v>0</v>
      </c>
      <c r="DD74" s="17">
        <f>IF(ISNA(VLOOKUP(A74,'Données projet'!$A$139:$I$159,6,0)),0%,VLOOKUP(A74,'Données projet'!$A$139:$I$159,6,0)*VLOOKUP('Données projet'!$B$13,Paramètres!$A$1:$I$88,7,0))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projet'!$B$13,Paramètres!$A$1:$I$88,3,0)*0.475*44/12</f>
        <v>#N/A</v>
      </c>
      <c r="DG74" s="23" t="e">
        <f>EXP(-LN(2)/25)*DG73+(1-EXP(-LN(2)/25))/(LN(2)/25)*Calculateur!DB74*Calculateur!DD74*VLOOKUP('Données projet'!$B$13,Paramètres!$A$1:$I$88,3,0)*0.475*44/12</f>
        <v>#N/A</v>
      </c>
      <c r="DH74" s="23" t="e">
        <f>EXP(-LN(2)/2)*DH73+(1-EXP(-LN(2)/2))/(LN(2)/2)*DB74*DE74*VLOOKUP('Données projet'!$B$13,Paramètres!$A$1:$I$88,3,0)*0.475*44/12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projet'!$B$14,Paramètres!$A$1:$I$88,3,0)*VLOOKUP('Données projet'!$B$14,Paramètres!$A$1:$I$88,5,0)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projet'!$B$14,Paramètres!$A$1:$I$88,7,0))</f>
        <v>0</v>
      </c>
      <c r="DY74" s="17">
        <f>IF(ISNA(VLOOKUP(A74,'Données projet'!$A$165:$I$185,6,0)),0%,VLOOKUP(A74,'Données projet'!$A$165:$I$185,6,0)*VLOOKUP('Données projet'!$B$14,Paramètres!$A$1:$I$88,7,0))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projet'!$B$14,Paramètres!$A$1:$I$88,3,0)*0.475*44/12</f>
        <v>#N/A</v>
      </c>
      <c r="EB74" s="23" t="e">
        <f>EXP(-LN(2)/25)*EB73+(1-EXP(-LN(2)/25))/(LN(2)/25)*Calculateur!DW74*Calculateur!DY74*VLOOKUP('Données projet'!$B$14,Paramètres!$A$1:$I$88,3,0)*0.475*44/12</f>
        <v>#N/A</v>
      </c>
      <c r="EC74" s="23" t="e">
        <f>EXP(-LN(2)/2)*EC73+(1-EXP(-LN(2)/2))/(LN(2)/2)*DW74*DZ74*VLOOKUP('Données projet'!$B$14,Paramètres!$A$1:$I$88,3,0)*0.475*44/12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projet'!$B$15,Paramètres!$A$1:$I$88,3,0)*VLOOKUP('Données projet'!$B$15,Paramètres!$A$1:$I$88,5,0)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projet'!$B$15,Paramètres!$A$1:$I$88,7,0))</f>
        <v>0</v>
      </c>
      <c r="ET74" s="17">
        <f>IF(ISNA(VLOOKUP(A74,'Données projet'!$A$191:$I$211,6,0)),0%,VLOOKUP(A74,'Données projet'!$A$191:$I$211,6,0)*VLOOKUP('Données projet'!$B$15,Paramètres!$A$1:$I$88,7,0))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projet'!$B$15,Paramètres!$A$1:$I$88,3,0)*0.475*44/12</f>
        <v>#N/A</v>
      </c>
      <c r="EW74" s="23" t="e">
        <f>EXP(-LN(2)/25)*EW73+(1-EXP(-LN(2)/25))/(LN(2)/25)*Calculateur!ER74*Calculateur!ET74*VLOOKUP('Données projet'!$B$15,Paramètres!$A$1:$I$88,3,0)*0.475*44/12</f>
        <v>#N/A</v>
      </c>
      <c r="EX74" s="23" t="e">
        <f>EXP(-LN(2)/2)*EX73+(1-EXP(-LN(2)/2))/(LN(2)/2)*ER74*EU74*VLOOKUP('Données projet'!$B$15,Paramètres!$A$1:$I$88,3,0)*0.475*44/12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projet'!$B$16,Paramètres!$A$1:$I$88,3,0)*VLOOKUP('Données projet'!$B$16,Paramètres!$A$1:$I$88,5,0)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projet'!$B$16,Paramètres!$A$1:$I$88,7,0))</f>
        <v>0</v>
      </c>
      <c r="FO74" s="17">
        <f>IF(ISNA(VLOOKUP(A74,'Données projet'!$A$217:$I$237,6,0)),0%,VLOOKUP(A74,'Données projet'!$A$217:$I$237,6,0)*VLOOKUP('Données projet'!$B$16,Paramètres!$A$1:$I$88,7,0))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projet'!$B$16,Paramètres!$A$1:$I$88,3,0)*0.475*44/12</f>
        <v>#N/A</v>
      </c>
      <c r="FR74" s="23" t="e">
        <f>EXP(-LN(2)/25)*FR73+(1-EXP(-LN(2)/25))/(LN(2)/25)*Calculateur!FM74*Calculateur!FO74*VLOOKUP('Données projet'!$B$16,Paramètres!$A$1:$I$88,3,0)*0.475*44/12</f>
        <v>#N/A</v>
      </c>
      <c r="FS74" s="23" t="e">
        <f>EXP(-LN(2)/2)*FS73+(1-EXP(-LN(2)/2))/(LN(2)/2)*FM74*FP74*VLOOKUP('Données projet'!$B$16,Paramètres!$A$1:$I$88,3,0)*0.475*44/12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projet'!$B$17,Paramètres!$A$1:$I$88,3,0)*VLOOKUP('Données projet'!$B$17,Paramètres!$A$1:$I$88,5,0)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projet'!$B$17,Paramètres!$A$1:$I$88,7,0))</f>
        <v>0</v>
      </c>
      <c r="GJ74" s="17">
        <f>IF(ISNA(VLOOKUP(A74,'Données projet'!$A$243:$I$263,6,0)),0%,VLOOKUP(A74,'Données projet'!$A$243:$I$263,6,0)*VLOOKUP('Données projet'!$B$17,Paramètres!$A$1:$I$88,7,0))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projet'!$B$17,Paramètres!$A$1:$I$88,3,0)*0.475*44/12</f>
        <v>#N/A</v>
      </c>
      <c r="GM74" s="23" t="e">
        <f>EXP(-LN(2)/25)*GM73+(1-EXP(-LN(2)/25))/(LN(2)/25)*Calculateur!GH74*Calculateur!GJ74*VLOOKUP('Données projet'!$B$17,Paramètres!$A$1:$I$88,3,0)*0.475*44/12</f>
        <v>#N/A</v>
      </c>
      <c r="GN74" s="23" t="e">
        <f>EXP(-LN(2)/2)*GN73+(1-EXP(-LN(2)/2))/(LN(2)/2)*GH74*GK74*VLOOKUP('Données projet'!$B$17,Paramètres!$A$1:$I$88,3,0)*0.475*44/12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projet'!$B$18,Paramètres!$A$1:$I$88,3,0)*VLOOKUP('Données projet'!$B$18,Paramètres!$A$1:$I$88,5,0)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projet'!$B$18,Paramètres!$A$1:$I$88,7,0))</f>
        <v>0</v>
      </c>
      <c r="HE74" s="17">
        <f>IF(ISNA(VLOOKUP(A74,'Données projet'!$A$269:$I$289,6,0)),0%,VLOOKUP(A74,'Données projet'!$A$269:$I$289,6,0)*VLOOKUP('Données projet'!$B$18,Paramètres!$A$1:$I$88,7,0))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projet'!$B$18,Paramètres!$A$1:$I$88,3,0)*0.475*44/12</f>
        <v>#N/A</v>
      </c>
      <c r="HH74" s="23" t="e">
        <f>EXP(-LN(2)/25)*HH73+(1-EXP(-LN(2)/25))/(LN(2)/25)*Calculateur!HC74*Calculateur!HE74*VLOOKUP('Données projet'!$B$18,Paramètres!$A$1:$I$88,3,0)*0.475*44/12</f>
        <v>#N/A</v>
      </c>
      <c r="HI74" s="23" t="e">
        <f>EXP(-LN(2)/2)*HI73+(1-EXP(-LN(2)/2))/(LN(2)/2)*HC74*HF74*VLOOKUP('Données projet'!$B$18,Paramètres!$A$1:$I$88,3,0)*0.475*44/12</f>
        <v>#N/A</v>
      </c>
      <c r="HJ74" s="24" t="e">
        <f t="shared" si="84"/>
        <v>#N/A</v>
      </c>
    </row>
    <row r="75" spans="1:218" s="5" customFormat="1" x14ac:dyDescent="0.3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4.5474735088646412E-13</v>
      </c>
      <c r="O75" s="14">
        <f>N75*VLOOKUP('Données projet'!$B$9,Paramètres!$A$1:$I$88,3,0)*VLOOKUP('Données projet'!$B$9,Paramètres!$A$1:$I$88,5,0)</f>
        <v>2.5420376914553347E-13</v>
      </c>
      <c r="P75" s="14">
        <f t="shared" si="87"/>
        <v>3.4258699088369875E-12</v>
      </c>
      <c r="Q75" s="22">
        <f t="shared" si="54"/>
        <v>6.4094616558195571E-12</v>
      </c>
      <c r="R75" s="62">
        <f t="shared" si="55"/>
        <v>267.33171423752754</v>
      </c>
      <c r="S75" s="62">
        <f ca="1">AVERAGE(OFFSET($R$3,0,0,'Données projet'!$E$9+1,1))-AVERAGE(OFFSET($H$3,0,0,'Données projet'!$E$9+1,1))</f>
        <v>367.03450586441784</v>
      </c>
      <c r="T75" s="62">
        <f t="shared" si="88"/>
        <v>413.14502442862897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projet'!$B$9,Paramètres!$A$1:$I$88,7,0))</f>
        <v>0</v>
      </c>
      <c r="X75" s="17">
        <f>IF(ISNA(VLOOKUP(A75,'Données projet'!$A$35:$I$55,6,0)),0%,VLOOKUP(A75,'Données projet'!$A$35:$I$55,6,0)*VLOOKUP('Données projet'!$B$9,Paramètres!$A$1:$I$88,7,0))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projet'!$B$9,Paramètres!$A$1:$I$88,3,0)*0.475*44/12</f>
        <v>188.8161480431626</v>
      </c>
      <c r="AA75" s="23">
        <f>EXP(-LN(2)/25)*AA74+(1-EXP(-LN(2)/25))/(LN(2)/25)*Calculateur!V75*Calculateur!X75*VLOOKUP('Données projet'!$B$9,Paramètres!$A$1:$I$88,3,0)*0.475*44/12</f>
        <v>94.784697814429379</v>
      </c>
      <c r="AB75" s="23">
        <f>EXP(-LN(2)/2)*AB74+(1-EXP(-LN(2)/2))/(LN(2)/2)*V75*Y75*VLOOKUP('Données projet'!$B$9,Paramètres!$A$1:$I$88,3,0)*0.475*44/12</f>
        <v>0</v>
      </c>
      <c r="AC75" s="24">
        <f t="shared" si="57"/>
        <v>283.60084585759199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projet'!$B$10,Paramètres!$A$1:$I$88,3,0)*VLOOKUP('Données projet'!$B$10,Paramètres!$A$1:$I$88,5,0)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projet'!$B$10,Paramètres!$A$1:$I$88,7,0))</f>
        <v>0</v>
      </c>
      <c r="AS75" s="17">
        <f>IF(ISNA(VLOOKUP(A75,'Données projet'!$A$61:$I$81,6,0)),0%,VLOOKUP(A75,'Données projet'!$A$61:$I$81,6,0)*VLOOKUP('Données projet'!$B$10,Paramètres!$A$1:$I$88,7,0))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projet'!$B$10,Paramètres!$A$1:$I$88,3,0)*0.475*44/12</f>
        <v>#N/A</v>
      </c>
      <c r="AV75" s="23" t="e">
        <f>EXP(-LN(2)/25)*AV74+(1-EXP(-LN(2)/25))/(LN(2)/25)*Calculateur!AQ75*Calculateur!AS75*VLOOKUP('Données projet'!$B$10,Paramètres!$A$1:$I$88,3,0)*0.475*44/12</f>
        <v>#N/A</v>
      </c>
      <c r="AW75" s="23" t="e">
        <f>EXP(-LN(2)/2)*AW74+(1-EXP(-LN(2)/2))/(LN(2)/2)*AQ75*AT75*VLOOKUP('Données projet'!$B$10,Paramètres!$A$1:$I$88,3,0)*0.475*44/12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projet'!$B$11,Paramètres!$A$1:$I$88,3,0)*VLOOKUP('Données projet'!$B$11,Paramètres!$A$1:$I$88,5,0)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projet'!$B$11,Paramètres!$A$1:$I$88,7,0))</f>
        <v>0</v>
      </c>
      <c r="BN75" s="17">
        <f>IF(ISNA(VLOOKUP(A75,'Données projet'!$A$87:$I$107,6,0)),0%,VLOOKUP(A75,'Données projet'!$A$87:$I$107,6,0)*VLOOKUP('Données projet'!$B$11,Paramètres!$A$1:$I$88,7,0))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projet'!$B$11,Paramètres!$A$1:$I$88,3,0)*0.475*44/12</f>
        <v>#N/A</v>
      </c>
      <c r="BQ75" s="23" t="e">
        <f>EXP(-LN(2)/25)*BQ74+(1-EXP(-LN(2)/25))/(LN(2)/25)*Calculateur!BL75*Calculateur!BN75*VLOOKUP('Données projet'!$B$11,Paramètres!$A$1:$I$88,3,0)*0.475*44/12</f>
        <v>#N/A</v>
      </c>
      <c r="BR75" s="23" t="e">
        <f>EXP(-LN(2)/2)*BR74+(1-EXP(-LN(2)/2))/(LN(2)/2)*BL75*BO75*VLOOKUP('Données projet'!$B$11,Paramètres!$A$1:$I$88,3,0)*0.475*44/12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projet'!$B$12,Paramètres!$A$1:$I$88,3,0)*VLOOKUP('Données projet'!$B$12,Paramètres!$A$1:$I$88,5,0)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projet'!$B$12,Paramètres!$A$1:$I$88,7,0))</f>
        <v>0</v>
      </c>
      <c r="CI75" s="17">
        <f>IF(ISNA(VLOOKUP(A75,'Données projet'!$A$113:$I$133,6,0)),0%,VLOOKUP(A75,'Données projet'!$A$113:$I$133,6,0)*VLOOKUP('Données projet'!$B$12,Paramètres!$A$1:$I$88,7,0))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projet'!$B$12,Paramètres!$A$1:$I$88,3,0)*0.475*44/12</f>
        <v>#N/A</v>
      </c>
      <c r="CL75" s="23" t="e">
        <f>EXP(-LN(2)/25)*CL74+(1-EXP(-LN(2)/25))/(LN(2)/25)*Calculateur!CG75*Calculateur!CI75*VLOOKUP('Données projet'!$B$12,Paramètres!$A$1:$I$88,3,0)*0.475*44/12</f>
        <v>#N/A</v>
      </c>
      <c r="CM75" s="23" t="e">
        <f>EXP(-LN(2)/2)*CM74+(1-EXP(-LN(2)/2))/(LN(2)/2)*CG75*CJ75*VLOOKUP('Données projet'!$B$12,Paramètres!$A$1:$I$88,3,0)*0.475*44/12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projet'!$B$13,Paramètres!$A$1:$I$88,3,0)*VLOOKUP('Données projet'!$B$13,Paramètres!$A$1:$I$88,5,0)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projet'!$B$13,Paramètres!$A$1:$I$88,7,0))</f>
        <v>0</v>
      </c>
      <c r="DD75" s="17">
        <f>IF(ISNA(VLOOKUP(A75,'Données projet'!$A$139:$I$159,6,0)),0%,VLOOKUP(A75,'Données projet'!$A$139:$I$159,6,0)*VLOOKUP('Données projet'!$B$13,Paramètres!$A$1:$I$88,7,0))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projet'!$B$13,Paramètres!$A$1:$I$88,3,0)*0.475*44/12</f>
        <v>#N/A</v>
      </c>
      <c r="DG75" s="23" t="e">
        <f>EXP(-LN(2)/25)*DG74+(1-EXP(-LN(2)/25))/(LN(2)/25)*Calculateur!DB75*Calculateur!DD75*VLOOKUP('Données projet'!$B$13,Paramètres!$A$1:$I$88,3,0)*0.475*44/12</f>
        <v>#N/A</v>
      </c>
      <c r="DH75" s="23" t="e">
        <f>EXP(-LN(2)/2)*DH74+(1-EXP(-LN(2)/2))/(LN(2)/2)*DB75*DE75*VLOOKUP('Données projet'!$B$13,Paramètres!$A$1:$I$88,3,0)*0.475*44/12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projet'!$B$14,Paramètres!$A$1:$I$88,3,0)*VLOOKUP('Données projet'!$B$14,Paramètres!$A$1:$I$88,5,0)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projet'!$B$14,Paramètres!$A$1:$I$88,7,0))</f>
        <v>0</v>
      </c>
      <c r="DY75" s="17">
        <f>IF(ISNA(VLOOKUP(A75,'Données projet'!$A$165:$I$185,6,0)),0%,VLOOKUP(A75,'Données projet'!$A$165:$I$185,6,0)*VLOOKUP('Données projet'!$B$14,Paramètres!$A$1:$I$88,7,0))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projet'!$B$14,Paramètres!$A$1:$I$88,3,0)*0.475*44/12</f>
        <v>#N/A</v>
      </c>
      <c r="EB75" s="23" t="e">
        <f>EXP(-LN(2)/25)*EB74+(1-EXP(-LN(2)/25))/(LN(2)/25)*Calculateur!DW75*Calculateur!DY75*VLOOKUP('Données projet'!$B$14,Paramètres!$A$1:$I$88,3,0)*0.475*44/12</f>
        <v>#N/A</v>
      </c>
      <c r="EC75" s="23" t="e">
        <f>EXP(-LN(2)/2)*EC74+(1-EXP(-LN(2)/2))/(LN(2)/2)*DW75*DZ75*VLOOKUP('Données projet'!$B$14,Paramètres!$A$1:$I$88,3,0)*0.475*44/12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projet'!$B$15,Paramètres!$A$1:$I$88,3,0)*VLOOKUP('Données projet'!$B$15,Paramètres!$A$1:$I$88,5,0)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projet'!$B$15,Paramètres!$A$1:$I$88,7,0))</f>
        <v>0</v>
      </c>
      <c r="ET75" s="17">
        <f>IF(ISNA(VLOOKUP(A75,'Données projet'!$A$191:$I$211,6,0)),0%,VLOOKUP(A75,'Données projet'!$A$191:$I$211,6,0)*VLOOKUP('Données projet'!$B$15,Paramètres!$A$1:$I$88,7,0))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projet'!$B$15,Paramètres!$A$1:$I$88,3,0)*0.475*44/12</f>
        <v>#N/A</v>
      </c>
      <c r="EW75" s="23" t="e">
        <f>EXP(-LN(2)/25)*EW74+(1-EXP(-LN(2)/25))/(LN(2)/25)*Calculateur!ER75*Calculateur!ET75*VLOOKUP('Données projet'!$B$15,Paramètres!$A$1:$I$88,3,0)*0.475*44/12</f>
        <v>#N/A</v>
      </c>
      <c r="EX75" s="23" t="e">
        <f>EXP(-LN(2)/2)*EX74+(1-EXP(-LN(2)/2))/(LN(2)/2)*ER75*EU75*VLOOKUP('Données projet'!$B$15,Paramètres!$A$1:$I$88,3,0)*0.475*44/12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projet'!$B$16,Paramètres!$A$1:$I$88,3,0)*VLOOKUP('Données projet'!$B$16,Paramètres!$A$1:$I$88,5,0)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projet'!$B$16,Paramètres!$A$1:$I$88,7,0))</f>
        <v>0</v>
      </c>
      <c r="FO75" s="17">
        <f>IF(ISNA(VLOOKUP(A75,'Données projet'!$A$217:$I$237,6,0)),0%,VLOOKUP(A75,'Données projet'!$A$217:$I$237,6,0)*VLOOKUP('Données projet'!$B$16,Paramètres!$A$1:$I$88,7,0))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projet'!$B$16,Paramètres!$A$1:$I$88,3,0)*0.475*44/12</f>
        <v>#N/A</v>
      </c>
      <c r="FR75" s="23" t="e">
        <f>EXP(-LN(2)/25)*FR74+(1-EXP(-LN(2)/25))/(LN(2)/25)*Calculateur!FM75*Calculateur!FO75*VLOOKUP('Données projet'!$B$16,Paramètres!$A$1:$I$88,3,0)*0.475*44/12</f>
        <v>#N/A</v>
      </c>
      <c r="FS75" s="23" t="e">
        <f>EXP(-LN(2)/2)*FS74+(1-EXP(-LN(2)/2))/(LN(2)/2)*FM75*FP75*VLOOKUP('Données projet'!$B$16,Paramètres!$A$1:$I$88,3,0)*0.475*44/12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projet'!$B$17,Paramètres!$A$1:$I$88,3,0)*VLOOKUP('Données projet'!$B$17,Paramètres!$A$1:$I$88,5,0)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projet'!$B$17,Paramètres!$A$1:$I$88,7,0))</f>
        <v>0</v>
      </c>
      <c r="GJ75" s="17">
        <f>IF(ISNA(VLOOKUP(A75,'Données projet'!$A$243:$I$263,6,0)),0%,VLOOKUP(A75,'Données projet'!$A$243:$I$263,6,0)*VLOOKUP('Données projet'!$B$17,Paramètres!$A$1:$I$88,7,0))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projet'!$B$17,Paramètres!$A$1:$I$88,3,0)*0.475*44/12</f>
        <v>#N/A</v>
      </c>
      <c r="GM75" s="23" t="e">
        <f>EXP(-LN(2)/25)*GM74+(1-EXP(-LN(2)/25))/(LN(2)/25)*Calculateur!GH75*Calculateur!GJ75*VLOOKUP('Données projet'!$B$17,Paramètres!$A$1:$I$88,3,0)*0.475*44/12</f>
        <v>#N/A</v>
      </c>
      <c r="GN75" s="23" t="e">
        <f>EXP(-LN(2)/2)*GN74+(1-EXP(-LN(2)/2))/(LN(2)/2)*GH75*GK75*VLOOKUP('Données projet'!$B$17,Paramètres!$A$1:$I$88,3,0)*0.475*44/12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projet'!$B$18,Paramètres!$A$1:$I$88,3,0)*VLOOKUP('Données projet'!$B$18,Paramètres!$A$1:$I$88,5,0)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projet'!$B$18,Paramètres!$A$1:$I$88,7,0))</f>
        <v>0</v>
      </c>
      <c r="HE75" s="17">
        <f>IF(ISNA(VLOOKUP(A75,'Données projet'!$A$269:$I$289,6,0)),0%,VLOOKUP(A75,'Données projet'!$A$269:$I$289,6,0)*VLOOKUP('Données projet'!$B$18,Paramètres!$A$1:$I$88,7,0))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projet'!$B$18,Paramètres!$A$1:$I$88,3,0)*0.475*44/12</f>
        <v>#N/A</v>
      </c>
      <c r="HH75" s="23" t="e">
        <f>EXP(-LN(2)/25)*HH74+(1-EXP(-LN(2)/25))/(LN(2)/25)*Calculateur!HC75*Calculateur!HE75*VLOOKUP('Données projet'!$B$18,Paramètres!$A$1:$I$88,3,0)*0.475*44/12</f>
        <v>#N/A</v>
      </c>
      <c r="HI75" s="23" t="e">
        <f>EXP(-LN(2)/2)*HI74+(1-EXP(-LN(2)/2))/(LN(2)/2)*HC75*HF75*VLOOKUP('Données projet'!$B$18,Paramètres!$A$1:$I$88,3,0)*0.475*44/12</f>
        <v>#N/A</v>
      </c>
      <c r="HJ75" s="24" t="e">
        <f t="shared" si="84"/>
        <v>#N/A</v>
      </c>
    </row>
    <row r="76" spans="1:218" s="5" customFormat="1" x14ac:dyDescent="0.3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4.5474735088646412E-13</v>
      </c>
      <c r="O76" s="14">
        <f>N76*VLOOKUP('Données projet'!$B$9,Paramètres!$A$1:$I$88,3,0)*VLOOKUP('Données projet'!$B$9,Paramètres!$A$1:$I$88,5,0)</f>
        <v>2.5420376914553347E-13</v>
      </c>
      <c r="P76" s="14">
        <f t="shared" si="87"/>
        <v>3.4258699088369875E-12</v>
      </c>
      <c r="Q76" s="22">
        <f t="shared" si="54"/>
        <v>6.4094616558195571E-12</v>
      </c>
      <c r="R76" s="62">
        <f t="shared" si="55"/>
        <v>267.78278419792821</v>
      </c>
      <c r="S76" s="62">
        <f ca="1">AVERAGE(OFFSET($R$3,0,0,'Données projet'!$E$9+1,1))-AVERAGE(OFFSET($H$3,0,0,'Données projet'!$E$9+1,1))</f>
        <v>367.03450586441784</v>
      </c>
      <c r="T76" s="62">
        <f t="shared" si="88"/>
        <v>413.14502442862897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projet'!$B$9,Paramètres!$A$1:$I$88,7,0))</f>
        <v>0</v>
      </c>
      <c r="X76" s="17">
        <f>IF(ISNA(VLOOKUP(A76,'Données projet'!$A$35:$I$55,6,0)),0%,VLOOKUP(A76,'Données projet'!$A$35:$I$55,6,0)*VLOOKUP('Données projet'!$B$9,Paramètres!$A$1:$I$88,7,0))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projet'!$B$9,Paramètres!$A$1:$I$88,3,0)*0.475*44/12</f>
        <v>185.11357854651473</v>
      </c>
      <c r="AA76" s="23">
        <f>EXP(-LN(2)/25)*AA75+(1-EXP(-LN(2)/25))/(LN(2)/25)*Calculateur!V76*Calculateur!X76*VLOOKUP('Données projet'!$B$9,Paramètres!$A$1:$I$88,3,0)*0.475*44/12</f>
        <v>92.192805268183179</v>
      </c>
      <c r="AB76" s="23">
        <f>EXP(-LN(2)/2)*AB75+(1-EXP(-LN(2)/2))/(LN(2)/2)*V76*Y76*VLOOKUP('Données projet'!$B$9,Paramètres!$A$1:$I$88,3,0)*0.475*44/12</f>
        <v>0</v>
      </c>
      <c r="AC76" s="24">
        <f t="shared" si="57"/>
        <v>277.30638381469794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projet'!$B$10,Paramètres!$A$1:$I$88,3,0)*VLOOKUP('Données projet'!$B$10,Paramètres!$A$1:$I$88,5,0)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projet'!$B$10,Paramètres!$A$1:$I$88,7,0))</f>
        <v>0</v>
      </c>
      <c r="AS76" s="17">
        <f>IF(ISNA(VLOOKUP(A76,'Données projet'!$A$61:$I$81,6,0)),0%,VLOOKUP(A76,'Données projet'!$A$61:$I$81,6,0)*VLOOKUP('Données projet'!$B$10,Paramètres!$A$1:$I$88,7,0))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projet'!$B$10,Paramètres!$A$1:$I$88,3,0)*0.475*44/12</f>
        <v>#N/A</v>
      </c>
      <c r="AV76" s="23" t="e">
        <f>EXP(-LN(2)/25)*AV75+(1-EXP(-LN(2)/25))/(LN(2)/25)*Calculateur!AQ76*Calculateur!AS76*VLOOKUP('Données projet'!$B$10,Paramètres!$A$1:$I$88,3,0)*0.475*44/12</f>
        <v>#N/A</v>
      </c>
      <c r="AW76" s="23" t="e">
        <f>EXP(-LN(2)/2)*AW75+(1-EXP(-LN(2)/2))/(LN(2)/2)*AQ76*AT76*VLOOKUP('Données projet'!$B$10,Paramètres!$A$1:$I$88,3,0)*0.475*44/12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projet'!$B$11,Paramètres!$A$1:$I$88,3,0)*VLOOKUP('Données projet'!$B$11,Paramètres!$A$1:$I$88,5,0)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projet'!$B$11,Paramètres!$A$1:$I$88,7,0))</f>
        <v>0</v>
      </c>
      <c r="BN76" s="17">
        <f>IF(ISNA(VLOOKUP(A76,'Données projet'!$A$87:$I$107,6,0)),0%,VLOOKUP(A76,'Données projet'!$A$87:$I$107,6,0)*VLOOKUP('Données projet'!$B$11,Paramètres!$A$1:$I$88,7,0))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projet'!$B$11,Paramètres!$A$1:$I$88,3,0)*0.475*44/12</f>
        <v>#N/A</v>
      </c>
      <c r="BQ76" s="23" t="e">
        <f>EXP(-LN(2)/25)*BQ75+(1-EXP(-LN(2)/25))/(LN(2)/25)*Calculateur!BL76*Calculateur!BN76*VLOOKUP('Données projet'!$B$11,Paramètres!$A$1:$I$88,3,0)*0.475*44/12</f>
        <v>#N/A</v>
      </c>
      <c r="BR76" s="23" t="e">
        <f>EXP(-LN(2)/2)*BR75+(1-EXP(-LN(2)/2))/(LN(2)/2)*BL76*BO76*VLOOKUP('Données projet'!$B$11,Paramètres!$A$1:$I$88,3,0)*0.475*44/12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projet'!$B$12,Paramètres!$A$1:$I$88,3,0)*VLOOKUP('Données projet'!$B$12,Paramètres!$A$1:$I$88,5,0)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projet'!$B$12,Paramètres!$A$1:$I$88,7,0))</f>
        <v>0</v>
      </c>
      <c r="CI76" s="17">
        <f>IF(ISNA(VLOOKUP(A76,'Données projet'!$A$113:$I$133,6,0)),0%,VLOOKUP(A76,'Données projet'!$A$113:$I$133,6,0)*VLOOKUP('Données projet'!$B$12,Paramètres!$A$1:$I$88,7,0))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projet'!$B$12,Paramètres!$A$1:$I$88,3,0)*0.475*44/12</f>
        <v>#N/A</v>
      </c>
      <c r="CL76" s="23" t="e">
        <f>EXP(-LN(2)/25)*CL75+(1-EXP(-LN(2)/25))/(LN(2)/25)*Calculateur!CG76*Calculateur!CI76*VLOOKUP('Données projet'!$B$12,Paramètres!$A$1:$I$88,3,0)*0.475*44/12</f>
        <v>#N/A</v>
      </c>
      <c r="CM76" s="23" t="e">
        <f>EXP(-LN(2)/2)*CM75+(1-EXP(-LN(2)/2))/(LN(2)/2)*CG76*CJ76*VLOOKUP('Données projet'!$B$12,Paramètres!$A$1:$I$88,3,0)*0.475*44/12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projet'!$B$13,Paramètres!$A$1:$I$88,3,0)*VLOOKUP('Données projet'!$B$13,Paramètres!$A$1:$I$88,5,0)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projet'!$B$13,Paramètres!$A$1:$I$88,7,0))</f>
        <v>0</v>
      </c>
      <c r="DD76" s="17">
        <f>IF(ISNA(VLOOKUP(A76,'Données projet'!$A$139:$I$159,6,0)),0%,VLOOKUP(A76,'Données projet'!$A$139:$I$159,6,0)*VLOOKUP('Données projet'!$B$13,Paramètres!$A$1:$I$88,7,0))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projet'!$B$13,Paramètres!$A$1:$I$88,3,0)*0.475*44/12</f>
        <v>#N/A</v>
      </c>
      <c r="DG76" s="23" t="e">
        <f>EXP(-LN(2)/25)*DG75+(1-EXP(-LN(2)/25))/(LN(2)/25)*Calculateur!DB76*Calculateur!DD76*VLOOKUP('Données projet'!$B$13,Paramètres!$A$1:$I$88,3,0)*0.475*44/12</f>
        <v>#N/A</v>
      </c>
      <c r="DH76" s="23" t="e">
        <f>EXP(-LN(2)/2)*DH75+(1-EXP(-LN(2)/2))/(LN(2)/2)*DB76*DE76*VLOOKUP('Données projet'!$B$13,Paramètres!$A$1:$I$88,3,0)*0.475*44/12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projet'!$B$14,Paramètres!$A$1:$I$88,3,0)*VLOOKUP('Données projet'!$B$14,Paramètres!$A$1:$I$88,5,0)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projet'!$B$14,Paramètres!$A$1:$I$88,7,0))</f>
        <v>0</v>
      </c>
      <c r="DY76" s="17">
        <f>IF(ISNA(VLOOKUP(A76,'Données projet'!$A$165:$I$185,6,0)),0%,VLOOKUP(A76,'Données projet'!$A$165:$I$185,6,0)*VLOOKUP('Données projet'!$B$14,Paramètres!$A$1:$I$88,7,0))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projet'!$B$14,Paramètres!$A$1:$I$88,3,0)*0.475*44/12</f>
        <v>#N/A</v>
      </c>
      <c r="EB76" s="23" t="e">
        <f>EXP(-LN(2)/25)*EB75+(1-EXP(-LN(2)/25))/(LN(2)/25)*Calculateur!DW76*Calculateur!DY76*VLOOKUP('Données projet'!$B$14,Paramètres!$A$1:$I$88,3,0)*0.475*44/12</f>
        <v>#N/A</v>
      </c>
      <c r="EC76" s="23" t="e">
        <f>EXP(-LN(2)/2)*EC75+(1-EXP(-LN(2)/2))/(LN(2)/2)*DW76*DZ76*VLOOKUP('Données projet'!$B$14,Paramètres!$A$1:$I$88,3,0)*0.475*44/12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projet'!$B$15,Paramètres!$A$1:$I$88,3,0)*VLOOKUP('Données projet'!$B$15,Paramètres!$A$1:$I$88,5,0)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projet'!$B$15,Paramètres!$A$1:$I$88,7,0))</f>
        <v>0</v>
      </c>
      <c r="ET76" s="17">
        <f>IF(ISNA(VLOOKUP(A76,'Données projet'!$A$191:$I$211,6,0)),0%,VLOOKUP(A76,'Données projet'!$A$191:$I$211,6,0)*VLOOKUP('Données projet'!$B$15,Paramètres!$A$1:$I$88,7,0))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projet'!$B$15,Paramètres!$A$1:$I$88,3,0)*0.475*44/12</f>
        <v>#N/A</v>
      </c>
      <c r="EW76" s="23" t="e">
        <f>EXP(-LN(2)/25)*EW75+(1-EXP(-LN(2)/25))/(LN(2)/25)*Calculateur!ER76*Calculateur!ET76*VLOOKUP('Données projet'!$B$15,Paramètres!$A$1:$I$88,3,0)*0.475*44/12</f>
        <v>#N/A</v>
      </c>
      <c r="EX76" s="23" t="e">
        <f>EXP(-LN(2)/2)*EX75+(1-EXP(-LN(2)/2))/(LN(2)/2)*ER76*EU76*VLOOKUP('Données projet'!$B$15,Paramètres!$A$1:$I$88,3,0)*0.475*44/12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projet'!$B$16,Paramètres!$A$1:$I$88,3,0)*VLOOKUP('Données projet'!$B$16,Paramètres!$A$1:$I$88,5,0)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projet'!$B$16,Paramètres!$A$1:$I$88,7,0))</f>
        <v>0</v>
      </c>
      <c r="FO76" s="17">
        <f>IF(ISNA(VLOOKUP(A76,'Données projet'!$A$217:$I$237,6,0)),0%,VLOOKUP(A76,'Données projet'!$A$217:$I$237,6,0)*VLOOKUP('Données projet'!$B$16,Paramètres!$A$1:$I$88,7,0))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projet'!$B$16,Paramètres!$A$1:$I$88,3,0)*0.475*44/12</f>
        <v>#N/A</v>
      </c>
      <c r="FR76" s="23" t="e">
        <f>EXP(-LN(2)/25)*FR75+(1-EXP(-LN(2)/25))/(LN(2)/25)*Calculateur!FM76*Calculateur!FO76*VLOOKUP('Données projet'!$B$16,Paramètres!$A$1:$I$88,3,0)*0.475*44/12</f>
        <v>#N/A</v>
      </c>
      <c r="FS76" s="23" t="e">
        <f>EXP(-LN(2)/2)*FS75+(1-EXP(-LN(2)/2))/(LN(2)/2)*FM76*FP76*VLOOKUP('Données projet'!$B$16,Paramètres!$A$1:$I$88,3,0)*0.475*44/12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projet'!$B$17,Paramètres!$A$1:$I$88,3,0)*VLOOKUP('Données projet'!$B$17,Paramètres!$A$1:$I$88,5,0)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projet'!$B$17,Paramètres!$A$1:$I$88,7,0))</f>
        <v>0</v>
      </c>
      <c r="GJ76" s="17">
        <f>IF(ISNA(VLOOKUP(A76,'Données projet'!$A$243:$I$263,6,0)),0%,VLOOKUP(A76,'Données projet'!$A$243:$I$263,6,0)*VLOOKUP('Données projet'!$B$17,Paramètres!$A$1:$I$88,7,0))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projet'!$B$17,Paramètres!$A$1:$I$88,3,0)*0.475*44/12</f>
        <v>#N/A</v>
      </c>
      <c r="GM76" s="23" t="e">
        <f>EXP(-LN(2)/25)*GM75+(1-EXP(-LN(2)/25))/(LN(2)/25)*Calculateur!GH76*Calculateur!GJ76*VLOOKUP('Données projet'!$B$17,Paramètres!$A$1:$I$88,3,0)*0.475*44/12</f>
        <v>#N/A</v>
      </c>
      <c r="GN76" s="23" t="e">
        <f>EXP(-LN(2)/2)*GN75+(1-EXP(-LN(2)/2))/(LN(2)/2)*GH76*GK76*VLOOKUP('Données projet'!$B$17,Paramètres!$A$1:$I$88,3,0)*0.475*44/12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projet'!$B$18,Paramètres!$A$1:$I$88,3,0)*VLOOKUP('Données projet'!$B$18,Paramètres!$A$1:$I$88,5,0)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projet'!$B$18,Paramètres!$A$1:$I$88,7,0))</f>
        <v>0</v>
      </c>
      <c r="HE76" s="17">
        <f>IF(ISNA(VLOOKUP(A76,'Données projet'!$A$269:$I$289,6,0)),0%,VLOOKUP(A76,'Données projet'!$A$269:$I$289,6,0)*VLOOKUP('Données projet'!$B$18,Paramètres!$A$1:$I$88,7,0))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projet'!$B$18,Paramètres!$A$1:$I$88,3,0)*0.475*44/12</f>
        <v>#N/A</v>
      </c>
      <c r="HH76" s="23" t="e">
        <f>EXP(-LN(2)/25)*HH75+(1-EXP(-LN(2)/25))/(LN(2)/25)*Calculateur!HC76*Calculateur!HE76*VLOOKUP('Données projet'!$B$18,Paramètres!$A$1:$I$88,3,0)*0.475*44/12</f>
        <v>#N/A</v>
      </c>
      <c r="HI76" s="23" t="e">
        <f>EXP(-LN(2)/2)*HI75+(1-EXP(-LN(2)/2))/(LN(2)/2)*HC76*HF76*VLOOKUP('Données projet'!$B$18,Paramètres!$A$1:$I$88,3,0)*0.475*44/12</f>
        <v>#N/A</v>
      </c>
      <c r="HJ76" s="24" t="e">
        <f t="shared" si="84"/>
        <v>#N/A</v>
      </c>
    </row>
    <row r="77" spans="1:218" s="5" customFormat="1" x14ac:dyDescent="0.3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4.5474735088646412E-13</v>
      </c>
      <c r="O77" s="14">
        <f>N77*VLOOKUP('Données projet'!$B$9,Paramètres!$A$1:$I$88,3,0)*VLOOKUP('Données projet'!$B$9,Paramètres!$A$1:$I$88,5,0)</f>
        <v>2.5420376914553347E-13</v>
      </c>
      <c r="P77" s="14">
        <f t="shared" si="87"/>
        <v>3.4258699088369875E-12</v>
      </c>
      <c r="Q77" s="22">
        <f t="shared" si="54"/>
        <v>6.4094616558195571E-12</v>
      </c>
      <c r="R77" s="62">
        <f t="shared" si="55"/>
        <v>268.22602910295728</v>
      </c>
      <c r="S77" s="62">
        <f ca="1">AVERAGE(OFFSET($R$3,0,0,'Données projet'!$E$9+1,1))-AVERAGE(OFFSET($H$3,0,0,'Données projet'!$E$9+1,1))</f>
        <v>367.03450586441784</v>
      </c>
      <c r="T77" s="62">
        <f t="shared" si="88"/>
        <v>413.14502442862897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projet'!$B$9,Paramètres!$A$1:$I$88,7,0))</f>
        <v>0</v>
      </c>
      <c r="X77" s="17">
        <f>IF(ISNA(VLOOKUP(A77,'Données projet'!$A$35:$I$55,6,0)),0%,VLOOKUP(A77,'Données projet'!$A$35:$I$55,6,0)*VLOOKUP('Données projet'!$B$9,Paramètres!$A$1:$I$88,7,0))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projet'!$B$9,Paramètres!$A$1:$I$88,3,0)*0.475*44/12</f>
        <v>181.48361417935175</v>
      </c>
      <c r="AA77" s="23">
        <f>EXP(-LN(2)/25)*AA76+(1-EXP(-LN(2)/25))/(LN(2)/25)*Calculateur!V77*Calculateur!X77*VLOOKUP('Données projet'!$B$9,Paramètres!$A$1:$I$88,3,0)*0.475*44/12</f>
        <v>89.671788159915792</v>
      </c>
      <c r="AB77" s="23">
        <f>EXP(-LN(2)/2)*AB76+(1-EXP(-LN(2)/2))/(LN(2)/2)*V77*Y77*VLOOKUP('Données projet'!$B$9,Paramètres!$A$1:$I$88,3,0)*0.475*44/12</f>
        <v>0</v>
      </c>
      <c r="AC77" s="24">
        <f t="shared" si="57"/>
        <v>271.15540233926754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projet'!$B$10,Paramètres!$A$1:$I$88,3,0)*VLOOKUP('Données projet'!$B$10,Paramètres!$A$1:$I$88,5,0)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projet'!$B$10,Paramètres!$A$1:$I$88,7,0))</f>
        <v>0</v>
      </c>
      <c r="AS77" s="17">
        <f>IF(ISNA(VLOOKUP(A77,'Données projet'!$A$61:$I$81,6,0)),0%,VLOOKUP(A77,'Données projet'!$A$61:$I$81,6,0)*VLOOKUP('Données projet'!$B$10,Paramètres!$A$1:$I$88,7,0))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projet'!$B$10,Paramètres!$A$1:$I$88,3,0)*0.475*44/12</f>
        <v>#N/A</v>
      </c>
      <c r="AV77" s="23" t="e">
        <f>EXP(-LN(2)/25)*AV76+(1-EXP(-LN(2)/25))/(LN(2)/25)*Calculateur!AQ77*Calculateur!AS77*VLOOKUP('Données projet'!$B$10,Paramètres!$A$1:$I$88,3,0)*0.475*44/12</f>
        <v>#N/A</v>
      </c>
      <c r="AW77" s="23" t="e">
        <f>EXP(-LN(2)/2)*AW76+(1-EXP(-LN(2)/2))/(LN(2)/2)*AQ77*AT77*VLOOKUP('Données projet'!$B$10,Paramètres!$A$1:$I$88,3,0)*0.475*44/12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projet'!$B$11,Paramètres!$A$1:$I$88,3,0)*VLOOKUP('Données projet'!$B$11,Paramètres!$A$1:$I$88,5,0)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projet'!$B$11,Paramètres!$A$1:$I$88,7,0))</f>
        <v>0</v>
      </c>
      <c r="BN77" s="17">
        <f>IF(ISNA(VLOOKUP(A77,'Données projet'!$A$87:$I$107,6,0)),0%,VLOOKUP(A77,'Données projet'!$A$87:$I$107,6,0)*VLOOKUP('Données projet'!$B$11,Paramètres!$A$1:$I$88,7,0))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projet'!$B$11,Paramètres!$A$1:$I$88,3,0)*0.475*44/12</f>
        <v>#N/A</v>
      </c>
      <c r="BQ77" s="23" t="e">
        <f>EXP(-LN(2)/25)*BQ76+(1-EXP(-LN(2)/25))/(LN(2)/25)*Calculateur!BL77*Calculateur!BN77*VLOOKUP('Données projet'!$B$11,Paramètres!$A$1:$I$88,3,0)*0.475*44/12</f>
        <v>#N/A</v>
      </c>
      <c r="BR77" s="23" t="e">
        <f>EXP(-LN(2)/2)*BR76+(1-EXP(-LN(2)/2))/(LN(2)/2)*BL77*BO77*VLOOKUP('Données projet'!$B$11,Paramètres!$A$1:$I$88,3,0)*0.475*44/12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projet'!$B$12,Paramètres!$A$1:$I$88,3,0)*VLOOKUP('Données projet'!$B$12,Paramètres!$A$1:$I$88,5,0)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projet'!$B$12,Paramètres!$A$1:$I$88,7,0))</f>
        <v>0</v>
      </c>
      <c r="CI77" s="17">
        <f>IF(ISNA(VLOOKUP(A77,'Données projet'!$A$113:$I$133,6,0)),0%,VLOOKUP(A77,'Données projet'!$A$113:$I$133,6,0)*VLOOKUP('Données projet'!$B$12,Paramètres!$A$1:$I$88,7,0))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projet'!$B$12,Paramètres!$A$1:$I$88,3,0)*0.475*44/12</f>
        <v>#N/A</v>
      </c>
      <c r="CL77" s="23" t="e">
        <f>EXP(-LN(2)/25)*CL76+(1-EXP(-LN(2)/25))/(LN(2)/25)*Calculateur!CG77*Calculateur!CI77*VLOOKUP('Données projet'!$B$12,Paramètres!$A$1:$I$88,3,0)*0.475*44/12</f>
        <v>#N/A</v>
      </c>
      <c r="CM77" s="23" t="e">
        <f>EXP(-LN(2)/2)*CM76+(1-EXP(-LN(2)/2))/(LN(2)/2)*CG77*CJ77*VLOOKUP('Données projet'!$B$12,Paramètres!$A$1:$I$88,3,0)*0.475*44/12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projet'!$B$13,Paramètres!$A$1:$I$88,3,0)*VLOOKUP('Données projet'!$B$13,Paramètres!$A$1:$I$88,5,0)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projet'!$B$13,Paramètres!$A$1:$I$88,7,0))</f>
        <v>0</v>
      </c>
      <c r="DD77" s="17">
        <f>IF(ISNA(VLOOKUP(A77,'Données projet'!$A$139:$I$159,6,0)),0%,VLOOKUP(A77,'Données projet'!$A$139:$I$159,6,0)*VLOOKUP('Données projet'!$B$13,Paramètres!$A$1:$I$88,7,0))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projet'!$B$13,Paramètres!$A$1:$I$88,3,0)*0.475*44/12</f>
        <v>#N/A</v>
      </c>
      <c r="DG77" s="23" t="e">
        <f>EXP(-LN(2)/25)*DG76+(1-EXP(-LN(2)/25))/(LN(2)/25)*Calculateur!DB77*Calculateur!DD77*VLOOKUP('Données projet'!$B$13,Paramètres!$A$1:$I$88,3,0)*0.475*44/12</f>
        <v>#N/A</v>
      </c>
      <c r="DH77" s="23" t="e">
        <f>EXP(-LN(2)/2)*DH76+(1-EXP(-LN(2)/2))/(LN(2)/2)*DB77*DE77*VLOOKUP('Données projet'!$B$13,Paramètres!$A$1:$I$88,3,0)*0.475*44/12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projet'!$B$14,Paramètres!$A$1:$I$88,3,0)*VLOOKUP('Données projet'!$B$14,Paramètres!$A$1:$I$88,5,0)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projet'!$B$14,Paramètres!$A$1:$I$88,7,0))</f>
        <v>0</v>
      </c>
      <c r="DY77" s="17">
        <f>IF(ISNA(VLOOKUP(A77,'Données projet'!$A$165:$I$185,6,0)),0%,VLOOKUP(A77,'Données projet'!$A$165:$I$185,6,0)*VLOOKUP('Données projet'!$B$14,Paramètres!$A$1:$I$88,7,0))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projet'!$B$14,Paramètres!$A$1:$I$88,3,0)*0.475*44/12</f>
        <v>#N/A</v>
      </c>
      <c r="EB77" s="23" t="e">
        <f>EXP(-LN(2)/25)*EB76+(1-EXP(-LN(2)/25))/(LN(2)/25)*Calculateur!DW77*Calculateur!DY77*VLOOKUP('Données projet'!$B$14,Paramètres!$A$1:$I$88,3,0)*0.475*44/12</f>
        <v>#N/A</v>
      </c>
      <c r="EC77" s="23" t="e">
        <f>EXP(-LN(2)/2)*EC76+(1-EXP(-LN(2)/2))/(LN(2)/2)*DW77*DZ77*VLOOKUP('Données projet'!$B$14,Paramètres!$A$1:$I$88,3,0)*0.475*44/12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projet'!$B$15,Paramètres!$A$1:$I$88,3,0)*VLOOKUP('Données projet'!$B$15,Paramètres!$A$1:$I$88,5,0)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projet'!$B$15,Paramètres!$A$1:$I$88,7,0))</f>
        <v>0</v>
      </c>
      <c r="ET77" s="17">
        <f>IF(ISNA(VLOOKUP(A77,'Données projet'!$A$191:$I$211,6,0)),0%,VLOOKUP(A77,'Données projet'!$A$191:$I$211,6,0)*VLOOKUP('Données projet'!$B$15,Paramètres!$A$1:$I$88,7,0))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projet'!$B$15,Paramètres!$A$1:$I$88,3,0)*0.475*44/12</f>
        <v>#N/A</v>
      </c>
      <c r="EW77" s="23" t="e">
        <f>EXP(-LN(2)/25)*EW76+(1-EXP(-LN(2)/25))/(LN(2)/25)*Calculateur!ER77*Calculateur!ET77*VLOOKUP('Données projet'!$B$15,Paramètres!$A$1:$I$88,3,0)*0.475*44/12</f>
        <v>#N/A</v>
      </c>
      <c r="EX77" s="23" t="e">
        <f>EXP(-LN(2)/2)*EX76+(1-EXP(-LN(2)/2))/(LN(2)/2)*ER77*EU77*VLOOKUP('Données projet'!$B$15,Paramètres!$A$1:$I$88,3,0)*0.475*44/12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projet'!$B$16,Paramètres!$A$1:$I$88,3,0)*VLOOKUP('Données projet'!$B$16,Paramètres!$A$1:$I$88,5,0)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projet'!$B$16,Paramètres!$A$1:$I$88,7,0))</f>
        <v>0</v>
      </c>
      <c r="FO77" s="17">
        <f>IF(ISNA(VLOOKUP(A77,'Données projet'!$A$217:$I$237,6,0)),0%,VLOOKUP(A77,'Données projet'!$A$217:$I$237,6,0)*VLOOKUP('Données projet'!$B$16,Paramètres!$A$1:$I$88,7,0))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projet'!$B$16,Paramètres!$A$1:$I$88,3,0)*0.475*44/12</f>
        <v>#N/A</v>
      </c>
      <c r="FR77" s="23" t="e">
        <f>EXP(-LN(2)/25)*FR76+(1-EXP(-LN(2)/25))/(LN(2)/25)*Calculateur!FM77*Calculateur!FO77*VLOOKUP('Données projet'!$B$16,Paramètres!$A$1:$I$88,3,0)*0.475*44/12</f>
        <v>#N/A</v>
      </c>
      <c r="FS77" s="23" t="e">
        <f>EXP(-LN(2)/2)*FS76+(1-EXP(-LN(2)/2))/(LN(2)/2)*FM77*FP77*VLOOKUP('Données projet'!$B$16,Paramètres!$A$1:$I$88,3,0)*0.475*44/12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projet'!$B$17,Paramètres!$A$1:$I$88,3,0)*VLOOKUP('Données projet'!$B$17,Paramètres!$A$1:$I$88,5,0)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projet'!$B$17,Paramètres!$A$1:$I$88,7,0))</f>
        <v>0</v>
      </c>
      <c r="GJ77" s="17">
        <f>IF(ISNA(VLOOKUP(A77,'Données projet'!$A$243:$I$263,6,0)),0%,VLOOKUP(A77,'Données projet'!$A$243:$I$263,6,0)*VLOOKUP('Données projet'!$B$17,Paramètres!$A$1:$I$88,7,0))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projet'!$B$17,Paramètres!$A$1:$I$88,3,0)*0.475*44/12</f>
        <v>#N/A</v>
      </c>
      <c r="GM77" s="23" t="e">
        <f>EXP(-LN(2)/25)*GM76+(1-EXP(-LN(2)/25))/(LN(2)/25)*Calculateur!GH77*Calculateur!GJ77*VLOOKUP('Données projet'!$B$17,Paramètres!$A$1:$I$88,3,0)*0.475*44/12</f>
        <v>#N/A</v>
      </c>
      <c r="GN77" s="23" t="e">
        <f>EXP(-LN(2)/2)*GN76+(1-EXP(-LN(2)/2))/(LN(2)/2)*GH77*GK77*VLOOKUP('Données projet'!$B$17,Paramètres!$A$1:$I$88,3,0)*0.475*44/12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projet'!$B$18,Paramètres!$A$1:$I$88,3,0)*VLOOKUP('Données projet'!$B$18,Paramètres!$A$1:$I$88,5,0)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projet'!$B$18,Paramètres!$A$1:$I$88,7,0))</f>
        <v>0</v>
      </c>
      <c r="HE77" s="17">
        <f>IF(ISNA(VLOOKUP(A77,'Données projet'!$A$269:$I$289,6,0)),0%,VLOOKUP(A77,'Données projet'!$A$269:$I$289,6,0)*VLOOKUP('Données projet'!$B$18,Paramètres!$A$1:$I$88,7,0))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projet'!$B$18,Paramètres!$A$1:$I$88,3,0)*0.475*44/12</f>
        <v>#N/A</v>
      </c>
      <c r="HH77" s="23" t="e">
        <f>EXP(-LN(2)/25)*HH76+(1-EXP(-LN(2)/25))/(LN(2)/25)*Calculateur!HC77*Calculateur!HE77*VLOOKUP('Données projet'!$B$18,Paramètres!$A$1:$I$88,3,0)*0.475*44/12</f>
        <v>#N/A</v>
      </c>
      <c r="HI77" s="23" t="e">
        <f>EXP(-LN(2)/2)*HI76+(1-EXP(-LN(2)/2))/(LN(2)/2)*HC77*HF77*VLOOKUP('Données projet'!$B$18,Paramètres!$A$1:$I$88,3,0)*0.475*44/12</f>
        <v>#N/A</v>
      </c>
      <c r="HJ77" s="24" t="e">
        <f t="shared" si="84"/>
        <v>#N/A</v>
      </c>
    </row>
    <row r="78" spans="1:218" s="5" customFormat="1" x14ac:dyDescent="0.3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4.5474735088646412E-13</v>
      </c>
      <c r="O78" s="14">
        <f>N78*VLOOKUP('Données projet'!$B$9,Paramètres!$A$1:$I$88,3,0)*VLOOKUP('Données projet'!$B$9,Paramètres!$A$1:$I$88,5,0)</f>
        <v>2.5420376914553347E-13</v>
      </c>
      <c r="P78" s="14">
        <f t="shared" si="87"/>
        <v>3.4258699088369875E-12</v>
      </c>
      <c r="Q78" s="22">
        <f t="shared" si="54"/>
        <v>6.4094616558195571E-12</v>
      </c>
      <c r="R78" s="62">
        <f t="shared" si="55"/>
        <v>268.66158469983122</v>
      </c>
      <c r="S78" s="62">
        <f ca="1">AVERAGE(OFFSET($R$3,0,0,'Données projet'!$E$9+1,1))-AVERAGE(OFFSET($H$3,0,0,'Données projet'!$E$9+1,1))</f>
        <v>367.03450586441784</v>
      </c>
      <c r="T78" s="62">
        <f t="shared" si="88"/>
        <v>413.14502442862897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projet'!$B$9,Paramètres!$A$1:$I$88,7,0))</f>
        <v>0</v>
      </c>
      <c r="X78" s="17">
        <f>IF(ISNA(VLOOKUP(A78,'Données projet'!$A$35:$I$55,6,0)),0%,VLOOKUP(A78,'Données projet'!$A$35:$I$55,6,0)*VLOOKUP('Données projet'!$B$9,Paramètres!$A$1:$I$88,7,0))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projet'!$B$9,Paramètres!$A$1:$I$88,3,0)*0.475*44/12</f>
        <v>177.92483119936918</v>
      </c>
      <c r="AA78" s="23">
        <f>EXP(-LN(2)/25)*AA77+(1-EXP(-LN(2)/25))/(LN(2)/25)*Calculateur!V78*Calculateur!X78*VLOOKUP('Données projet'!$B$9,Paramètres!$A$1:$I$88,3,0)*0.475*44/12</f>
        <v>87.219708397048507</v>
      </c>
      <c r="AB78" s="23">
        <f>EXP(-LN(2)/2)*AB77+(1-EXP(-LN(2)/2))/(LN(2)/2)*V78*Y78*VLOOKUP('Données projet'!$B$9,Paramètres!$A$1:$I$88,3,0)*0.475*44/12</f>
        <v>0</v>
      </c>
      <c r="AC78" s="24">
        <f t="shared" si="57"/>
        <v>265.1445395964177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projet'!$B$10,Paramètres!$A$1:$I$88,3,0)*VLOOKUP('Données projet'!$B$10,Paramètres!$A$1:$I$88,5,0)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projet'!$B$10,Paramètres!$A$1:$I$88,7,0))</f>
        <v>0</v>
      </c>
      <c r="AS78" s="17">
        <f>IF(ISNA(VLOOKUP(A78,'Données projet'!$A$61:$I$81,6,0)),0%,VLOOKUP(A78,'Données projet'!$A$61:$I$81,6,0)*VLOOKUP('Données projet'!$B$10,Paramètres!$A$1:$I$88,7,0))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projet'!$B$10,Paramètres!$A$1:$I$88,3,0)*0.475*44/12</f>
        <v>#N/A</v>
      </c>
      <c r="AV78" s="23" t="e">
        <f>EXP(-LN(2)/25)*AV77+(1-EXP(-LN(2)/25))/(LN(2)/25)*Calculateur!AQ78*Calculateur!AS78*VLOOKUP('Données projet'!$B$10,Paramètres!$A$1:$I$88,3,0)*0.475*44/12</f>
        <v>#N/A</v>
      </c>
      <c r="AW78" s="23" t="e">
        <f>EXP(-LN(2)/2)*AW77+(1-EXP(-LN(2)/2))/(LN(2)/2)*AQ78*AT78*VLOOKUP('Données projet'!$B$10,Paramètres!$A$1:$I$88,3,0)*0.475*44/12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projet'!$B$11,Paramètres!$A$1:$I$88,3,0)*VLOOKUP('Données projet'!$B$11,Paramètres!$A$1:$I$88,5,0)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projet'!$B$11,Paramètres!$A$1:$I$88,7,0))</f>
        <v>0</v>
      </c>
      <c r="BN78" s="17">
        <f>IF(ISNA(VLOOKUP(A78,'Données projet'!$A$87:$I$107,6,0)),0%,VLOOKUP(A78,'Données projet'!$A$87:$I$107,6,0)*VLOOKUP('Données projet'!$B$11,Paramètres!$A$1:$I$88,7,0))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projet'!$B$11,Paramètres!$A$1:$I$88,3,0)*0.475*44/12</f>
        <v>#N/A</v>
      </c>
      <c r="BQ78" s="23" t="e">
        <f>EXP(-LN(2)/25)*BQ77+(1-EXP(-LN(2)/25))/(LN(2)/25)*Calculateur!BL78*Calculateur!BN78*VLOOKUP('Données projet'!$B$11,Paramètres!$A$1:$I$88,3,0)*0.475*44/12</f>
        <v>#N/A</v>
      </c>
      <c r="BR78" s="23" t="e">
        <f>EXP(-LN(2)/2)*BR77+(1-EXP(-LN(2)/2))/(LN(2)/2)*BL78*BO78*VLOOKUP('Données projet'!$B$11,Paramètres!$A$1:$I$88,3,0)*0.475*44/12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projet'!$B$12,Paramètres!$A$1:$I$88,3,0)*VLOOKUP('Données projet'!$B$12,Paramètres!$A$1:$I$88,5,0)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projet'!$B$12,Paramètres!$A$1:$I$88,7,0))</f>
        <v>0</v>
      </c>
      <c r="CI78" s="17">
        <f>IF(ISNA(VLOOKUP(A78,'Données projet'!$A$113:$I$133,6,0)),0%,VLOOKUP(A78,'Données projet'!$A$113:$I$133,6,0)*VLOOKUP('Données projet'!$B$12,Paramètres!$A$1:$I$88,7,0))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projet'!$B$12,Paramètres!$A$1:$I$88,3,0)*0.475*44/12</f>
        <v>#N/A</v>
      </c>
      <c r="CL78" s="23" t="e">
        <f>EXP(-LN(2)/25)*CL77+(1-EXP(-LN(2)/25))/(LN(2)/25)*Calculateur!CG78*Calculateur!CI78*VLOOKUP('Données projet'!$B$12,Paramètres!$A$1:$I$88,3,0)*0.475*44/12</f>
        <v>#N/A</v>
      </c>
      <c r="CM78" s="23" t="e">
        <f>EXP(-LN(2)/2)*CM77+(1-EXP(-LN(2)/2))/(LN(2)/2)*CG78*CJ78*VLOOKUP('Données projet'!$B$12,Paramètres!$A$1:$I$88,3,0)*0.475*44/12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projet'!$B$13,Paramètres!$A$1:$I$88,3,0)*VLOOKUP('Données projet'!$B$13,Paramètres!$A$1:$I$88,5,0)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projet'!$B$13,Paramètres!$A$1:$I$88,7,0))</f>
        <v>0</v>
      </c>
      <c r="DD78" s="17">
        <f>IF(ISNA(VLOOKUP(A78,'Données projet'!$A$139:$I$159,6,0)),0%,VLOOKUP(A78,'Données projet'!$A$139:$I$159,6,0)*VLOOKUP('Données projet'!$B$13,Paramètres!$A$1:$I$88,7,0))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projet'!$B$13,Paramètres!$A$1:$I$88,3,0)*0.475*44/12</f>
        <v>#N/A</v>
      </c>
      <c r="DG78" s="23" t="e">
        <f>EXP(-LN(2)/25)*DG77+(1-EXP(-LN(2)/25))/(LN(2)/25)*Calculateur!DB78*Calculateur!DD78*VLOOKUP('Données projet'!$B$13,Paramètres!$A$1:$I$88,3,0)*0.475*44/12</f>
        <v>#N/A</v>
      </c>
      <c r="DH78" s="23" t="e">
        <f>EXP(-LN(2)/2)*DH77+(1-EXP(-LN(2)/2))/(LN(2)/2)*DB78*DE78*VLOOKUP('Données projet'!$B$13,Paramètres!$A$1:$I$88,3,0)*0.475*44/12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projet'!$B$14,Paramètres!$A$1:$I$88,3,0)*VLOOKUP('Données projet'!$B$14,Paramètres!$A$1:$I$88,5,0)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projet'!$B$14,Paramètres!$A$1:$I$88,7,0))</f>
        <v>0</v>
      </c>
      <c r="DY78" s="17">
        <f>IF(ISNA(VLOOKUP(A78,'Données projet'!$A$165:$I$185,6,0)),0%,VLOOKUP(A78,'Données projet'!$A$165:$I$185,6,0)*VLOOKUP('Données projet'!$B$14,Paramètres!$A$1:$I$88,7,0))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projet'!$B$14,Paramètres!$A$1:$I$88,3,0)*0.475*44/12</f>
        <v>#N/A</v>
      </c>
      <c r="EB78" s="23" t="e">
        <f>EXP(-LN(2)/25)*EB77+(1-EXP(-LN(2)/25))/(LN(2)/25)*Calculateur!DW78*Calculateur!DY78*VLOOKUP('Données projet'!$B$14,Paramètres!$A$1:$I$88,3,0)*0.475*44/12</f>
        <v>#N/A</v>
      </c>
      <c r="EC78" s="23" t="e">
        <f>EXP(-LN(2)/2)*EC77+(1-EXP(-LN(2)/2))/(LN(2)/2)*DW78*DZ78*VLOOKUP('Données projet'!$B$14,Paramètres!$A$1:$I$88,3,0)*0.475*44/12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projet'!$B$15,Paramètres!$A$1:$I$88,3,0)*VLOOKUP('Données projet'!$B$15,Paramètres!$A$1:$I$88,5,0)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projet'!$B$15,Paramètres!$A$1:$I$88,7,0))</f>
        <v>0</v>
      </c>
      <c r="ET78" s="17">
        <f>IF(ISNA(VLOOKUP(A78,'Données projet'!$A$191:$I$211,6,0)),0%,VLOOKUP(A78,'Données projet'!$A$191:$I$211,6,0)*VLOOKUP('Données projet'!$B$15,Paramètres!$A$1:$I$88,7,0))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projet'!$B$15,Paramètres!$A$1:$I$88,3,0)*0.475*44/12</f>
        <v>#N/A</v>
      </c>
      <c r="EW78" s="23" t="e">
        <f>EXP(-LN(2)/25)*EW77+(1-EXP(-LN(2)/25))/(LN(2)/25)*Calculateur!ER78*Calculateur!ET78*VLOOKUP('Données projet'!$B$15,Paramètres!$A$1:$I$88,3,0)*0.475*44/12</f>
        <v>#N/A</v>
      </c>
      <c r="EX78" s="23" t="e">
        <f>EXP(-LN(2)/2)*EX77+(1-EXP(-LN(2)/2))/(LN(2)/2)*ER78*EU78*VLOOKUP('Données projet'!$B$15,Paramètres!$A$1:$I$88,3,0)*0.475*44/12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projet'!$B$16,Paramètres!$A$1:$I$88,3,0)*VLOOKUP('Données projet'!$B$16,Paramètres!$A$1:$I$88,5,0)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projet'!$B$16,Paramètres!$A$1:$I$88,7,0))</f>
        <v>0</v>
      </c>
      <c r="FO78" s="17">
        <f>IF(ISNA(VLOOKUP(A78,'Données projet'!$A$217:$I$237,6,0)),0%,VLOOKUP(A78,'Données projet'!$A$217:$I$237,6,0)*VLOOKUP('Données projet'!$B$16,Paramètres!$A$1:$I$88,7,0))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projet'!$B$16,Paramètres!$A$1:$I$88,3,0)*0.475*44/12</f>
        <v>#N/A</v>
      </c>
      <c r="FR78" s="23" t="e">
        <f>EXP(-LN(2)/25)*FR77+(1-EXP(-LN(2)/25))/(LN(2)/25)*Calculateur!FM78*Calculateur!FO78*VLOOKUP('Données projet'!$B$16,Paramètres!$A$1:$I$88,3,0)*0.475*44/12</f>
        <v>#N/A</v>
      </c>
      <c r="FS78" s="23" t="e">
        <f>EXP(-LN(2)/2)*FS77+(1-EXP(-LN(2)/2))/(LN(2)/2)*FM78*FP78*VLOOKUP('Données projet'!$B$16,Paramètres!$A$1:$I$88,3,0)*0.475*44/12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projet'!$B$17,Paramètres!$A$1:$I$88,3,0)*VLOOKUP('Données projet'!$B$17,Paramètres!$A$1:$I$88,5,0)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projet'!$B$17,Paramètres!$A$1:$I$88,7,0))</f>
        <v>0</v>
      </c>
      <c r="GJ78" s="17">
        <f>IF(ISNA(VLOOKUP(A78,'Données projet'!$A$243:$I$263,6,0)),0%,VLOOKUP(A78,'Données projet'!$A$243:$I$263,6,0)*VLOOKUP('Données projet'!$B$17,Paramètres!$A$1:$I$88,7,0))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projet'!$B$17,Paramètres!$A$1:$I$88,3,0)*0.475*44/12</f>
        <v>#N/A</v>
      </c>
      <c r="GM78" s="23" t="e">
        <f>EXP(-LN(2)/25)*GM77+(1-EXP(-LN(2)/25))/(LN(2)/25)*Calculateur!GH78*Calculateur!GJ78*VLOOKUP('Données projet'!$B$17,Paramètres!$A$1:$I$88,3,0)*0.475*44/12</f>
        <v>#N/A</v>
      </c>
      <c r="GN78" s="23" t="e">
        <f>EXP(-LN(2)/2)*GN77+(1-EXP(-LN(2)/2))/(LN(2)/2)*GH78*GK78*VLOOKUP('Données projet'!$B$17,Paramètres!$A$1:$I$88,3,0)*0.475*44/12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projet'!$B$18,Paramètres!$A$1:$I$88,3,0)*VLOOKUP('Données projet'!$B$18,Paramètres!$A$1:$I$88,5,0)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projet'!$B$18,Paramètres!$A$1:$I$88,7,0))</f>
        <v>0</v>
      </c>
      <c r="HE78" s="17">
        <f>IF(ISNA(VLOOKUP(A78,'Données projet'!$A$269:$I$289,6,0)),0%,VLOOKUP(A78,'Données projet'!$A$269:$I$289,6,0)*VLOOKUP('Données projet'!$B$18,Paramètres!$A$1:$I$88,7,0))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projet'!$B$18,Paramètres!$A$1:$I$88,3,0)*0.475*44/12</f>
        <v>#N/A</v>
      </c>
      <c r="HH78" s="23" t="e">
        <f>EXP(-LN(2)/25)*HH77+(1-EXP(-LN(2)/25))/(LN(2)/25)*Calculateur!HC78*Calculateur!HE78*VLOOKUP('Données projet'!$B$18,Paramètres!$A$1:$I$88,3,0)*0.475*44/12</f>
        <v>#N/A</v>
      </c>
      <c r="HI78" s="23" t="e">
        <f>EXP(-LN(2)/2)*HI77+(1-EXP(-LN(2)/2))/(LN(2)/2)*HC78*HF78*VLOOKUP('Données projet'!$B$18,Paramètres!$A$1:$I$88,3,0)*0.475*44/12</f>
        <v>#N/A</v>
      </c>
      <c r="HJ78" s="24" t="e">
        <f t="shared" si="84"/>
        <v>#N/A</v>
      </c>
    </row>
    <row r="79" spans="1:218" s="5" customFormat="1" x14ac:dyDescent="0.3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4.5474735088646412E-13</v>
      </c>
      <c r="O79" s="14">
        <f>N79*VLOOKUP('Données projet'!$B$9,Paramètres!$A$1:$I$88,3,0)*VLOOKUP('Données projet'!$B$9,Paramètres!$A$1:$I$88,5,0)</f>
        <v>2.5420376914553347E-13</v>
      </c>
      <c r="P79" s="14">
        <f t="shared" si="87"/>
        <v>3.4258699088369875E-12</v>
      </c>
      <c r="Q79" s="22">
        <f t="shared" si="54"/>
        <v>6.4094616558195571E-12</v>
      </c>
      <c r="R79" s="62">
        <f t="shared" si="55"/>
        <v>269.08958438085585</v>
      </c>
      <c r="S79" s="62">
        <f ca="1">AVERAGE(OFFSET($R$3,0,0,'Données projet'!$E$9+1,1))-AVERAGE(OFFSET($H$3,0,0,'Données projet'!$E$9+1,1))</f>
        <v>367.03450586441784</v>
      </c>
      <c r="T79" s="62">
        <f t="shared" si="88"/>
        <v>413.14502442862897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projet'!$B$9,Paramètres!$A$1:$I$88,7,0))</f>
        <v>0</v>
      </c>
      <c r="X79" s="17">
        <f>IF(ISNA(VLOOKUP(A79,'Données projet'!$A$35:$I$55,6,0)),0%,VLOOKUP(A79,'Données projet'!$A$35:$I$55,6,0)*VLOOKUP('Données projet'!$B$9,Paramètres!$A$1:$I$88,7,0))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projet'!$B$9,Paramètres!$A$1:$I$88,3,0)*0.475*44/12</f>
        <v>174.43583378298078</v>
      </c>
      <c r="AA79" s="23">
        <f>EXP(-LN(2)/25)*AA78+(1-EXP(-LN(2)/25))/(LN(2)/25)*Calculateur!V79*Calculateur!X79*VLOOKUP('Données projet'!$B$9,Paramètres!$A$1:$I$88,3,0)*0.475*44/12</f>
        <v>84.834680884246097</v>
      </c>
      <c r="AB79" s="23">
        <f>EXP(-LN(2)/2)*AB78+(1-EXP(-LN(2)/2))/(LN(2)/2)*V79*Y79*VLOOKUP('Données projet'!$B$9,Paramètres!$A$1:$I$88,3,0)*0.475*44/12</f>
        <v>0</v>
      </c>
      <c r="AC79" s="24">
        <f t="shared" si="57"/>
        <v>259.27051466722685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projet'!$B$10,Paramètres!$A$1:$I$88,3,0)*VLOOKUP('Données projet'!$B$10,Paramètres!$A$1:$I$88,5,0)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projet'!$B$10,Paramètres!$A$1:$I$88,7,0))</f>
        <v>0</v>
      </c>
      <c r="AS79" s="17">
        <f>IF(ISNA(VLOOKUP(A79,'Données projet'!$A$61:$I$81,6,0)),0%,VLOOKUP(A79,'Données projet'!$A$61:$I$81,6,0)*VLOOKUP('Données projet'!$B$10,Paramètres!$A$1:$I$88,7,0))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projet'!$B$10,Paramètres!$A$1:$I$88,3,0)*0.475*44/12</f>
        <v>#N/A</v>
      </c>
      <c r="AV79" s="23" t="e">
        <f>EXP(-LN(2)/25)*AV78+(1-EXP(-LN(2)/25))/(LN(2)/25)*Calculateur!AQ79*Calculateur!AS79*VLOOKUP('Données projet'!$B$10,Paramètres!$A$1:$I$88,3,0)*0.475*44/12</f>
        <v>#N/A</v>
      </c>
      <c r="AW79" s="23" t="e">
        <f>EXP(-LN(2)/2)*AW78+(1-EXP(-LN(2)/2))/(LN(2)/2)*AQ79*AT79*VLOOKUP('Données projet'!$B$10,Paramètres!$A$1:$I$88,3,0)*0.475*44/12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projet'!$B$11,Paramètres!$A$1:$I$88,3,0)*VLOOKUP('Données projet'!$B$11,Paramètres!$A$1:$I$88,5,0)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projet'!$B$11,Paramètres!$A$1:$I$88,7,0))</f>
        <v>0</v>
      </c>
      <c r="BN79" s="17">
        <f>IF(ISNA(VLOOKUP(A79,'Données projet'!$A$87:$I$107,6,0)),0%,VLOOKUP(A79,'Données projet'!$A$87:$I$107,6,0)*VLOOKUP('Données projet'!$B$11,Paramètres!$A$1:$I$88,7,0))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projet'!$B$11,Paramètres!$A$1:$I$88,3,0)*0.475*44/12</f>
        <v>#N/A</v>
      </c>
      <c r="BQ79" s="23" t="e">
        <f>EXP(-LN(2)/25)*BQ78+(1-EXP(-LN(2)/25))/(LN(2)/25)*Calculateur!BL79*Calculateur!BN79*VLOOKUP('Données projet'!$B$11,Paramètres!$A$1:$I$88,3,0)*0.475*44/12</f>
        <v>#N/A</v>
      </c>
      <c r="BR79" s="23" t="e">
        <f>EXP(-LN(2)/2)*BR78+(1-EXP(-LN(2)/2))/(LN(2)/2)*BL79*BO79*VLOOKUP('Données projet'!$B$11,Paramètres!$A$1:$I$88,3,0)*0.475*44/12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projet'!$B$12,Paramètres!$A$1:$I$88,3,0)*VLOOKUP('Données projet'!$B$12,Paramètres!$A$1:$I$88,5,0)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projet'!$B$12,Paramètres!$A$1:$I$88,7,0))</f>
        <v>0</v>
      </c>
      <c r="CI79" s="17">
        <f>IF(ISNA(VLOOKUP(A79,'Données projet'!$A$113:$I$133,6,0)),0%,VLOOKUP(A79,'Données projet'!$A$113:$I$133,6,0)*VLOOKUP('Données projet'!$B$12,Paramètres!$A$1:$I$88,7,0))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projet'!$B$12,Paramètres!$A$1:$I$88,3,0)*0.475*44/12</f>
        <v>#N/A</v>
      </c>
      <c r="CL79" s="23" t="e">
        <f>EXP(-LN(2)/25)*CL78+(1-EXP(-LN(2)/25))/(LN(2)/25)*Calculateur!CG79*Calculateur!CI79*VLOOKUP('Données projet'!$B$12,Paramètres!$A$1:$I$88,3,0)*0.475*44/12</f>
        <v>#N/A</v>
      </c>
      <c r="CM79" s="23" t="e">
        <f>EXP(-LN(2)/2)*CM78+(1-EXP(-LN(2)/2))/(LN(2)/2)*CG79*CJ79*VLOOKUP('Données projet'!$B$12,Paramètres!$A$1:$I$88,3,0)*0.475*44/12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projet'!$B$13,Paramètres!$A$1:$I$88,3,0)*VLOOKUP('Données projet'!$B$13,Paramètres!$A$1:$I$88,5,0)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projet'!$B$13,Paramètres!$A$1:$I$88,7,0))</f>
        <v>0</v>
      </c>
      <c r="DD79" s="17">
        <f>IF(ISNA(VLOOKUP(A79,'Données projet'!$A$139:$I$159,6,0)),0%,VLOOKUP(A79,'Données projet'!$A$139:$I$159,6,0)*VLOOKUP('Données projet'!$B$13,Paramètres!$A$1:$I$88,7,0))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projet'!$B$13,Paramètres!$A$1:$I$88,3,0)*0.475*44/12</f>
        <v>#N/A</v>
      </c>
      <c r="DG79" s="23" t="e">
        <f>EXP(-LN(2)/25)*DG78+(1-EXP(-LN(2)/25))/(LN(2)/25)*Calculateur!DB79*Calculateur!DD79*VLOOKUP('Données projet'!$B$13,Paramètres!$A$1:$I$88,3,0)*0.475*44/12</f>
        <v>#N/A</v>
      </c>
      <c r="DH79" s="23" t="e">
        <f>EXP(-LN(2)/2)*DH78+(1-EXP(-LN(2)/2))/(LN(2)/2)*DB79*DE79*VLOOKUP('Données projet'!$B$13,Paramètres!$A$1:$I$88,3,0)*0.475*44/12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projet'!$B$14,Paramètres!$A$1:$I$88,3,0)*VLOOKUP('Données projet'!$B$14,Paramètres!$A$1:$I$88,5,0)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projet'!$B$14,Paramètres!$A$1:$I$88,7,0))</f>
        <v>0</v>
      </c>
      <c r="DY79" s="17">
        <f>IF(ISNA(VLOOKUP(A79,'Données projet'!$A$165:$I$185,6,0)),0%,VLOOKUP(A79,'Données projet'!$A$165:$I$185,6,0)*VLOOKUP('Données projet'!$B$14,Paramètres!$A$1:$I$88,7,0))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projet'!$B$14,Paramètres!$A$1:$I$88,3,0)*0.475*44/12</f>
        <v>#N/A</v>
      </c>
      <c r="EB79" s="23" t="e">
        <f>EXP(-LN(2)/25)*EB78+(1-EXP(-LN(2)/25))/(LN(2)/25)*Calculateur!DW79*Calculateur!DY79*VLOOKUP('Données projet'!$B$14,Paramètres!$A$1:$I$88,3,0)*0.475*44/12</f>
        <v>#N/A</v>
      </c>
      <c r="EC79" s="23" t="e">
        <f>EXP(-LN(2)/2)*EC78+(1-EXP(-LN(2)/2))/(LN(2)/2)*DW79*DZ79*VLOOKUP('Données projet'!$B$14,Paramètres!$A$1:$I$88,3,0)*0.475*44/12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projet'!$B$15,Paramètres!$A$1:$I$88,3,0)*VLOOKUP('Données projet'!$B$15,Paramètres!$A$1:$I$88,5,0)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projet'!$B$15,Paramètres!$A$1:$I$88,7,0))</f>
        <v>0</v>
      </c>
      <c r="ET79" s="17">
        <f>IF(ISNA(VLOOKUP(A79,'Données projet'!$A$191:$I$211,6,0)),0%,VLOOKUP(A79,'Données projet'!$A$191:$I$211,6,0)*VLOOKUP('Données projet'!$B$15,Paramètres!$A$1:$I$88,7,0))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projet'!$B$15,Paramètres!$A$1:$I$88,3,0)*0.475*44/12</f>
        <v>#N/A</v>
      </c>
      <c r="EW79" s="23" t="e">
        <f>EXP(-LN(2)/25)*EW78+(1-EXP(-LN(2)/25))/(LN(2)/25)*Calculateur!ER79*Calculateur!ET79*VLOOKUP('Données projet'!$B$15,Paramètres!$A$1:$I$88,3,0)*0.475*44/12</f>
        <v>#N/A</v>
      </c>
      <c r="EX79" s="23" t="e">
        <f>EXP(-LN(2)/2)*EX78+(1-EXP(-LN(2)/2))/(LN(2)/2)*ER79*EU79*VLOOKUP('Données projet'!$B$15,Paramètres!$A$1:$I$88,3,0)*0.475*44/12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projet'!$B$16,Paramètres!$A$1:$I$88,3,0)*VLOOKUP('Données projet'!$B$16,Paramètres!$A$1:$I$88,5,0)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projet'!$B$16,Paramètres!$A$1:$I$88,7,0))</f>
        <v>0</v>
      </c>
      <c r="FO79" s="17">
        <f>IF(ISNA(VLOOKUP(A79,'Données projet'!$A$217:$I$237,6,0)),0%,VLOOKUP(A79,'Données projet'!$A$217:$I$237,6,0)*VLOOKUP('Données projet'!$B$16,Paramètres!$A$1:$I$88,7,0))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projet'!$B$16,Paramètres!$A$1:$I$88,3,0)*0.475*44/12</f>
        <v>#N/A</v>
      </c>
      <c r="FR79" s="23" t="e">
        <f>EXP(-LN(2)/25)*FR78+(1-EXP(-LN(2)/25))/(LN(2)/25)*Calculateur!FM79*Calculateur!FO79*VLOOKUP('Données projet'!$B$16,Paramètres!$A$1:$I$88,3,0)*0.475*44/12</f>
        <v>#N/A</v>
      </c>
      <c r="FS79" s="23" t="e">
        <f>EXP(-LN(2)/2)*FS78+(1-EXP(-LN(2)/2))/(LN(2)/2)*FM79*FP79*VLOOKUP('Données projet'!$B$16,Paramètres!$A$1:$I$88,3,0)*0.475*44/12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projet'!$B$17,Paramètres!$A$1:$I$88,3,0)*VLOOKUP('Données projet'!$B$17,Paramètres!$A$1:$I$88,5,0)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projet'!$B$17,Paramètres!$A$1:$I$88,7,0))</f>
        <v>0</v>
      </c>
      <c r="GJ79" s="17">
        <f>IF(ISNA(VLOOKUP(A79,'Données projet'!$A$243:$I$263,6,0)),0%,VLOOKUP(A79,'Données projet'!$A$243:$I$263,6,0)*VLOOKUP('Données projet'!$B$17,Paramètres!$A$1:$I$88,7,0))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projet'!$B$17,Paramètres!$A$1:$I$88,3,0)*0.475*44/12</f>
        <v>#N/A</v>
      </c>
      <c r="GM79" s="23" t="e">
        <f>EXP(-LN(2)/25)*GM78+(1-EXP(-LN(2)/25))/(LN(2)/25)*Calculateur!GH79*Calculateur!GJ79*VLOOKUP('Données projet'!$B$17,Paramètres!$A$1:$I$88,3,0)*0.475*44/12</f>
        <v>#N/A</v>
      </c>
      <c r="GN79" s="23" t="e">
        <f>EXP(-LN(2)/2)*GN78+(1-EXP(-LN(2)/2))/(LN(2)/2)*GH79*GK79*VLOOKUP('Données projet'!$B$17,Paramètres!$A$1:$I$88,3,0)*0.475*44/12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projet'!$B$18,Paramètres!$A$1:$I$88,3,0)*VLOOKUP('Données projet'!$B$18,Paramètres!$A$1:$I$88,5,0)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projet'!$B$18,Paramètres!$A$1:$I$88,7,0))</f>
        <v>0</v>
      </c>
      <c r="HE79" s="17">
        <f>IF(ISNA(VLOOKUP(A79,'Données projet'!$A$269:$I$289,6,0)),0%,VLOOKUP(A79,'Données projet'!$A$269:$I$289,6,0)*VLOOKUP('Données projet'!$B$18,Paramètres!$A$1:$I$88,7,0))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projet'!$B$18,Paramètres!$A$1:$I$88,3,0)*0.475*44/12</f>
        <v>#N/A</v>
      </c>
      <c r="HH79" s="23" t="e">
        <f>EXP(-LN(2)/25)*HH78+(1-EXP(-LN(2)/25))/(LN(2)/25)*Calculateur!HC79*Calculateur!HE79*VLOOKUP('Données projet'!$B$18,Paramètres!$A$1:$I$88,3,0)*0.475*44/12</f>
        <v>#N/A</v>
      </c>
      <c r="HI79" s="23" t="e">
        <f>EXP(-LN(2)/2)*HI78+(1-EXP(-LN(2)/2))/(LN(2)/2)*HC79*HF79*VLOOKUP('Données projet'!$B$18,Paramètres!$A$1:$I$88,3,0)*0.475*44/12</f>
        <v>#N/A</v>
      </c>
      <c r="HJ79" s="24" t="e">
        <f t="shared" si="84"/>
        <v>#N/A</v>
      </c>
    </row>
    <row r="80" spans="1:218" s="5" customFormat="1" x14ac:dyDescent="0.3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4.5474735088646412E-13</v>
      </c>
      <c r="O80" s="14">
        <f>N80*VLOOKUP('Données projet'!$B$9,Paramètres!$A$1:$I$88,3,0)*VLOOKUP('Données projet'!$B$9,Paramètres!$A$1:$I$88,5,0)</f>
        <v>2.5420376914553347E-13</v>
      </c>
      <c r="P80" s="14">
        <f t="shared" si="87"/>
        <v>3.4258699088369875E-12</v>
      </c>
      <c r="Q80" s="22">
        <f t="shared" si="54"/>
        <v>6.4094616558195571E-12</v>
      </c>
      <c r="R80" s="62">
        <f t="shared" si="55"/>
        <v>269.51015922427871</v>
      </c>
      <c r="S80" s="62">
        <f ca="1">AVERAGE(OFFSET($R$3,0,0,'Données projet'!$E$9+1,1))-AVERAGE(OFFSET($H$3,0,0,'Données projet'!$E$9+1,1))</f>
        <v>367.03450586441784</v>
      </c>
      <c r="T80" s="62">
        <f t="shared" si="88"/>
        <v>413.14502442862897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projet'!$B$9,Paramètres!$A$1:$I$88,7,0))</f>
        <v>0</v>
      </c>
      <c r="X80" s="17">
        <f>IF(ISNA(VLOOKUP(A80,'Données projet'!$A$35:$I$55,6,0)),0%,VLOOKUP(A80,'Données projet'!$A$35:$I$55,6,0)*VLOOKUP('Données projet'!$B$9,Paramètres!$A$1:$I$88,7,0))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projet'!$B$9,Paramètres!$A$1:$I$88,3,0)*0.475*44/12</f>
        <v>171.01525347784946</v>
      </c>
      <c r="AA80" s="23">
        <f>EXP(-LN(2)/25)*AA79+(1-EXP(-LN(2)/25))/(LN(2)/25)*Calculateur!V80*Calculateur!X80*VLOOKUP('Données projet'!$B$9,Paramètres!$A$1:$I$88,3,0)*0.475*44/12</f>
        <v>82.514872074204419</v>
      </c>
      <c r="AB80" s="23">
        <f>EXP(-LN(2)/2)*AB79+(1-EXP(-LN(2)/2))/(LN(2)/2)*V80*Y80*VLOOKUP('Données projet'!$B$9,Paramètres!$A$1:$I$88,3,0)*0.475*44/12</f>
        <v>0</v>
      </c>
      <c r="AC80" s="24">
        <f t="shared" si="57"/>
        <v>253.53012555205387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projet'!$B$10,Paramètres!$A$1:$I$88,3,0)*VLOOKUP('Données projet'!$B$10,Paramètres!$A$1:$I$88,5,0)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projet'!$B$10,Paramètres!$A$1:$I$88,7,0))</f>
        <v>0</v>
      </c>
      <c r="AS80" s="17">
        <f>IF(ISNA(VLOOKUP(A80,'Données projet'!$A$61:$I$81,6,0)),0%,VLOOKUP(A80,'Données projet'!$A$61:$I$81,6,0)*VLOOKUP('Données projet'!$B$10,Paramètres!$A$1:$I$88,7,0))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projet'!$B$10,Paramètres!$A$1:$I$88,3,0)*0.475*44/12</f>
        <v>#N/A</v>
      </c>
      <c r="AV80" s="23" t="e">
        <f>EXP(-LN(2)/25)*AV79+(1-EXP(-LN(2)/25))/(LN(2)/25)*Calculateur!AQ80*Calculateur!AS80*VLOOKUP('Données projet'!$B$10,Paramètres!$A$1:$I$88,3,0)*0.475*44/12</f>
        <v>#N/A</v>
      </c>
      <c r="AW80" s="23" t="e">
        <f>EXP(-LN(2)/2)*AW79+(1-EXP(-LN(2)/2))/(LN(2)/2)*AQ80*AT80*VLOOKUP('Données projet'!$B$10,Paramètres!$A$1:$I$88,3,0)*0.475*44/12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projet'!$B$11,Paramètres!$A$1:$I$88,3,0)*VLOOKUP('Données projet'!$B$11,Paramètres!$A$1:$I$88,5,0)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projet'!$B$11,Paramètres!$A$1:$I$88,7,0))</f>
        <v>0</v>
      </c>
      <c r="BN80" s="17">
        <f>IF(ISNA(VLOOKUP(A80,'Données projet'!$A$87:$I$107,6,0)),0%,VLOOKUP(A80,'Données projet'!$A$87:$I$107,6,0)*VLOOKUP('Données projet'!$B$11,Paramètres!$A$1:$I$88,7,0))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projet'!$B$11,Paramètres!$A$1:$I$88,3,0)*0.475*44/12</f>
        <v>#N/A</v>
      </c>
      <c r="BQ80" s="23" t="e">
        <f>EXP(-LN(2)/25)*BQ79+(1-EXP(-LN(2)/25))/(LN(2)/25)*Calculateur!BL80*Calculateur!BN80*VLOOKUP('Données projet'!$B$11,Paramètres!$A$1:$I$88,3,0)*0.475*44/12</f>
        <v>#N/A</v>
      </c>
      <c r="BR80" s="23" t="e">
        <f>EXP(-LN(2)/2)*BR79+(1-EXP(-LN(2)/2))/(LN(2)/2)*BL80*BO80*VLOOKUP('Données projet'!$B$11,Paramètres!$A$1:$I$88,3,0)*0.475*44/12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projet'!$B$12,Paramètres!$A$1:$I$88,3,0)*VLOOKUP('Données projet'!$B$12,Paramètres!$A$1:$I$88,5,0)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projet'!$B$12,Paramètres!$A$1:$I$88,7,0))</f>
        <v>0</v>
      </c>
      <c r="CI80" s="17">
        <f>IF(ISNA(VLOOKUP(A80,'Données projet'!$A$113:$I$133,6,0)),0%,VLOOKUP(A80,'Données projet'!$A$113:$I$133,6,0)*VLOOKUP('Données projet'!$B$12,Paramètres!$A$1:$I$88,7,0))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projet'!$B$12,Paramètres!$A$1:$I$88,3,0)*0.475*44/12</f>
        <v>#N/A</v>
      </c>
      <c r="CL80" s="23" t="e">
        <f>EXP(-LN(2)/25)*CL79+(1-EXP(-LN(2)/25))/(LN(2)/25)*Calculateur!CG80*Calculateur!CI80*VLOOKUP('Données projet'!$B$12,Paramètres!$A$1:$I$88,3,0)*0.475*44/12</f>
        <v>#N/A</v>
      </c>
      <c r="CM80" s="23" t="e">
        <f>EXP(-LN(2)/2)*CM79+(1-EXP(-LN(2)/2))/(LN(2)/2)*CG80*CJ80*VLOOKUP('Données projet'!$B$12,Paramètres!$A$1:$I$88,3,0)*0.475*44/12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projet'!$B$13,Paramètres!$A$1:$I$88,3,0)*VLOOKUP('Données projet'!$B$13,Paramètres!$A$1:$I$88,5,0)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projet'!$B$13,Paramètres!$A$1:$I$88,7,0))</f>
        <v>0</v>
      </c>
      <c r="DD80" s="17">
        <f>IF(ISNA(VLOOKUP(A80,'Données projet'!$A$139:$I$159,6,0)),0%,VLOOKUP(A80,'Données projet'!$A$139:$I$159,6,0)*VLOOKUP('Données projet'!$B$13,Paramètres!$A$1:$I$88,7,0))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projet'!$B$13,Paramètres!$A$1:$I$88,3,0)*0.475*44/12</f>
        <v>#N/A</v>
      </c>
      <c r="DG80" s="23" t="e">
        <f>EXP(-LN(2)/25)*DG79+(1-EXP(-LN(2)/25))/(LN(2)/25)*Calculateur!DB80*Calculateur!DD80*VLOOKUP('Données projet'!$B$13,Paramètres!$A$1:$I$88,3,0)*0.475*44/12</f>
        <v>#N/A</v>
      </c>
      <c r="DH80" s="23" t="e">
        <f>EXP(-LN(2)/2)*DH79+(1-EXP(-LN(2)/2))/(LN(2)/2)*DB80*DE80*VLOOKUP('Données projet'!$B$13,Paramètres!$A$1:$I$88,3,0)*0.475*44/12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projet'!$B$14,Paramètres!$A$1:$I$88,3,0)*VLOOKUP('Données projet'!$B$14,Paramètres!$A$1:$I$88,5,0)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projet'!$B$14,Paramètres!$A$1:$I$88,7,0))</f>
        <v>0</v>
      </c>
      <c r="DY80" s="17">
        <f>IF(ISNA(VLOOKUP(A80,'Données projet'!$A$165:$I$185,6,0)),0%,VLOOKUP(A80,'Données projet'!$A$165:$I$185,6,0)*VLOOKUP('Données projet'!$B$14,Paramètres!$A$1:$I$88,7,0))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projet'!$B$14,Paramètres!$A$1:$I$88,3,0)*0.475*44/12</f>
        <v>#N/A</v>
      </c>
      <c r="EB80" s="23" t="e">
        <f>EXP(-LN(2)/25)*EB79+(1-EXP(-LN(2)/25))/(LN(2)/25)*Calculateur!DW80*Calculateur!DY80*VLOOKUP('Données projet'!$B$14,Paramètres!$A$1:$I$88,3,0)*0.475*44/12</f>
        <v>#N/A</v>
      </c>
      <c r="EC80" s="23" t="e">
        <f>EXP(-LN(2)/2)*EC79+(1-EXP(-LN(2)/2))/(LN(2)/2)*DW80*DZ80*VLOOKUP('Données projet'!$B$14,Paramètres!$A$1:$I$88,3,0)*0.475*44/12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projet'!$B$15,Paramètres!$A$1:$I$88,3,0)*VLOOKUP('Données projet'!$B$15,Paramètres!$A$1:$I$88,5,0)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projet'!$B$15,Paramètres!$A$1:$I$88,7,0))</f>
        <v>0</v>
      </c>
      <c r="ET80" s="17">
        <f>IF(ISNA(VLOOKUP(A80,'Données projet'!$A$191:$I$211,6,0)),0%,VLOOKUP(A80,'Données projet'!$A$191:$I$211,6,0)*VLOOKUP('Données projet'!$B$15,Paramètres!$A$1:$I$88,7,0))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projet'!$B$15,Paramètres!$A$1:$I$88,3,0)*0.475*44/12</f>
        <v>#N/A</v>
      </c>
      <c r="EW80" s="23" t="e">
        <f>EXP(-LN(2)/25)*EW79+(1-EXP(-LN(2)/25))/(LN(2)/25)*Calculateur!ER80*Calculateur!ET80*VLOOKUP('Données projet'!$B$15,Paramètres!$A$1:$I$88,3,0)*0.475*44/12</f>
        <v>#N/A</v>
      </c>
      <c r="EX80" s="23" t="e">
        <f>EXP(-LN(2)/2)*EX79+(1-EXP(-LN(2)/2))/(LN(2)/2)*ER80*EU80*VLOOKUP('Données projet'!$B$15,Paramètres!$A$1:$I$88,3,0)*0.475*44/12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projet'!$B$16,Paramètres!$A$1:$I$88,3,0)*VLOOKUP('Données projet'!$B$16,Paramètres!$A$1:$I$88,5,0)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projet'!$B$16,Paramètres!$A$1:$I$88,7,0))</f>
        <v>0</v>
      </c>
      <c r="FO80" s="17">
        <f>IF(ISNA(VLOOKUP(A80,'Données projet'!$A$217:$I$237,6,0)),0%,VLOOKUP(A80,'Données projet'!$A$217:$I$237,6,0)*VLOOKUP('Données projet'!$B$16,Paramètres!$A$1:$I$88,7,0))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projet'!$B$16,Paramètres!$A$1:$I$88,3,0)*0.475*44/12</f>
        <v>#N/A</v>
      </c>
      <c r="FR80" s="23" t="e">
        <f>EXP(-LN(2)/25)*FR79+(1-EXP(-LN(2)/25))/(LN(2)/25)*Calculateur!FM80*Calculateur!FO80*VLOOKUP('Données projet'!$B$16,Paramètres!$A$1:$I$88,3,0)*0.475*44/12</f>
        <v>#N/A</v>
      </c>
      <c r="FS80" s="23" t="e">
        <f>EXP(-LN(2)/2)*FS79+(1-EXP(-LN(2)/2))/(LN(2)/2)*FM80*FP80*VLOOKUP('Données projet'!$B$16,Paramètres!$A$1:$I$88,3,0)*0.475*44/12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projet'!$B$17,Paramètres!$A$1:$I$88,3,0)*VLOOKUP('Données projet'!$B$17,Paramètres!$A$1:$I$88,5,0)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projet'!$B$17,Paramètres!$A$1:$I$88,7,0))</f>
        <v>0</v>
      </c>
      <c r="GJ80" s="17">
        <f>IF(ISNA(VLOOKUP(A80,'Données projet'!$A$243:$I$263,6,0)),0%,VLOOKUP(A80,'Données projet'!$A$243:$I$263,6,0)*VLOOKUP('Données projet'!$B$17,Paramètres!$A$1:$I$88,7,0))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projet'!$B$17,Paramètres!$A$1:$I$88,3,0)*0.475*44/12</f>
        <v>#N/A</v>
      </c>
      <c r="GM80" s="23" t="e">
        <f>EXP(-LN(2)/25)*GM79+(1-EXP(-LN(2)/25))/(LN(2)/25)*Calculateur!GH80*Calculateur!GJ80*VLOOKUP('Données projet'!$B$17,Paramètres!$A$1:$I$88,3,0)*0.475*44/12</f>
        <v>#N/A</v>
      </c>
      <c r="GN80" s="23" t="e">
        <f>EXP(-LN(2)/2)*GN79+(1-EXP(-LN(2)/2))/(LN(2)/2)*GH80*GK80*VLOOKUP('Données projet'!$B$17,Paramètres!$A$1:$I$88,3,0)*0.475*44/12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projet'!$B$18,Paramètres!$A$1:$I$88,3,0)*VLOOKUP('Données projet'!$B$18,Paramètres!$A$1:$I$88,5,0)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projet'!$B$18,Paramètres!$A$1:$I$88,7,0))</f>
        <v>0</v>
      </c>
      <c r="HE80" s="17">
        <f>IF(ISNA(VLOOKUP(A80,'Données projet'!$A$269:$I$289,6,0)),0%,VLOOKUP(A80,'Données projet'!$A$269:$I$289,6,0)*VLOOKUP('Données projet'!$B$18,Paramètres!$A$1:$I$88,7,0))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projet'!$B$18,Paramètres!$A$1:$I$88,3,0)*0.475*44/12</f>
        <v>#N/A</v>
      </c>
      <c r="HH80" s="23" t="e">
        <f>EXP(-LN(2)/25)*HH79+(1-EXP(-LN(2)/25))/(LN(2)/25)*Calculateur!HC80*Calculateur!HE80*VLOOKUP('Données projet'!$B$18,Paramètres!$A$1:$I$88,3,0)*0.475*44/12</f>
        <v>#N/A</v>
      </c>
      <c r="HI80" s="23" t="e">
        <f>EXP(-LN(2)/2)*HI79+(1-EXP(-LN(2)/2))/(LN(2)/2)*HC80*HF80*VLOOKUP('Données projet'!$B$18,Paramètres!$A$1:$I$88,3,0)*0.475*44/12</f>
        <v>#N/A</v>
      </c>
      <c r="HJ80" s="24" t="e">
        <f t="shared" si="84"/>
        <v>#N/A</v>
      </c>
    </row>
    <row r="81" spans="1:218" s="5" customFormat="1" x14ac:dyDescent="0.3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4.5474735088646412E-13</v>
      </c>
      <c r="O81" s="14">
        <f>N81*VLOOKUP('Données projet'!$B$9,Paramètres!$A$1:$I$88,3,0)*VLOOKUP('Données projet'!$B$9,Paramètres!$A$1:$I$88,5,0)</f>
        <v>2.5420376914553347E-13</v>
      </c>
      <c r="P81" s="14">
        <f t="shared" si="87"/>
        <v>3.4258699088369875E-12</v>
      </c>
      <c r="Q81" s="22">
        <f t="shared" si="54"/>
        <v>6.4094616558195571E-12</v>
      </c>
      <c r="R81" s="62">
        <f t="shared" si="55"/>
        <v>269.92343803443265</v>
      </c>
      <c r="S81" s="62">
        <f ca="1">AVERAGE(OFFSET($R$3,0,0,'Données projet'!$E$9+1,1))-AVERAGE(OFFSET($H$3,0,0,'Données projet'!$E$9+1,1))</f>
        <v>367.03450586441784</v>
      </c>
      <c r="T81" s="62">
        <f t="shared" si="88"/>
        <v>413.14502442862897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projet'!$B$9,Paramètres!$A$1:$I$88,7,0))</f>
        <v>0</v>
      </c>
      <c r="X81" s="17">
        <f>IF(ISNA(VLOOKUP(A81,'Données projet'!$A$35:$I$55,6,0)),0%,VLOOKUP(A81,'Données projet'!$A$35:$I$55,6,0)*VLOOKUP('Données projet'!$B$9,Paramètres!$A$1:$I$88,7,0))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projet'!$B$9,Paramètres!$A$1:$I$88,3,0)*0.475*44/12</f>
        <v>167.66174866615378</v>
      </c>
      <c r="AA81" s="23">
        <f>EXP(-LN(2)/25)*AA80+(1-EXP(-LN(2)/25))/(LN(2)/25)*Calculateur!V81*Calculateur!X81*VLOOKUP('Données projet'!$B$9,Paramètres!$A$1:$I$88,3,0)*0.475*44/12</f>
        <v>80.258498558066762</v>
      </c>
      <c r="AB81" s="23">
        <f>EXP(-LN(2)/2)*AB80+(1-EXP(-LN(2)/2))/(LN(2)/2)*V81*Y81*VLOOKUP('Données projet'!$B$9,Paramètres!$A$1:$I$88,3,0)*0.475*44/12</f>
        <v>0</v>
      </c>
      <c r="AC81" s="24">
        <f t="shared" si="57"/>
        <v>247.92024722422053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projet'!$B$10,Paramètres!$A$1:$I$88,3,0)*VLOOKUP('Données projet'!$B$10,Paramètres!$A$1:$I$88,5,0)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projet'!$B$10,Paramètres!$A$1:$I$88,7,0))</f>
        <v>0</v>
      </c>
      <c r="AS81" s="17">
        <f>IF(ISNA(VLOOKUP(A81,'Données projet'!$A$61:$I$81,6,0)),0%,VLOOKUP(A81,'Données projet'!$A$61:$I$81,6,0)*VLOOKUP('Données projet'!$B$10,Paramètres!$A$1:$I$88,7,0))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projet'!$B$10,Paramètres!$A$1:$I$88,3,0)*0.475*44/12</f>
        <v>#N/A</v>
      </c>
      <c r="AV81" s="23" t="e">
        <f>EXP(-LN(2)/25)*AV80+(1-EXP(-LN(2)/25))/(LN(2)/25)*Calculateur!AQ81*Calculateur!AS81*VLOOKUP('Données projet'!$B$10,Paramètres!$A$1:$I$88,3,0)*0.475*44/12</f>
        <v>#N/A</v>
      </c>
      <c r="AW81" s="23" t="e">
        <f>EXP(-LN(2)/2)*AW80+(1-EXP(-LN(2)/2))/(LN(2)/2)*AQ81*AT81*VLOOKUP('Données projet'!$B$10,Paramètres!$A$1:$I$88,3,0)*0.475*44/12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projet'!$B$11,Paramètres!$A$1:$I$88,3,0)*VLOOKUP('Données projet'!$B$11,Paramètres!$A$1:$I$88,5,0)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projet'!$B$11,Paramètres!$A$1:$I$88,7,0))</f>
        <v>0</v>
      </c>
      <c r="BN81" s="17">
        <f>IF(ISNA(VLOOKUP(A81,'Données projet'!$A$87:$I$107,6,0)),0%,VLOOKUP(A81,'Données projet'!$A$87:$I$107,6,0)*VLOOKUP('Données projet'!$B$11,Paramètres!$A$1:$I$88,7,0))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projet'!$B$11,Paramètres!$A$1:$I$88,3,0)*0.475*44/12</f>
        <v>#N/A</v>
      </c>
      <c r="BQ81" s="23" t="e">
        <f>EXP(-LN(2)/25)*BQ80+(1-EXP(-LN(2)/25))/(LN(2)/25)*Calculateur!BL81*Calculateur!BN81*VLOOKUP('Données projet'!$B$11,Paramètres!$A$1:$I$88,3,0)*0.475*44/12</f>
        <v>#N/A</v>
      </c>
      <c r="BR81" s="23" t="e">
        <f>EXP(-LN(2)/2)*BR80+(1-EXP(-LN(2)/2))/(LN(2)/2)*BL81*BO81*VLOOKUP('Données projet'!$B$11,Paramètres!$A$1:$I$88,3,0)*0.475*44/12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projet'!$B$12,Paramètres!$A$1:$I$88,3,0)*VLOOKUP('Données projet'!$B$12,Paramètres!$A$1:$I$88,5,0)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projet'!$B$12,Paramètres!$A$1:$I$88,7,0))</f>
        <v>0</v>
      </c>
      <c r="CI81" s="17">
        <f>IF(ISNA(VLOOKUP(A81,'Données projet'!$A$113:$I$133,6,0)),0%,VLOOKUP(A81,'Données projet'!$A$113:$I$133,6,0)*VLOOKUP('Données projet'!$B$12,Paramètres!$A$1:$I$88,7,0))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projet'!$B$12,Paramètres!$A$1:$I$88,3,0)*0.475*44/12</f>
        <v>#N/A</v>
      </c>
      <c r="CL81" s="23" t="e">
        <f>EXP(-LN(2)/25)*CL80+(1-EXP(-LN(2)/25))/(LN(2)/25)*Calculateur!CG81*Calculateur!CI81*VLOOKUP('Données projet'!$B$12,Paramètres!$A$1:$I$88,3,0)*0.475*44/12</f>
        <v>#N/A</v>
      </c>
      <c r="CM81" s="23" t="e">
        <f>EXP(-LN(2)/2)*CM80+(1-EXP(-LN(2)/2))/(LN(2)/2)*CG81*CJ81*VLOOKUP('Données projet'!$B$12,Paramètres!$A$1:$I$88,3,0)*0.475*44/12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projet'!$B$13,Paramètres!$A$1:$I$88,3,0)*VLOOKUP('Données projet'!$B$13,Paramètres!$A$1:$I$88,5,0)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projet'!$B$13,Paramètres!$A$1:$I$88,7,0))</f>
        <v>0</v>
      </c>
      <c r="DD81" s="17">
        <f>IF(ISNA(VLOOKUP(A81,'Données projet'!$A$139:$I$159,6,0)),0%,VLOOKUP(A81,'Données projet'!$A$139:$I$159,6,0)*VLOOKUP('Données projet'!$B$13,Paramètres!$A$1:$I$88,7,0))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projet'!$B$13,Paramètres!$A$1:$I$88,3,0)*0.475*44/12</f>
        <v>#N/A</v>
      </c>
      <c r="DG81" s="23" t="e">
        <f>EXP(-LN(2)/25)*DG80+(1-EXP(-LN(2)/25))/(LN(2)/25)*Calculateur!DB81*Calculateur!DD81*VLOOKUP('Données projet'!$B$13,Paramètres!$A$1:$I$88,3,0)*0.475*44/12</f>
        <v>#N/A</v>
      </c>
      <c r="DH81" s="23" t="e">
        <f>EXP(-LN(2)/2)*DH80+(1-EXP(-LN(2)/2))/(LN(2)/2)*DB81*DE81*VLOOKUP('Données projet'!$B$13,Paramètres!$A$1:$I$88,3,0)*0.475*44/12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projet'!$B$14,Paramètres!$A$1:$I$88,3,0)*VLOOKUP('Données projet'!$B$14,Paramètres!$A$1:$I$88,5,0)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projet'!$B$14,Paramètres!$A$1:$I$88,7,0))</f>
        <v>0</v>
      </c>
      <c r="DY81" s="17">
        <f>IF(ISNA(VLOOKUP(A81,'Données projet'!$A$165:$I$185,6,0)),0%,VLOOKUP(A81,'Données projet'!$A$165:$I$185,6,0)*VLOOKUP('Données projet'!$B$14,Paramètres!$A$1:$I$88,7,0))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projet'!$B$14,Paramètres!$A$1:$I$88,3,0)*0.475*44/12</f>
        <v>#N/A</v>
      </c>
      <c r="EB81" s="23" t="e">
        <f>EXP(-LN(2)/25)*EB80+(1-EXP(-LN(2)/25))/(LN(2)/25)*Calculateur!DW81*Calculateur!DY81*VLOOKUP('Données projet'!$B$14,Paramètres!$A$1:$I$88,3,0)*0.475*44/12</f>
        <v>#N/A</v>
      </c>
      <c r="EC81" s="23" t="e">
        <f>EXP(-LN(2)/2)*EC80+(1-EXP(-LN(2)/2))/(LN(2)/2)*DW81*DZ81*VLOOKUP('Données projet'!$B$14,Paramètres!$A$1:$I$88,3,0)*0.475*44/12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projet'!$B$15,Paramètres!$A$1:$I$88,3,0)*VLOOKUP('Données projet'!$B$15,Paramètres!$A$1:$I$88,5,0)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projet'!$B$15,Paramètres!$A$1:$I$88,7,0))</f>
        <v>0</v>
      </c>
      <c r="ET81" s="17">
        <f>IF(ISNA(VLOOKUP(A81,'Données projet'!$A$191:$I$211,6,0)),0%,VLOOKUP(A81,'Données projet'!$A$191:$I$211,6,0)*VLOOKUP('Données projet'!$B$15,Paramètres!$A$1:$I$88,7,0))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projet'!$B$15,Paramètres!$A$1:$I$88,3,0)*0.475*44/12</f>
        <v>#N/A</v>
      </c>
      <c r="EW81" s="23" t="e">
        <f>EXP(-LN(2)/25)*EW80+(1-EXP(-LN(2)/25))/(LN(2)/25)*Calculateur!ER81*Calculateur!ET81*VLOOKUP('Données projet'!$B$15,Paramètres!$A$1:$I$88,3,0)*0.475*44/12</f>
        <v>#N/A</v>
      </c>
      <c r="EX81" s="23" t="e">
        <f>EXP(-LN(2)/2)*EX80+(1-EXP(-LN(2)/2))/(LN(2)/2)*ER81*EU81*VLOOKUP('Données projet'!$B$15,Paramètres!$A$1:$I$88,3,0)*0.475*44/12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projet'!$B$16,Paramètres!$A$1:$I$88,3,0)*VLOOKUP('Données projet'!$B$16,Paramètres!$A$1:$I$88,5,0)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projet'!$B$16,Paramètres!$A$1:$I$88,7,0))</f>
        <v>0</v>
      </c>
      <c r="FO81" s="17">
        <f>IF(ISNA(VLOOKUP(A81,'Données projet'!$A$217:$I$237,6,0)),0%,VLOOKUP(A81,'Données projet'!$A$217:$I$237,6,0)*VLOOKUP('Données projet'!$B$16,Paramètres!$A$1:$I$88,7,0))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projet'!$B$16,Paramètres!$A$1:$I$88,3,0)*0.475*44/12</f>
        <v>#N/A</v>
      </c>
      <c r="FR81" s="23" t="e">
        <f>EXP(-LN(2)/25)*FR80+(1-EXP(-LN(2)/25))/(LN(2)/25)*Calculateur!FM81*Calculateur!FO81*VLOOKUP('Données projet'!$B$16,Paramètres!$A$1:$I$88,3,0)*0.475*44/12</f>
        <v>#N/A</v>
      </c>
      <c r="FS81" s="23" t="e">
        <f>EXP(-LN(2)/2)*FS80+(1-EXP(-LN(2)/2))/(LN(2)/2)*FM81*FP81*VLOOKUP('Données projet'!$B$16,Paramètres!$A$1:$I$88,3,0)*0.475*44/12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projet'!$B$17,Paramètres!$A$1:$I$88,3,0)*VLOOKUP('Données projet'!$B$17,Paramètres!$A$1:$I$88,5,0)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projet'!$B$17,Paramètres!$A$1:$I$88,7,0))</f>
        <v>0</v>
      </c>
      <c r="GJ81" s="17">
        <f>IF(ISNA(VLOOKUP(A81,'Données projet'!$A$243:$I$263,6,0)),0%,VLOOKUP(A81,'Données projet'!$A$243:$I$263,6,0)*VLOOKUP('Données projet'!$B$17,Paramètres!$A$1:$I$88,7,0))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projet'!$B$17,Paramètres!$A$1:$I$88,3,0)*0.475*44/12</f>
        <v>#N/A</v>
      </c>
      <c r="GM81" s="23" t="e">
        <f>EXP(-LN(2)/25)*GM80+(1-EXP(-LN(2)/25))/(LN(2)/25)*Calculateur!GH81*Calculateur!GJ81*VLOOKUP('Données projet'!$B$17,Paramètres!$A$1:$I$88,3,0)*0.475*44/12</f>
        <v>#N/A</v>
      </c>
      <c r="GN81" s="23" t="e">
        <f>EXP(-LN(2)/2)*GN80+(1-EXP(-LN(2)/2))/(LN(2)/2)*GH81*GK81*VLOOKUP('Données projet'!$B$17,Paramètres!$A$1:$I$88,3,0)*0.475*44/12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projet'!$B$18,Paramètres!$A$1:$I$88,3,0)*VLOOKUP('Données projet'!$B$18,Paramètres!$A$1:$I$88,5,0)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projet'!$B$18,Paramètres!$A$1:$I$88,7,0))</f>
        <v>0</v>
      </c>
      <c r="HE81" s="17">
        <f>IF(ISNA(VLOOKUP(A81,'Données projet'!$A$269:$I$289,6,0)),0%,VLOOKUP(A81,'Données projet'!$A$269:$I$289,6,0)*VLOOKUP('Données projet'!$B$18,Paramètres!$A$1:$I$88,7,0))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projet'!$B$18,Paramètres!$A$1:$I$88,3,0)*0.475*44/12</f>
        <v>#N/A</v>
      </c>
      <c r="HH81" s="23" t="e">
        <f>EXP(-LN(2)/25)*HH80+(1-EXP(-LN(2)/25))/(LN(2)/25)*Calculateur!HC81*Calculateur!HE81*VLOOKUP('Données projet'!$B$18,Paramètres!$A$1:$I$88,3,0)*0.475*44/12</f>
        <v>#N/A</v>
      </c>
      <c r="HI81" s="23" t="e">
        <f>EXP(-LN(2)/2)*HI80+(1-EXP(-LN(2)/2))/(LN(2)/2)*HC81*HF81*VLOOKUP('Données projet'!$B$18,Paramètres!$A$1:$I$88,3,0)*0.475*44/12</f>
        <v>#N/A</v>
      </c>
      <c r="HJ81" s="24" t="e">
        <f t="shared" si="84"/>
        <v>#N/A</v>
      </c>
    </row>
    <row r="82" spans="1:218" s="5" customFormat="1" x14ac:dyDescent="0.3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4.5474735088646412E-13</v>
      </c>
      <c r="O82" s="14">
        <f>N82*VLOOKUP('Données projet'!$B$9,Paramètres!$A$1:$I$88,3,0)*VLOOKUP('Données projet'!$B$9,Paramètres!$A$1:$I$88,5,0)</f>
        <v>2.5420376914553347E-13</v>
      </c>
      <c r="P82" s="14">
        <f t="shared" si="87"/>
        <v>3.4258699088369875E-12</v>
      </c>
      <c r="Q82" s="22">
        <f t="shared" si="54"/>
        <v>6.4094616558195571E-12</v>
      </c>
      <c r="R82" s="62">
        <f t="shared" si="55"/>
        <v>270.32954738118337</v>
      </c>
      <c r="S82" s="62">
        <f ca="1">AVERAGE(OFFSET($R$3,0,0,'Données projet'!$E$9+1,1))-AVERAGE(OFFSET($H$3,0,0,'Données projet'!$E$9+1,1))</f>
        <v>367.03450586441784</v>
      </c>
      <c r="T82" s="62">
        <f t="shared" si="88"/>
        <v>413.14502442862897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projet'!$B$9,Paramètres!$A$1:$I$88,7,0))</f>
        <v>0</v>
      </c>
      <c r="X82" s="17">
        <f>IF(ISNA(VLOOKUP(A82,'Données projet'!$A$35:$I$55,6,0)),0%,VLOOKUP(A82,'Données projet'!$A$35:$I$55,6,0)*VLOOKUP('Données projet'!$B$9,Paramètres!$A$1:$I$88,7,0))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projet'!$B$9,Paramètres!$A$1:$I$88,3,0)*0.475*44/12</f>
        <v>164.3740040383795</v>
      </c>
      <c r="AA82" s="23">
        <f>EXP(-LN(2)/25)*AA81+(1-EXP(-LN(2)/25))/(LN(2)/25)*Calculateur!V82*Calculateur!X82*VLOOKUP('Données projet'!$B$9,Paramètres!$A$1:$I$88,3,0)*0.475*44/12</f>
        <v>78.063825694385415</v>
      </c>
      <c r="AB82" s="23">
        <f>EXP(-LN(2)/2)*AB81+(1-EXP(-LN(2)/2))/(LN(2)/2)*V82*Y82*VLOOKUP('Données projet'!$B$9,Paramètres!$A$1:$I$88,3,0)*0.475*44/12</f>
        <v>0</v>
      </c>
      <c r="AC82" s="24">
        <f t="shared" si="57"/>
        <v>242.4378297327649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projet'!$B$10,Paramètres!$A$1:$I$88,3,0)*VLOOKUP('Données projet'!$B$10,Paramètres!$A$1:$I$88,5,0)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projet'!$B$10,Paramètres!$A$1:$I$88,7,0))</f>
        <v>0</v>
      </c>
      <c r="AS82" s="17">
        <f>IF(ISNA(VLOOKUP(A82,'Données projet'!$A$61:$I$81,6,0)),0%,VLOOKUP(A82,'Données projet'!$A$61:$I$81,6,0)*VLOOKUP('Données projet'!$B$10,Paramètres!$A$1:$I$88,7,0))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projet'!$B$10,Paramètres!$A$1:$I$88,3,0)*0.475*44/12</f>
        <v>#N/A</v>
      </c>
      <c r="AV82" s="23" t="e">
        <f>EXP(-LN(2)/25)*AV81+(1-EXP(-LN(2)/25))/(LN(2)/25)*Calculateur!AQ82*Calculateur!AS82*VLOOKUP('Données projet'!$B$10,Paramètres!$A$1:$I$88,3,0)*0.475*44/12</f>
        <v>#N/A</v>
      </c>
      <c r="AW82" s="23" t="e">
        <f>EXP(-LN(2)/2)*AW81+(1-EXP(-LN(2)/2))/(LN(2)/2)*AQ82*AT82*VLOOKUP('Données projet'!$B$10,Paramètres!$A$1:$I$88,3,0)*0.475*44/12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projet'!$B$11,Paramètres!$A$1:$I$88,3,0)*VLOOKUP('Données projet'!$B$11,Paramètres!$A$1:$I$88,5,0)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projet'!$B$11,Paramètres!$A$1:$I$88,7,0))</f>
        <v>0</v>
      </c>
      <c r="BN82" s="17">
        <f>IF(ISNA(VLOOKUP(A82,'Données projet'!$A$87:$I$107,6,0)),0%,VLOOKUP(A82,'Données projet'!$A$87:$I$107,6,0)*VLOOKUP('Données projet'!$B$11,Paramètres!$A$1:$I$88,7,0))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projet'!$B$11,Paramètres!$A$1:$I$88,3,0)*0.475*44/12</f>
        <v>#N/A</v>
      </c>
      <c r="BQ82" s="23" t="e">
        <f>EXP(-LN(2)/25)*BQ81+(1-EXP(-LN(2)/25))/(LN(2)/25)*Calculateur!BL82*Calculateur!BN82*VLOOKUP('Données projet'!$B$11,Paramètres!$A$1:$I$88,3,0)*0.475*44/12</f>
        <v>#N/A</v>
      </c>
      <c r="BR82" s="23" t="e">
        <f>EXP(-LN(2)/2)*BR81+(1-EXP(-LN(2)/2))/(LN(2)/2)*BL82*BO82*VLOOKUP('Données projet'!$B$11,Paramètres!$A$1:$I$88,3,0)*0.475*44/12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projet'!$B$12,Paramètres!$A$1:$I$88,3,0)*VLOOKUP('Données projet'!$B$12,Paramètres!$A$1:$I$88,5,0)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projet'!$B$12,Paramètres!$A$1:$I$88,7,0))</f>
        <v>0</v>
      </c>
      <c r="CI82" s="17">
        <f>IF(ISNA(VLOOKUP(A82,'Données projet'!$A$113:$I$133,6,0)),0%,VLOOKUP(A82,'Données projet'!$A$113:$I$133,6,0)*VLOOKUP('Données projet'!$B$12,Paramètres!$A$1:$I$88,7,0))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projet'!$B$12,Paramètres!$A$1:$I$88,3,0)*0.475*44/12</f>
        <v>#N/A</v>
      </c>
      <c r="CL82" s="23" t="e">
        <f>EXP(-LN(2)/25)*CL81+(1-EXP(-LN(2)/25))/(LN(2)/25)*Calculateur!CG82*Calculateur!CI82*VLOOKUP('Données projet'!$B$12,Paramètres!$A$1:$I$88,3,0)*0.475*44/12</f>
        <v>#N/A</v>
      </c>
      <c r="CM82" s="23" t="e">
        <f>EXP(-LN(2)/2)*CM81+(1-EXP(-LN(2)/2))/(LN(2)/2)*CG82*CJ82*VLOOKUP('Données projet'!$B$12,Paramètres!$A$1:$I$88,3,0)*0.475*44/12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projet'!$B$13,Paramètres!$A$1:$I$88,3,0)*VLOOKUP('Données projet'!$B$13,Paramètres!$A$1:$I$88,5,0)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projet'!$B$13,Paramètres!$A$1:$I$88,7,0))</f>
        <v>0</v>
      </c>
      <c r="DD82" s="17">
        <f>IF(ISNA(VLOOKUP(A82,'Données projet'!$A$139:$I$159,6,0)),0%,VLOOKUP(A82,'Données projet'!$A$139:$I$159,6,0)*VLOOKUP('Données projet'!$B$13,Paramètres!$A$1:$I$88,7,0))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projet'!$B$13,Paramètres!$A$1:$I$88,3,0)*0.475*44/12</f>
        <v>#N/A</v>
      </c>
      <c r="DG82" s="23" t="e">
        <f>EXP(-LN(2)/25)*DG81+(1-EXP(-LN(2)/25))/(LN(2)/25)*Calculateur!DB82*Calculateur!DD82*VLOOKUP('Données projet'!$B$13,Paramètres!$A$1:$I$88,3,0)*0.475*44/12</f>
        <v>#N/A</v>
      </c>
      <c r="DH82" s="23" t="e">
        <f>EXP(-LN(2)/2)*DH81+(1-EXP(-LN(2)/2))/(LN(2)/2)*DB82*DE82*VLOOKUP('Données projet'!$B$13,Paramètres!$A$1:$I$88,3,0)*0.475*44/12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projet'!$B$14,Paramètres!$A$1:$I$88,3,0)*VLOOKUP('Données projet'!$B$14,Paramètres!$A$1:$I$88,5,0)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projet'!$B$14,Paramètres!$A$1:$I$88,7,0))</f>
        <v>0</v>
      </c>
      <c r="DY82" s="17">
        <f>IF(ISNA(VLOOKUP(A82,'Données projet'!$A$165:$I$185,6,0)),0%,VLOOKUP(A82,'Données projet'!$A$165:$I$185,6,0)*VLOOKUP('Données projet'!$B$14,Paramètres!$A$1:$I$88,7,0))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projet'!$B$14,Paramètres!$A$1:$I$88,3,0)*0.475*44/12</f>
        <v>#N/A</v>
      </c>
      <c r="EB82" s="23" t="e">
        <f>EXP(-LN(2)/25)*EB81+(1-EXP(-LN(2)/25))/(LN(2)/25)*Calculateur!DW82*Calculateur!DY82*VLOOKUP('Données projet'!$B$14,Paramètres!$A$1:$I$88,3,0)*0.475*44/12</f>
        <v>#N/A</v>
      </c>
      <c r="EC82" s="23" t="e">
        <f>EXP(-LN(2)/2)*EC81+(1-EXP(-LN(2)/2))/(LN(2)/2)*DW82*DZ82*VLOOKUP('Données projet'!$B$14,Paramètres!$A$1:$I$88,3,0)*0.475*44/12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projet'!$B$15,Paramètres!$A$1:$I$88,3,0)*VLOOKUP('Données projet'!$B$15,Paramètres!$A$1:$I$88,5,0)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projet'!$B$15,Paramètres!$A$1:$I$88,7,0))</f>
        <v>0</v>
      </c>
      <c r="ET82" s="17">
        <f>IF(ISNA(VLOOKUP(A82,'Données projet'!$A$191:$I$211,6,0)),0%,VLOOKUP(A82,'Données projet'!$A$191:$I$211,6,0)*VLOOKUP('Données projet'!$B$15,Paramètres!$A$1:$I$88,7,0))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projet'!$B$15,Paramètres!$A$1:$I$88,3,0)*0.475*44/12</f>
        <v>#N/A</v>
      </c>
      <c r="EW82" s="23" t="e">
        <f>EXP(-LN(2)/25)*EW81+(1-EXP(-LN(2)/25))/(LN(2)/25)*Calculateur!ER82*Calculateur!ET82*VLOOKUP('Données projet'!$B$15,Paramètres!$A$1:$I$88,3,0)*0.475*44/12</f>
        <v>#N/A</v>
      </c>
      <c r="EX82" s="23" t="e">
        <f>EXP(-LN(2)/2)*EX81+(1-EXP(-LN(2)/2))/(LN(2)/2)*ER82*EU82*VLOOKUP('Données projet'!$B$15,Paramètres!$A$1:$I$88,3,0)*0.475*44/12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projet'!$B$16,Paramètres!$A$1:$I$88,3,0)*VLOOKUP('Données projet'!$B$16,Paramètres!$A$1:$I$88,5,0)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projet'!$B$16,Paramètres!$A$1:$I$88,7,0))</f>
        <v>0</v>
      </c>
      <c r="FO82" s="17">
        <f>IF(ISNA(VLOOKUP(A82,'Données projet'!$A$217:$I$237,6,0)),0%,VLOOKUP(A82,'Données projet'!$A$217:$I$237,6,0)*VLOOKUP('Données projet'!$B$16,Paramètres!$A$1:$I$88,7,0))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projet'!$B$16,Paramètres!$A$1:$I$88,3,0)*0.475*44/12</f>
        <v>#N/A</v>
      </c>
      <c r="FR82" s="23" t="e">
        <f>EXP(-LN(2)/25)*FR81+(1-EXP(-LN(2)/25))/(LN(2)/25)*Calculateur!FM82*Calculateur!FO82*VLOOKUP('Données projet'!$B$16,Paramètres!$A$1:$I$88,3,0)*0.475*44/12</f>
        <v>#N/A</v>
      </c>
      <c r="FS82" s="23" t="e">
        <f>EXP(-LN(2)/2)*FS81+(1-EXP(-LN(2)/2))/(LN(2)/2)*FM82*FP82*VLOOKUP('Données projet'!$B$16,Paramètres!$A$1:$I$88,3,0)*0.475*44/12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projet'!$B$17,Paramètres!$A$1:$I$88,3,0)*VLOOKUP('Données projet'!$B$17,Paramètres!$A$1:$I$88,5,0)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projet'!$B$17,Paramètres!$A$1:$I$88,7,0))</f>
        <v>0</v>
      </c>
      <c r="GJ82" s="17">
        <f>IF(ISNA(VLOOKUP(A82,'Données projet'!$A$243:$I$263,6,0)),0%,VLOOKUP(A82,'Données projet'!$A$243:$I$263,6,0)*VLOOKUP('Données projet'!$B$17,Paramètres!$A$1:$I$88,7,0))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projet'!$B$17,Paramètres!$A$1:$I$88,3,0)*0.475*44/12</f>
        <v>#N/A</v>
      </c>
      <c r="GM82" s="23" t="e">
        <f>EXP(-LN(2)/25)*GM81+(1-EXP(-LN(2)/25))/(LN(2)/25)*Calculateur!GH82*Calculateur!GJ82*VLOOKUP('Données projet'!$B$17,Paramètres!$A$1:$I$88,3,0)*0.475*44/12</f>
        <v>#N/A</v>
      </c>
      <c r="GN82" s="23" t="e">
        <f>EXP(-LN(2)/2)*GN81+(1-EXP(-LN(2)/2))/(LN(2)/2)*GH82*GK82*VLOOKUP('Données projet'!$B$17,Paramètres!$A$1:$I$88,3,0)*0.475*44/12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projet'!$B$18,Paramètres!$A$1:$I$88,3,0)*VLOOKUP('Données projet'!$B$18,Paramètres!$A$1:$I$88,5,0)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projet'!$B$18,Paramètres!$A$1:$I$88,7,0))</f>
        <v>0</v>
      </c>
      <c r="HE82" s="17">
        <f>IF(ISNA(VLOOKUP(A82,'Données projet'!$A$269:$I$289,6,0)),0%,VLOOKUP(A82,'Données projet'!$A$269:$I$289,6,0)*VLOOKUP('Données projet'!$B$18,Paramètres!$A$1:$I$88,7,0))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projet'!$B$18,Paramètres!$A$1:$I$88,3,0)*0.475*44/12</f>
        <v>#N/A</v>
      </c>
      <c r="HH82" s="23" t="e">
        <f>EXP(-LN(2)/25)*HH81+(1-EXP(-LN(2)/25))/(LN(2)/25)*Calculateur!HC82*Calculateur!HE82*VLOOKUP('Données projet'!$B$18,Paramètres!$A$1:$I$88,3,0)*0.475*44/12</f>
        <v>#N/A</v>
      </c>
      <c r="HI82" s="23" t="e">
        <f>EXP(-LN(2)/2)*HI81+(1-EXP(-LN(2)/2))/(LN(2)/2)*HC82*HF82*VLOOKUP('Données projet'!$B$18,Paramètres!$A$1:$I$88,3,0)*0.475*44/12</f>
        <v>#N/A</v>
      </c>
      <c r="HJ82" s="24" t="e">
        <f t="shared" si="84"/>
        <v>#N/A</v>
      </c>
    </row>
    <row r="83" spans="1:218" s="5" customFormat="1" x14ac:dyDescent="0.3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4.5474735088646412E-13</v>
      </c>
      <c r="O83" s="14">
        <f>N83*VLOOKUP('Données projet'!$B$9,Paramètres!$A$1:$I$88,3,0)*VLOOKUP('Données projet'!$B$9,Paramètres!$A$1:$I$88,5,0)</f>
        <v>2.5420376914553347E-13</v>
      </c>
      <c r="P83" s="14">
        <f t="shared" si="87"/>
        <v>3.4258699088369875E-12</v>
      </c>
      <c r="Q83" s="22">
        <f t="shared" si="54"/>
        <v>6.4094616558195571E-12</v>
      </c>
      <c r="R83" s="62">
        <f t="shared" si="55"/>
        <v>270.72861163869254</v>
      </c>
      <c r="S83" s="62">
        <f ca="1">AVERAGE(OFFSET($R$3,0,0,'Données projet'!$E$9+1,1))-AVERAGE(OFFSET($H$3,0,0,'Données projet'!$E$9+1,1))</f>
        <v>367.03450586441784</v>
      </c>
      <c r="T83" s="62">
        <f t="shared" si="88"/>
        <v>413.14502442862897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projet'!$B$9,Paramètres!$A$1:$I$88,7,0))</f>
        <v>0</v>
      </c>
      <c r="X83" s="17">
        <f>IF(ISNA(VLOOKUP(A83,'Données projet'!$A$35:$I$55,6,0)),0%,VLOOKUP(A83,'Données projet'!$A$35:$I$55,6,0)*VLOOKUP('Données projet'!$B$9,Paramètres!$A$1:$I$88,7,0))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projet'!$B$9,Paramètres!$A$1:$I$88,3,0)*0.475*44/12</f>
        <v>161.15073007742967</v>
      </c>
      <c r="AA83" s="23">
        <f>EXP(-LN(2)/25)*AA82+(1-EXP(-LN(2)/25))/(LN(2)/25)*Calculateur!V83*Calculateur!X83*VLOOKUP('Données projet'!$B$9,Paramètres!$A$1:$I$88,3,0)*0.475*44/12</f>
        <v>75.929166275574275</v>
      </c>
      <c r="AB83" s="23">
        <f>EXP(-LN(2)/2)*AB82+(1-EXP(-LN(2)/2))/(LN(2)/2)*V83*Y83*VLOOKUP('Données projet'!$B$9,Paramètres!$A$1:$I$88,3,0)*0.475*44/12</f>
        <v>0</v>
      </c>
      <c r="AC83" s="24">
        <f t="shared" si="57"/>
        <v>237.07989635300396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projet'!$B$10,Paramètres!$A$1:$I$88,3,0)*VLOOKUP('Données projet'!$B$10,Paramètres!$A$1:$I$88,5,0)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projet'!$B$10,Paramètres!$A$1:$I$88,7,0))</f>
        <v>0</v>
      </c>
      <c r="AS83" s="17">
        <f>IF(ISNA(VLOOKUP(A83,'Données projet'!$A$61:$I$81,6,0)),0%,VLOOKUP(A83,'Données projet'!$A$61:$I$81,6,0)*VLOOKUP('Données projet'!$B$10,Paramètres!$A$1:$I$88,7,0))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projet'!$B$10,Paramètres!$A$1:$I$88,3,0)*0.475*44/12</f>
        <v>#N/A</v>
      </c>
      <c r="AV83" s="23" t="e">
        <f>EXP(-LN(2)/25)*AV82+(1-EXP(-LN(2)/25))/(LN(2)/25)*Calculateur!AQ83*Calculateur!AS83*VLOOKUP('Données projet'!$B$10,Paramètres!$A$1:$I$88,3,0)*0.475*44/12</f>
        <v>#N/A</v>
      </c>
      <c r="AW83" s="23" t="e">
        <f>EXP(-LN(2)/2)*AW82+(1-EXP(-LN(2)/2))/(LN(2)/2)*AQ83*AT83*VLOOKUP('Données projet'!$B$10,Paramètres!$A$1:$I$88,3,0)*0.475*44/12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projet'!$B$11,Paramètres!$A$1:$I$88,3,0)*VLOOKUP('Données projet'!$B$11,Paramètres!$A$1:$I$88,5,0)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projet'!$B$11,Paramètres!$A$1:$I$88,7,0))</f>
        <v>0</v>
      </c>
      <c r="BN83" s="17">
        <f>IF(ISNA(VLOOKUP(A83,'Données projet'!$A$87:$I$107,6,0)),0%,VLOOKUP(A83,'Données projet'!$A$87:$I$107,6,0)*VLOOKUP('Données projet'!$B$11,Paramètres!$A$1:$I$88,7,0))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projet'!$B$11,Paramètres!$A$1:$I$88,3,0)*0.475*44/12</f>
        <v>#N/A</v>
      </c>
      <c r="BQ83" s="23" t="e">
        <f>EXP(-LN(2)/25)*BQ82+(1-EXP(-LN(2)/25))/(LN(2)/25)*Calculateur!BL83*Calculateur!BN83*VLOOKUP('Données projet'!$B$11,Paramètres!$A$1:$I$88,3,0)*0.475*44/12</f>
        <v>#N/A</v>
      </c>
      <c r="BR83" s="23" t="e">
        <f>EXP(-LN(2)/2)*BR82+(1-EXP(-LN(2)/2))/(LN(2)/2)*BL83*BO83*VLOOKUP('Données projet'!$B$11,Paramètres!$A$1:$I$88,3,0)*0.475*44/12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projet'!$B$12,Paramètres!$A$1:$I$88,3,0)*VLOOKUP('Données projet'!$B$12,Paramètres!$A$1:$I$88,5,0)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projet'!$B$12,Paramètres!$A$1:$I$88,7,0))</f>
        <v>0</v>
      </c>
      <c r="CI83" s="17">
        <f>IF(ISNA(VLOOKUP(A83,'Données projet'!$A$113:$I$133,6,0)),0%,VLOOKUP(A83,'Données projet'!$A$113:$I$133,6,0)*VLOOKUP('Données projet'!$B$12,Paramètres!$A$1:$I$88,7,0))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projet'!$B$12,Paramètres!$A$1:$I$88,3,0)*0.475*44/12</f>
        <v>#N/A</v>
      </c>
      <c r="CL83" s="23" t="e">
        <f>EXP(-LN(2)/25)*CL82+(1-EXP(-LN(2)/25))/(LN(2)/25)*Calculateur!CG83*Calculateur!CI83*VLOOKUP('Données projet'!$B$12,Paramètres!$A$1:$I$88,3,0)*0.475*44/12</f>
        <v>#N/A</v>
      </c>
      <c r="CM83" s="23" t="e">
        <f>EXP(-LN(2)/2)*CM82+(1-EXP(-LN(2)/2))/(LN(2)/2)*CG83*CJ83*VLOOKUP('Données projet'!$B$12,Paramètres!$A$1:$I$88,3,0)*0.475*44/12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projet'!$B$13,Paramètres!$A$1:$I$88,3,0)*VLOOKUP('Données projet'!$B$13,Paramètres!$A$1:$I$88,5,0)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projet'!$B$13,Paramètres!$A$1:$I$88,7,0))</f>
        <v>0</v>
      </c>
      <c r="DD83" s="17">
        <f>IF(ISNA(VLOOKUP(A83,'Données projet'!$A$139:$I$159,6,0)),0%,VLOOKUP(A83,'Données projet'!$A$139:$I$159,6,0)*VLOOKUP('Données projet'!$B$13,Paramètres!$A$1:$I$88,7,0))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projet'!$B$13,Paramètres!$A$1:$I$88,3,0)*0.475*44/12</f>
        <v>#N/A</v>
      </c>
      <c r="DG83" s="23" t="e">
        <f>EXP(-LN(2)/25)*DG82+(1-EXP(-LN(2)/25))/(LN(2)/25)*Calculateur!DB83*Calculateur!DD83*VLOOKUP('Données projet'!$B$13,Paramètres!$A$1:$I$88,3,0)*0.475*44/12</f>
        <v>#N/A</v>
      </c>
      <c r="DH83" s="23" t="e">
        <f>EXP(-LN(2)/2)*DH82+(1-EXP(-LN(2)/2))/(LN(2)/2)*DB83*DE83*VLOOKUP('Données projet'!$B$13,Paramètres!$A$1:$I$88,3,0)*0.475*44/12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projet'!$B$14,Paramètres!$A$1:$I$88,3,0)*VLOOKUP('Données projet'!$B$14,Paramètres!$A$1:$I$88,5,0)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projet'!$B$14,Paramètres!$A$1:$I$88,7,0))</f>
        <v>0</v>
      </c>
      <c r="DY83" s="17">
        <f>IF(ISNA(VLOOKUP(A83,'Données projet'!$A$165:$I$185,6,0)),0%,VLOOKUP(A83,'Données projet'!$A$165:$I$185,6,0)*VLOOKUP('Données projet'!$B$14,Paramètres!$A$1:$I$88,7,0))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projet'!$B$14,Paramètres!$A$1:$I$88,3,0)*0.475*44/12</f>
        <v>#N/A</v>
      </c>
      <c r="EB83" s="23" t="e">
        <f>EXP(-LN(2)/25)*EB82+(1-EXP(-LN(2)/25))/(LN(2)/25)*Calculateur!DW83*Calculateur!DY83*VLOOKUP('Données projet'!$B$14,Paramètres!$A$1:$I$88,3,0)*0.475*44/12</f>
        <v>#N/A</v>
      </c>
      <c r="EC83" s="23" t="e">
        <f>EXP(-LN(2)/2)*EC82+(1-EXP(-LN(2)/2))/(LN(2)/2)*DW83*DZ83*VLOOKUP('Données projet'!$B$14,Paramètres!$A$1:$I$88,3,0)*0.475*44/12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projet'!$B$15,Paramètres!$A$1:$I$88,3,0)*VLOOKUP('Données projet'!$B$15,Paramètres!$A$1:$I$88,5,0)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projet'!$B$15,Paramètres!$A$1:$I$88,7,0))</f>
        <v>0</v>
      </c>
      <c r="ET83" s="17">
        <f>IF(ISNA(VLOOKUP(A83,'Données projet'!$A$191:$I$211,6,0)),0%,VLOOKUP(A83,'Données projet'!$A$191:$I$211,6,0)*VLOOKUP('Données projet'!$B$15,Paramètres!$A$1:$I$88,7,0))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projet'!$B$15,Paramètres!$A$1:$I$88,3,0)*0.475*44/12</f>
        <v>#N/A</v>
      </c>
      <c r="EW83" s="23" t="e">
        <f>EXP(-LN(2)/25)*EW82+(1-EXP(-LN(2)/25))/(LN(2)/25)*Calculateur!ER83*Calculateur!ET83*VLOOKUP('Données projet'!$B$15,Paramètres!$A$1:$I$88,3,0)*0.475*44/12</f>
        <v>#N/A</v>
      </c>
      <c r="EX83" s="23" t="e">
        <f>EXP(-LN(2)/2)*EX82+(1-EXP(-LN(2)/2))/(LN(2)/2)*ER83*EU83*VLOOKUP('Données projet'!$B$15,Paramètres!$A$1:$I$88,3,0)*0.475*44/12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projet'!$B$16,Paramètres!$A$1:$I$88,3,0)*VLOOKUP('Données projet'!$B$16,Paramètres!$A$1:$I$88,5,0)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projet'!$B$16,Paramètres!$A$1:$I$88,7,0))</f>
        <v>0</v>
      </c>
      <c r="FO83" s="17">
        <f>IF(ISNA(VLOOKUP(A83,'Données projet'!$A$217:$I$237,6,0)),0%,VLOOKUP(A83,'Données projet'!$A$217:$I$237,6,0)*VLOOKUP('Données projet'!$B$16,Paramètres!$A$1:$I$88,7,0))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projet'!$B$16,Paramètres!$A$1:$I$88,3,0)*0.475*44/12</f>
        <v>#N/A</v>
      </c>
      <c r="FR83" s="23" t="e">
        <f>EXP(-LN(2)/25)*FR82+(1-EXP(-LN(2)/25))/(LN(2)/25)*Calculateur!FM83*Calculateur!FO83*VLOOKUP('Données projet'!$B$16,Paramètres!$A$1:$I$88,3,0)*0.475*44/12</f>
        <v>#N/A</v>
      </c>
      <c r="FS83" s="23" t="e">
        <f>EXP(-LN(2)/2)*FS82+(1-EXP(-LN(2)/2))/(LN(2)/2)*FM83*FP83*VLOOKUP('Données projet'!$B$16,Paramètres!$A$1:$I$88,3,0)*0.475*44/12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projet'!$B$17,Paramètres!$A$1:$I$88,3,0)*VLOOKUP('Données projet'!$B$17,Paramètres!$A$1:$I$88,5,0)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projet'!$B$17,Paramètres!$A$1:$I$88,7,0))</f>
        <v>0</v>
      </c>
      <c r="GJ83" s="17">
        <f>IF(ISNA(VLOOKUP(A83,'Données projet'!$A$243:$I$263,6,0)),0%,VLOOKUP(A83,'Données projet'!$A$243:$I$263,6,0)*VLOOKUP('Données projet'!$B$17,Paramètres!$A$1:$I$88,7,0))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projet'!$B$17,Paramètres!$A$1:$I$88,3,0)*0.475*44/12</f>
        <v>#N/A</v>
      </c>
      <c r="GM83" s="23" t="e">
        <f>EXP(-LN(2)/25)*GM82+(1-EXP(-LN(2)/25))/(LN(2)/25)*Calculateur!GH83*Calculateur!GJ83*VLOOKUP('Données projet'!$B$17,Paramètres!$A$1:$I$88,3,0)*0.475*44/12</f>
        <v>#N/A</v>
      </c>
      <c r="GN83" s="23" t="e">
        <f>EXP(-LN(2)/2)*GN82+(1-EXP(-LN(2)/2))/(LN(2)/2)*GH83*GK83*VLOOKUP('Données projet'!$B$17,Paramètres!$A$1:$I$88,3,0)*0.475*44/12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projet'!$B$18,Paramètres!$A$1:$I$88,3,0)*VLOOKUP('Données projet'!$B$18,Paramètres!$A$1:$I$88,5,0)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projet'!$B$18,Paramètres!$A$1:$I$88,7,0))</f>
        <v>0</v>
      </c>
      <c r="HE83" s="17">
        <f>IF(ISNA(VLOOKUP(A83,'Données projet'!$A$269:$I$289,6,0)),0%,VLOOKUP(A83,'Données projet'!$A$269:$I$289,6,0)*VLOOKUP('Données projet'!$B$18,Paramètres!$A$1:$I$88,7,0))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projet'!$B$18,Paramètres!$A$1:$I$88,3,0)*0.475*44/12</f>
        <v>#N/A</v>
      </c>
      <c r="HH83" s="23" t="e">
        <f>EXP(-LN(2)/25)*HH82+(1-EXP(-LN(2)/25))/(LN(2)/25)*Calculateur!HC83*Calculateur!HE83*VLOOKUP('Données projet'!$B$18,Paramètres!$A$1:$I$88,3,0)*0.475*44/12</f>
        <v>#N/A</v>
      </c>
      <c r="HI83" s="23" t="e">
        <f>EXP(-LN(2)/2)*HI82+(1-EXP(-LN(2)/2))/(LN(2)/2)*HC83*HF83*VLOOKUP('Données projet'!$B$18,Paramètres!$A$1:$I$88,3,0)*0.475*44/12</f>
        <v>#N/A</v>
      </c>
      <c r="HJ83" s="24" t="e">
        <f t="shared" si="84"/>
        <v>#N/A</v>
      </c>
    </row>
    <row r="84" spans="1:218" s="5" customFormat="1" x14ac:dyDescent="0.3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4.5474735088646412E-13</v>
      </c>
      <c r="O84" s="14">
        <f>N84*VLOOKUP('Données projet'!$B$9,Paramètres!$A$1:$I$88,3,0)*VLOOKUP('Données projet'!$B$9,Paramètres!$A$1:$I$88,5,0)</f>
        <v>2.5420376914553347E-13</v>
      </c>
      <c r="P84" s="14">
        <f t="shared" si="87"/>
        <v>3.4258699088369875E-12</v>
      </c>
      <c r="Q84" s="22">
        <f t="shared" si="54"/>
        <v>6.4094616558195571E-12</v>
      </c>
      <c r="R84" s="62">
        <f t="shared" si="55"/>
        <v>271.12075302350786</v>
      </c>
      <c r="S84" s="62">
        <f ca="1">AVERAGE(OFFSET($R$3,0,0,'Données projet'!$E$9+1,1))-AVERAGE(OFFSET($H$3,0,0,'Données projet'!$E$9+1,1))</f>
        <v>367.03450586441784</v>
      </c>
      <c r="T84" s="62">
        <f t="shared" si="88"/>
        <v>413.14502442862897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projet'!$B$9,Paramètres!$A$1:$I$88,7,0))</f>
        <v>0</v>
      </c>
      <c r="X84" s="17">
        <f>IF(ISNA(VLOOKUP(A84,'Données projet'!$A$35:$I$55,6,0)),0%,VLOOKUP(A84,'Données projet'!$A$35:$I$55,6,0)*VLOOKUP('Données projet'!$B$9,Paramètres!$A$1:$I$88,7,0))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projet'!$B$9,Paramètres!$A$1:$I$88,3,0)*0.475*44/12</f>
        <v>157.99066255285106</v>
      </c>
      <c r="AA84" s="23">
        <f>EXP(-LN(2)/25)*AA83+(1-EXP(-LN(2)/25))/(LN(2)/25)*Calculateur!V84*Calculateur!X84*VLOOKUP('Données projet'!$B$9,Paramètres!$A$1:$I$88,3,0)*0.475*44/12</f>
        <v>73.852879230827384</v>
      </c>
      <c r="AB84" s="23">
        <f>EXP(-LN(2)/2)*AB83+(1-EXP(-LN(2)/2))/(LN(2)/2)*V84*Y84*VLOOKUP('Données projet'!$B$9,Paramètres!$A$1:$I$88,3,0)*0.475*44/12</f>
        <v>0</v>
      </c>
      <c r="AC84" s="24">
        <f t="shared" si="57"/>
        <v>231.84354178367846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projet'!$B$10,Paramètres!$A$1:$I$88,3,0)*VLOOKUP('Données projet'!$B$10,Paramètres!$A$1:$I$88,5,0)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projet'!$B$10,Paramètres!$A$1:$I$88,7,0))</f>
        <v>0</v>
      </c>
      <c r="AS84" s="17">
        <f>IF(ISNA(VLOOKUP(A84,'Données projet'!$A$61:$I$81,6,0)),0%,VLOOKUP(A84,'Données projet'!$A$61:$I$81,6,0)*VLOOKUP('Données projet'!$B$10,Paramètres!$A$1:$I$88,7,0))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projet'!$B$10,Paramètres!$A$1:$I$88,3,0)*0.475*44/12</f>
        <v>#N/A</v>
      </c>
      <c r="AV84" s="23" t="e">
        <f>EXP(-LN(2)/25)*AV83+(1-EXP(-LN(2)/25))/(LN(2)/25)*Calculateur!AQ84*Calculateur!AS84*VLOOKUP('Données projet'!$B$10,Paramètres!$A$1:$I$88,3,0)*0.475*44/12</f>
        <v>#N/A</v>
      </c>
      <c r="AW84" s="23" t="e">
        <f>EXP(-LN(2)/2)*AW83+(1-EXP(-LN(2)/2))/(LN(2)/2)*AQ84*AT84*VLOOKUP('Données projet'!$B$10,Paramètres!$A$1:$I$88,3,0)*0.475*44/12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projet'!$B$11,Paramètres!$A$1:$I$88,3,0)*VLOOKUP('Données projet'!$B$11,Paramètres!$A$1:$I$88,5,0)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projet'!$B$11,Paramètres!$A$1:$I$88,7,0))</f>
        <v>0</v>
      </c>
      <c r="BN84" s="17">
        <f>IF(ISNA(VLOOKUP(A84,'Données projet'!$A$87:$I$107,6,0)),0%,VLOOKUP(A84,'Données projet'!$A$87:$I$107,6,0)*VLOOKUP('Données projet'!$B$11,Paramètres!$A$1:$I$88,7,0))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projet'!$B$11,Paramètres!$A$1:$I$88,3,0)*0.475*44/12</f>
        <v>#N/A</v>
      </c>
      <c r="BQ84" s="23" t="e">
        <f>EXP(-LN(2)/25)*BQ83+(1-EXP(-LN(2)/25))/(LN(2)/25)*Calculateur!BL84*Calculateur!BN84*VLOOKUP('Données projet'!$B$11,Paramètres!$A$1:$I$88,3,0)*0.475*44/12</f>
        <v>#N/A</v>
      </c>
      <c r="BR84" s="23" t="e">
        <f>EXP(-LN(2)/2)*BR83+(1-EXP(-LN(2)/2))/(LN(2)/2)*BL84*BO84*VLOOKUP('Données projet'!$B$11,Paramètres!$A$1:$I$88,3,0)*0.475*44/12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projet'!$B$12,Paramètres!$A$1:$I$88,3,0)*VLOOKUP('Données projet'!$B$12,Paramètres!$A$1:$I$88,5,0)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projet'!$B$12,Paramètres!$A$1:$I$88,7,0))</f>
        <v>0</v>
      </c>
      <c r="CI84" s="17">
        <f>IF(ISNA(VLOOKUP(A84,'Données projet'!$A$113:$I$133,6,0)),0%,VLOOKUP(A84,'Données projet'!$A$113:$I$133,6,0)*VLOOKUP('Données projet'!$B$12,Paramètres!$A$1:$I$88,7,0))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projet'!$B$12,Paramètres!$A$1:$I$88,3,0)*0.475*44/12</f>
        <v>#N/A</v>
      </c>
      <c r="CL84" s="23" t="e">
        <f>EXP(-LN(2)/25)*CL83+(1-EXP(-LN(2)/25))/(LN(2)/25)*Calculateur!CG84*Calculateur!CI84*VLOOKUP('Données projet'!$B$12,Paramètres!$A$1:$I$88,3,0)*0.475*44/12</f>
        <v>#N/A</v>
      </c>
      <c r="CM84" s="23" t="e">
        <f>EXP(-LN(2)/2)*CM83+(1-EXP(-LN(2)/2))/(LN(2)/2)*CG84*CJ84*VLOOKUP('Données projet'!$B$12,Paramètres!$A$1:$I$88,3,0)*0.475*44/12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projet'!$B$13,Paramètres!$A$1:$I$88,3,0)*VLOOKUP('Données projet'!$B$13,Paramètres!$A$1:$I$88,5,0)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projet'!$B$13,Paramètres!$A$1:$I$88,7,0))</f>
        <v>0</v>
      </c>
      <c r="DD84" s="17">
        <f>IF(ISNA(VLOOKUP(A84,'Données projet'!$A$139:$I$159,6,0)),0%,VLOOKUP(A84,'Données projet'!$A$139:$I$159,6,0)*VLOOKUP('Données projet'!$B$13,Paramètres!$A$1:$I$88,7,0))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projet'!$B$13,Paramètres!$A$1:$I$88,3,0)*0.475*44/12</f>
        <v>#N/A</v>
      </c>
      <c r="DG84" s="23" t="e">
        <f>EXP(-LN(2)/25)*DG83+(1-EXP(-LN(2)/25))/(LN(2)/25)*Calculateur!DB84*Calculateur!DD84*VLOOKUP('Données projet'!$B$13,Paramètres!$A$1:$I$88,3,0)*0.475*44/12</f>
        <v>#N/A</v>
      </c>
      <c r="DH84" s="23" t="e">
        <f>EXP(-LN(2)/2)*DH83+(1-EXP(-LN(2)/2))/(LN(2)/2)*DB84*DE84*VLOOKUP('Données projet'!$B$13,Paramètres!$A$1:$I$88,3,0)*0.475*44/12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projet'!$B$14,Paramètres!$A$1:$I$88,3,0)*VLOOKUP('Données projet'!$B$14,Paramètres!$A$1:$I$88,5,0)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projet'!$B$14,Paramètres!$A$1:$I$88,7,0))</f>
        <v>0</v>
      </c>
      <c r="DY84" s="17">
        <f>IF(ISNA(VLOOKUP(A84,'Données projet'!$A$165:$I$185,6,0)),0%,VLOOKUP(A84,'Données projet'!$A$165:$I$185,6,0)*VLOOKUP('Données projet'!$B$14,Paramètres!$A$1:$I$88,7,0))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projet'!$B$14,Paramètres!$A$1:$I$88,3,0)*0.475*44/12</f>
        <v>#N/A</v>
      </c>
      <c r="EB84" s="23" t="e">
        <f>EXP(-LN(2)/25)*EB83+(1-EXP(-LN(2)/25))/(LN(2)/25)*Calculateur!DW84*Calculateur!DY84*VLOOKUP('Données projet'!$B$14,Paramètres!$A$1:$I$88,3,0)*0.475*44/12</f>
        <v>#N/A</v>
      </c>
      <c r="EC84" s="23" t="e">
        <f>EXP(-LN(2)/2)*EC83+(1-EXP(-LN(2)/2))/(LN(2)/2)*DW84*DZ84*VLOOKUP('Données projet'!$B$14,Paramètres!$A$1:$I$88,3,0)*0.475*44/12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projet'!$B$15,Paramètres!$A$1:$I$88,3,0)*VLOOKUP('Données projet'!$B$15,Paramètres!$A$1:$I$88,5,0)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projet'!$B$15,Paramètres!$A$1:$I$88,7,0))</f>
        <v>0</v>
      </c>
      <c r="ET84" s="17">
        <f>IF(ISNA(VLOOKUP(A84,'Données projet'!$A$191:$I$211,6,0)),0%,VLOOKUP(A84,'Données projet'!$A$191:$I$211,6,0)*VLOOKUP('Données projet'!$B$15,Paramètres!$A$1:$I$88,7,0))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projet'!$B$15,Paramètres!$A$1:$I$88,3,0)*0.475*44/12</f>
        <v>#N/A</v>
      </c>
      <c r="EW84" s="23" t="e">
        <f>EXP(-LN(2)/25)*EW83+(1-EXP(-LN(2)/25))/(LN(2)/25)*Calculateur!ER84*Calculateur!ET84*VLOOKUP('Données projet'!$B$15,Paramètres!$A$1:$I$88,3,0)*0.475*44/12</f>
        <v>#N/A</v>
      </c>
      <c r="EX84" s="23" t="e">
        <f>EXP(-LN(2)/2)*EX83+(1-EXP(-LN(2)/2))/(LN(2)/2)*ER84*EU84*VLOOKUP('Données projet'!$B$15,Paramètres!$A$1:$I$88,3,0)*0.475*44/12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projet'!$B$16,Paramètres!$A$1:$I$88,3,0)*VLOOKUP('Données projet'!$B$16,Paramètres!$A$1:$I$88,5,0)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projet'!$B$16,Paramètres!$A$1:$I$88,7,0))</f>
        <v>0</v>
      </c>
      <c r="FO84" s="17">
        <f>IF(ISNA(VLOOKUP(A84,'Données projet'!$A$217:$I$237,6,0)),0%,VLOOKUP(A84,'Données projet'!$A$217:$I$237,6,0)*VLOOKUP('Données projet'!$B$16,Paramètres!$A$1:$I$88,7,0))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projet'!$B$16,Paramètres!$A$1:$I$88,3,0)*0.475*44/12</f>
        <v>#N/A</v>
      </c>
      <c r="FR84" s="23" t="e">
        <f>EXP(-LN(2)/25)*FR83+(1-EXP(-LN(2)/25))/(LN(2)/25)*Calculateur!FM84*Calculateur!FO84*VLOOKUP('Données projet'!$B$16,Paramètres!$A$1:$I$88,3,0)*0.475*44/12</f>
        <v>#N/A</v>
      </c>
      <c r="FS84" s="23" t="e">
        <f>EXP(-LN(2)/2)*FS83+(1-EXP(-LN(2)/2))/(LN(2)/2)*FM84*FP84*VLOOKUP('Données projet'!$B$16,Paramètres!$A$1:$I$88,3,0)*0.475*44/12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projet'!$B$17,Paramètres!$A$1:$I$88,3,0)*VLOOKUP('Données projet'!$B$17,Paramètres!$A$1:$I$88,5,0)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projet'!$B$17,Paramètres!$A$1:$I$88,7,0))</f>
        <v>0</v>
      </c>
      <c r="GJ84" s="17">
        <f>IF(ISNA(VLOOKUP(A84,'Données projet'!$A$243:$I$263,6,0)),0%,VLOOKUP(A84,'Données projet'!$A$243:$I$263,6,0)*VLOOKUP('Données projet'!$B$17,Paramètres!$A$1:$I$88,7,0))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projet'!$B$17,Paramètres!$A$1:$I$88,3,0)*0.475*44/12</f>
        <v>#N/A</v>
      </c>
      <c r="GM84" s="23" t="e">
        <f>EXP(-LN(2)/25)*GM83+(1-EXP(-LN(2)/25))/(LN(2)/25)*Calculateur!GH84*Calculateur!GJ84*VLOOKUP('Données projet'!$B$17,Paramètres!$A$1:$I$88,3,0)*0.475*44/12</f>
        <v>#N/A</v>
      </c>
      <c r="GN84" s="23" t="e">
        <f>EXP(-LN(2)/2)*GN83+(1-EXP(-LN(2)/2))/(LN(2)/2)*GH84*GK84*VLOOKUP('Données projet'!$B$17,Paramètres!$A$1:$I$88,3,0)*0.475*44/12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projet'!$B$18,Paramètres!$A$1:$I$88,3,0)*VLOOKUP('Données projet'!$B$18,Paramètres!$A$1:$I$88,5,0)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projet'!$B$18,Paramètres!$A$1:$I$88,7,0))</f>
        <v>0</v>
      </c>
      <c r="HE84" s="17">
        <f>IF(ISNA(VLOOKUP(A84,'Données projet'!$A$269:$I$289,6,0)),0%,VLOOKUP(A84,'Données projet'!$A$269:$I$289,6,0)*VLOOKUP('Données projet'!$B$18,Paramètres!$A$1:$I$88,7,0))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projet'!$B$18,Paramètres!$A$1:$I$88,3,0)*0.475*44/12</f>
        <v>#N/A</v>
      </c>
      <c r="HH84" s="23" t="e">
        <f>EXP(-LN(2)/25)*HH83+(1-EXP(-LN(2)/25))/(LN(2)/25)*Calculateur!HC84*Calculateur!HE84*VLOOKUP('Données projet'!$B$18,Paramètres!$A$1:$I$88,3,0)*0.475*44/12</f>
        <v>#N/A</v>
      </c>
      <c r="HI84" s="23" t="e">
        <f>EXP(-LN(2)/2)*HI83+(1-EXP(-LN(2)/2))/(LN(2)/2)*HC84*HF84*VLOOKUP('Données projet'!$B$18,Paramètres!$A$1:$I$88,3,0)*0.475*44/12</f>
        <v>#N/A</v>
      </c>
      <c r="HJ84" s="24" t="e">
        <f t="shared" si="84"/>
        <v>#N/A</v>
      </c>
    </row>
    <row r="85" spans="1:218" s="5" customFormat="1" x14ac:dyDescent="0.3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4.5474735088646412E-13</v>
      </c>
      <c r="O85" s="14">
        <f>N85*VLOOKUP('Données projet'!$B$9,Paramètres!$A$1:$I$88,3,0)*VLOOKUP('Données projet'!$B$9,Paramètres!$A$1:$I$88,5,0)</f>
        <v>2.5420376914553347E-13</v>
      </c>
      <c r="P85" s="14">
        <f t="shared" si="87"/>
        <v>3.4258699088369875E-12</v>
      </c>
      <c r="Q85" s="22">
        <f t="shared" si="54"/>
        <v>6.4094616558195571E-12</v>
      </c>
      <c r="R85" s="62">
        <f t="shared" si="55"/>
        <v>271.50609163199346</v>
      </c>
      <c r="S85" s="62">
        <f ca="1">AVERAGE(OFFSET($R$3,0,0,'Données projet'!$E$9+1,1))-AVERAGE(OFFSET($H$3,0,0,'Données projet'!$E$9+1,1))</f>
        <v>367.03450586441784</v>
      </c>
      <c r="T85" s="62">
        <f t="shared" si="88"/>
        <v>413.14502442862897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projet'!$B$9,Paramètres!$A$1:$I$88,7,0))</f>
        <v>0</v>
      </c>
      <c r="X85" s="17">
        <f>IF(ISNA(VLOOKUP(A85,'Données projet'!$A$35:$I$55,6,0)),0%,VLOOKUP(A85,'Données projet'!$A$35:$I$55,6,0)*VLOOKUP('Données projet'!$B$9,Paramètres!$A$1:$I$88,7,0))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projet'!$B$9,Paramètres!$A$1:$I$88,3,0)*0.475*44/12</f>
        <v>154.89256202497859</v>
      </c>
      <c r="AA85" s="23">
        <f>EXP(-LN(2)/25)*AA84+(1-EXP(-LN(2)/25))/(LN(2)/25)*Calculateur!V85*Calculateur!X85*VLOOKUP('Données projet'!$B$9,Paramètres!$A$1:$I$88,3,0)*0.475*44/12</f>
        <v>71.833368364506285</v>
      </c>
      <c r="AB85" s="23">
        <f>EXP(-LN(2)/2)*AB84+(1-EXP(-LN(2)/2))/(LN(2)/2)*V85*Y85*VLOOKUP('Données projet'!$B$9,Paramètres!$A$1:$I$88,3,0)*0.475*44/12</f>
        <v>0</v>
      </c>
      <c r="AC85" s="24">
        <f t="shared" si="57"/>
        <v>226.72593038948486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projet'!$B$10,Paramètres!$A$1:$I$88,3,0)*VLOOKUP('Données projet'!$B$10,Paramètres!$A$1:$I$88,5,0)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projet'!$B$10,Paramètres!$A$1:$I$88,7,0))</f>
        <v>0</v>
      </c>
      <c r="AS85" s="17">
        <f>IF(ISNA(VLOOKUP(A85,'Données projet'!$A$61:$I$81,6,0)),0%,VLOOKUP(A85,'Données projet'!$A$61:$I$81,6,0)*VLOOKUP('Données projet'!$B$10,Paramètres!$A$1:$I$88,7,0))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projet'!$B$10,Paramètres!$A$1:$I$88,3,0)*0.475*44/12</f>
        <v>#N/A</v>
      </c>
      <c r="AV85" s="23" t="e">
        <f>EXP(-LN(2)/25)*AV84+(1-EXP(-LN(2)/25))/(LN(2)/25)*Calculateur!AQ85*Calculateur!AS85*VLOOKUP('Données projet'!$B$10,Paramètres!$A$1:$I$88,3,0)*0.475*44/12</f>
        <v>#N/A</v>
      </c>
      <c r="AW85" s="23" t="e">
        <f>EXP(-LN(2)/2)*AW84+(1-EXP(-LN(2)/2))/(LN(2)/2)*AQ85*AT85*VLOOKUP('Données projet'!$B$10,Paramètres!$A$1:$I$88,3,0)*0.475*44/12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projet'!$B$11,Paramètres!$A$1:$I$88,3,0)*VLOOKUP('Données projet'!$B$11,Paramètres!$A$1:$I$88,5,0)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projet'!$B$11,Paramètres!$A$1:$I$88,7,0))</f>
        <v>0</v>
      </c>
      <c r="BN85" s="17">
        <f>IF(ISNA(VLOOKUP(A85,'Données projet'!$A$87:$I$107,6,0)),0%,VLOOKUP(A85,'Données projet'!$A$87:$I$107,6,0)*VLOOKUP('Données projet'!$B$11,Paramètres!$A$1:$I$88,7,0))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projet'!$B$11,Paramètres!$A$1:$I$88,3,0)*0.475*44/12</f>
        <v>#N/A</v>
      </c>
      <c r="BQ85" s="23" t="e">
        <f>EXP(-LN(2)/25)*BQ84+(1-EXP(-LN(2)/25))/(LN(2)/25)*Calculateur!BL85*Calculateur!BN85*VLOOKUP('Données projet'!$B$11,Paramètres!$A$1:$I$88,3,0)*0.475*44/12</f>
        <v>#N/A</v>
      </c>
      <c r="BR85" s="23" t="e">
        <f>EXP(-LN(2)/2)*BR84+(1-EXP(-LN(2)/2))/(LN(2)/2)*BL85*BO85*VLOOKUP('Données projet'!$B$11,Paramètres!$A$1:$I$88,3,0)*0.475*44/12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projet'!$B$12,Paramètres!$A$1:$I$88,3,0)*VLOOKUP('Données projet'!$B$12,Paramètres!$A$1:$I$88,5,0)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projet'!$B$12,Paramètres!$A$1:$I$88,7,0))</f>
        <v>0</v>
      </c>
      <c r="CI85" s="17">
        <f>IF(ISNA(VLOOKUP(A85,'Données projet'!$A$113:$I$133,6,0)),0%,VLOOKUP(A85,'Données projet'!$A$113:$I$133,6,0)*VLOOKUP('Données projet'!$B$12,Paramètres!$A$1:$I$88,7,0))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projet'!$B$12,Paramètres!$A$1:$I$88,3,0)*0.475*44/12</f>
        <v>#N/A</v>
      </c>
      <c r="CL85" s="23" t="e">
        <f>EXP(-LN(2)/25)*CL84+(1-EXP(-LN(2)/25))/(LN(2)/25)*Calculateur!CG85*Calculateur!CI85*VLOOKUP('Données projet'!$B$12,Paramètres!$A$1:$I$88,3,0)*0.475*44/12</f>
        <v>#N/A</v>
      </c>
      <c r="CM85" s="23" t="e">
        <f>EXP(-LN(2)/2)*CM84+(1-EXP(-LN(2)/2))/(LN(2)/2)*CG85*CJ85*VLOOKUP('Données projet'!$B$12,Paramètres!$A$1:$I$88,3,0)*0.475*44/12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projet'!$B$13,Paramètres!$A$1:$I$88,3,0)*VLOOKUP('Données projet'!$B$13,Paramètres!$A$1:$I$88,5,0)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projet'!$B$13,Paramètres!$A$1:$I$88,7,0))</f>
        <v>0</v>
      </c>
      <c r="DD85" s="17">
        <f>IF(ISNA(VLOOKUP(A85,'Données projet'!$A$139:$I$159,6,0)),0%,VLOOKUP(A85,'Données projet'!$A$139:$I$159,6,0)*VLOOKUP('Données projet'!$B$13,Paramètres!$A$1:$I$88,7,0))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projet'!$B$13,Paramètres!$A$1:$I$88,3,0)*0.475*44/12</f>
        <v>#N/A</v>
      </c>
      <c r="DG85" s="23" t="e">
        <f>EXP(-LN(2)/25)*DG84+(1-EXP(-LN(2)/25))/(LN(2)/25)*Calculateur!DB85*Calculateur!DD85*VLOOKUP('Données projet'!$B$13,Paramètres!$A$1:$I$88,3,0)*0.475*44/12</f>
        <v>#N/A</v>
      </c>
      <c r="DH85" s="23" t="e">
        <f>EXP(-LN(2)/2)*DH84+(1-EXP(-LN(2)/2))/(LN(2)/2)*DB85*DE85*VLOOKUP('Données projet'!$B$13,Paramètres!$A$1:$I$88,3,0)*0.475*44/12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projet'!$B$14,Paramètres!$A$1:$I$88,3,0)*VLOOKUP('Données projet'!$B$14,Paramètres!$A$1:$I$88,5,0)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projet'!$B$14,Paramètres!$A$1:$I$88,7,0))</f>
        <v>0</v>
      </c>
      <c r="DY85" s="17">
        <f>IF(ISNA(VLOOKUP(A85,'Données projet'!$A$165:$I$185,6,0)),0%,VLOOKUP(A85,'Données projet'!$A$165:$I$185,6,0)*VLOOKUP('Données projet'!$B$14,Paramètres!$A$1:$I$88,7,0))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projet'!$B$14,Paramètres!$A$1:$I$88,3,0)*0.475*44/12</f>
        <v>#N/A</v>
      </c>
      <c r="EB85" s="23" t="e">
        <f>EXP(-LN(2)/25)*EB84+(1-EXP(-LN(2)/25))/(LN(2)/25)*Calculateur!DW85*Calculateur!DY85*VLOOKUP('Données projet'!$B$14,Paramètres!$A$1:$I$88,3,0)*0.475*44/12</f>
        <v>#N/A</v>
      </c>
      <c r="EC85" s="23" t="e">
        <f>EXP(-LN(2)/2)*EC84+(1-EXP(-LN(2)/2))/(LN(2)/2)*DW85*DZ85*VLOOKUP('Données projet'!$B$14,Paramètres!$A$1:$I$88,3,0)*0.475*44/12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projet'!$B$15,Paramètres!$A$1:$I$88,3,0)*VLOOKUP('Données projet'!$B$15,Paramètres!$A$1:$I$88,5,0)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projet'!$B$15,Paramètres!$A$1:$I$88,7,0))</f>
        <v>0</v>
      </c>
      <c r="ET85" s="17">
        <f>IF(ISNA(VLOOKUP(A85,'Données projet'!$A$191:$I$211,6,0)),0%,VLOOKUP(A85,'Données projet'!$A$191:$I$211,6,0)*VLOOKUP('Données projet'!$B$15,Paramètres!$A$1:$I$88,7,0))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projet'!$B$15,Paramètres!$A$1:$I$88,3,0)*0.475*44/12</f>
        <v>#N/A</v>
      </c>
      <c r="EW85" s="23" t="e">
        <f>EXP(-LN(2)/25)*EW84+(1-EXP(-LN(2)/25))/(LN(2)/25)*Calculateur!ER85*Calculateur!ET85*VLOOKUP('Données projet'!$B$15,Paramètres!$A$1:$I$88,3,0)*0.475*44/12</f>
        <v>#N/A</v>
      </c>
      <c r="EX85" s="23" t="e">
        <f>EXP(-LN(2)/2)*EX84+(1-EXP(-LN(2)/2))/(LN(2)/2)*ER85*EU85*VLOOKUP('Données projet'!$B$15,Paramètres!$A$1:$I$88,3,0)*0.475*44/12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projet'!$B$16,Paramètres!$A$1:$I$88,3,0)*VLOOKUP('Données projet'!$B$16,Paramètres!$A$1:$I$88,5,0)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projet'!$B$16,Paramètres!$A$1:$I$88,7,0))</f>
        <v>0</v>
      </c>
      <c r="FO85" s="17">
        <f>IF(ISNA(VLOOKUP(A85,'Données projet'!$A$217:$I$237,6,0)),0%,VLOOKUP(A85,'Données projet'!$A$217:$I$237,6,0)*VLOOKUP('Données projet'!$B$16,Paramètres!$A$1:$I$88,7,0))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projet'!$B$16,Paramètres!$A$1:$I$88,3,0)*0.475*44/12</f>
        <v>#N/A</v>
      </c>
      <c r="FR85" s="23" t="e">
        <f>EXP(-LN(2)/25)*FR84+(1-EXP(-LN(2)/25))/(LN(2)/25)*Calculateur!FM85*Calculateur!FO85*VLOOKUP('Données projet'!$B$16,Paramètres!$A$1:$I$88,3,0)*0.475*44/12</f>
        <v>#N/A</v>
      </c>
      <c r="FS85" s="23" t="e">
        <f>EXP(-LN(2)/2)*FS84+(1-EXP(-LN(2)/2))/(LN(2)/2)*FM85*FP85*VLOOKUP('Données projet'!$B$16,Paramètres!$A$1:$I$88,3,0)*0.475*44/12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projet'!$B$17,Paramètres!$A$1:$I$88,3,0)*VLOOKUP('Données projet'!$B$17,Paramètres!$A$1:$I$88,5,0)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projet'!$B$17,Paramètres!$A$1:$I$88,7,0))</f>
        <v>0</v>
      </c>
      <c r="GJ85" s="17">
        <f>IF(ISNA(VLOOKUP(A85,'Données projet'!$A$243:$I$263,6,0)),0%,VLOOKUP(A85,'Données projet'!$A$243:$I$263,6,0)*VLOOKUP('Données projet'!$B$17,Paramètres!$A$1:$I$88,7,0))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projet'!$B$17,Paramètres!$A$1:$I$88,3,0)*0.475*44/12</f>
        <v>#N/A</v>
      </c>
      <c r="GM85" s="23" t="e">
        <f>EXP(-LN(2)/25)*GM84+(1-EXP(-LN(2)/25))/(LN(2)/25)*Calculateur!GH85*Calculateur!GJ85*VLOOKUP('Données projet'!$B$17,Paramètres!$A$1:$I$88,3,0)*0.475*44/12</f>
        <v>#N/A</v>
      </c>
      <c r="GN85" s="23" t="e">
        <f>EXP(-LN(2)/2)*GN84+(1-EXP(-LN(2)/2))/(LN(2)/2)*GH85*GK85*VLOOKUP('Données projet'!$B$17,Paramètres!$A$1:$I$88,3,0)*0.475*44/12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projet'!$B$18,Paramètres!$A$1:$I$88,3,0)*VLOOKUP('Données projet'!$B$18,Paramètres!$A$1:$I$88,5,0)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projet'!$B$18,Paramètres!$A$1:$I$88,7,0))</f>
        <v>0</v>
      </c>
      <c r="HE85" s="17">
        <f>IF(ISNA(VLOOKUP(A85,'Données projet'!$A$269:$I$289,6,0)),0%,VLOOKUP(A85,'Données projet'!$A$269:$I$289,6,0)*VLOOKUP('Données projet'!$B$18,Paramètres!$A$1:$I$88,7,0))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projet'!$B$18,Paramètres!$A$1:$I$88,3,0)*0.475*44/12</f>
        <v>#N/A</v>
      </c>
      <c r="HH85" s="23" t="e">
        <f>EXP(-LN(2)/25)*HH84+(1-EXP(-LN(2)/25))/(LN(2)/25)*Calculateur!HC85*Calculateur!HE85*VLOOKUP('Données projet'!$B$18,Paramètres!$A$1:$I$88,3,0)*0.475*44/12</f>
        <v>#N/A</v>
      </c>
      <c r="HI85" s="23" t="e">
        <f>EXP(-LN(2)/2)*HI84+(1-EXP(-LN(2)/2))/(LN(2)/2)*HC85*HF85*VLOOKUP('Données projet'!$B$18,Paramètres!$A$1:$I$88,3,0)*0.475*44/12</f>
        <v>#N/A</v>
      </c>
      <c r="HJ85" s="24" t="e">
        <f t="shared" si="84"/>
        <v>#N/A</v>
      </c>
    </row>
    <row r="86" spans="1:218" s="5" customFormat="1" x14ac:dyDescent="0.3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4.5474735088646412E-13</v>
      </c>
      <c r="O86" s="14">
        <f>N86*VLOOKUP('Données projet'!$B$9,Paramètres!$A$1:$I$88,3,0)*VLOOKUP('Données projet'!$B$9,Paramètres!$A$1:$I$88,5,0)</f>
        <v>2.5420376914553347E-13</v>
      </c>
      <c r="P86" s="14">
        <f t="shared" si="87"/>
        <v>3.4258699088369875E-12</v>
      </c>
      <c r="Q86" s="22">
        <f t="shared" si="54"/>
        <v>6.4094616558195571E-12</v>
      </c>
      <c r="R86" s="62">
        <f t="shared" si="55"/>
        <v>271.8847454771099</v>
      </c>
      <c r="S86" s="62">
        <f ca="1">AVERAGE(OFFSET($R$3,0,0,'Données projet'!$E$9+1,1))-AVERAGE(OFFSET($H$3,0,0,'Données projet'!$E$9+1,1))</f>
        <v>367.03450586441784</v>
      </c>
      <c r="T86" s="62">
        <f t="shared" si="88"/>
        <v>413.14502442862897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projet'!$B$9,Paramètres!$A$1:$I$88,7,0))</f>
        <v>0</v>
      </c>
      <c r="X86" s="17">
        <f>IF(ISNA(VLOOKUP(A86,'Données projet'!$A$35:$I$55,6,0)),0%,VLOOKUP(A86,'Données projet'!$A$35:$I$55,6,0)*VLOOKUP('Données projet'!$B$9,Paramètres!$A$1:$I$88,7,0))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projet'!$B$9,Paramètres!$A$1:$I$88,3,0)*0.475*44/12</f>
        <v>151.85521335880296</v>
      </c>
      <c r="AA86" s="23">
        <f>EXP(-LN(2)/25)*AA85+(1-EXP(-LN(2)/25))/(LN(2)/25)*Calculateur!V86*Calculateur!X86*VLOOKUP('Données projet'!$B$9,Paramètres!$A$1:$I$88,3,0)*0.475*44/12</f>
        <v>69.869081129026199</v>
      </c>
      <c r="AB86" s="23">
        <f>EXP(-LN(2)/2)*AB85+(1-EXP(-LN(2)/2))/(LN(2)/2)*V86*Y86*VLOOKUP('Données projet'!$B$9,Paramètres!$A$1:$I$88,3,0)*0.475*44/12</f>
        <v>0</v>
      </c>
      <c r="AC86" s="24">
        <f t="shared" si="57"/>
        <v>221.72429448782916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projet'!$B$10,Paramètres!$A$1:$I$88,3,0)*VLOOKUP('Données projet'!$B$10,Paramètres!$A$1:$I$88,5,0)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projet'!$B$10,Paramètres!$A$1:$I$88,7,0))</f>
        <v>0</v>
      </c>
      <c r="AS86" s="17">
        <f>IF(ISNA(VLOOKUP(A86,'Données projet'!$A$61:$I$81,6,0)),0%,VLOOKUP(A86,'Données projet'!$A$61:$I$81,6,0)*VLOOKUP('Données projet'!$B$10,Paramètres!$A$1:$I$88,7,0))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projet'!$B$10,Paramètres!$A$1:$I$88,3,0)*0.475*44/12</f>
        <v>#N/A</v>
      </c>
      <c r="AV86" s="23" t="e">
        <f>EXP(-LN(2)/25)*AV85+(1-EXP(-LN(2)/25))/(LN(2)/25)*Calculateur!AQ86*Calculateur!AS86*VLOOKUP('Données projet'!$B$10,Paramètres!$A$1:$I$88,3,0)*0.475*44/12</f>
        <v>#N/A</v>
      </c>
      <c r="AW86" s="23" t="e">
        <f>EXP(-LN(2)/2)*AW85+(1-EXP(-LN(2)/2))/(LN(2)/2)*AQ86*AT86*VLOOKUP('Données projet'!$B$10,Paramètres!$A$1:$I$88,3,0)*0.475*44/12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projet'!$B$11,Paramètres!$A$1:$I$88,3,0)*VLOOKUP('Données projet'!$B$11,Paramètres!$A$1:$I$88,5,0)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projet'!$B$11,Paramètres!$A$1:$I$88,7,0))</f>
        <v>0</v>
      </c>
      <c r="BN86" s="17">
        <f>IF(ISNA(VLOOKUP(A86,'Données projet'!$A$87:$I$107,6,0)),0%,VLOOKUP(A86,'Données projet'!$A$87:$I$107,6,0)*VLOOKUP('Données projet'!$B$11,Paramètres!$A$1:$I$88,7,0))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projet'!$B$11,Paramètres!$A$1:$I$88,3,0)*0.475*44/12</f>
        <v>#N/A</v>
      </c>
      <c r="BQ86" s="23" t="e">
        <f>EXP(-LN(2)/25)*BQ85+(1-EXP(-LN(2)/25))/(LN(2)/25)*Calculateur!BL86*Calculateur!BN86*VLOOKUP('Données projet'!$B$11,Paramètres!$A$1:$I$88,3,0)*0.475*44/12</f>
        <v>#N/A</v>
      </c>
      <c r="BR86" s="23" t="e">
        <f>EXP(-LN(2)/2)*BR85+(1-EXP(-LN(2)/2))/(LN(2)/2)*BL86*BO86*VLOOKUP('Données projet'!$B$11,Paramètres!$A$1:$I$88,3,0)*0.475*44/12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projet'!$B$12,Paramètres!$A$1:$I$88,3,0)*VLOOKUP('Données projet'!$B$12,Paramètres!$A$1:$I$88,5,0)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projet'!$B$12,Paramètres!$A$1:$I$88,7,0))</f>
        <v>0</v>
      </c>
      <c r="CI86" s="17">
        <f>IF(ISNA(VLOOKUP(A86,'Données projet'!$A$113:$I$133,6,0)),0%,VLOOKUP(A86,'Données projet'!$A$113:$I$133,6,0)*VLOOKUP('Données projet'!$B$12,Paramètres!$A$1:$I$88,7,0))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projet'!$B$12,Paramètres!$A$1:$I$88,3,0)*0.475*44/12</f>
        <v>#N/A</v>
      </c>
      <c r="CL86" s="23" t="e">
        <f>EXP(-LN(2)/25)*CL85+(1-EXP(-LN(2)/25))/(LN(2)/25)*Calculateur!CG86*Calculateur!CI86*VLOOKUP('Données projet'!$B$12,Paramètres!$A$1:$I$88,3,0)*0.475*44/12</f>
        <v>#N/A</v>
      </c>
      <c r="CM86" s="23" t="e">
        <f>EXP(-LN(2)/2)*CM85+(1-EXP(-LN(2)/2))/(LN(2)/2)*CG86*CJ86*VLOOKUP('Données projet'!$B$12,Paramètres!$A$1:$I$88,3,0)*0.475*44/12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projet'!$B$13,Paramètres!$A$1:$I$88,3,0)*VLOOKUP('Données projet'!$B$13,Paramètres!$A$1:$I$88,5,0)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projet'!$B$13,Paramètres!$A$1:$I$88,7,0))</f>
        <v>0</v>
      </c>
      <c r="DD86" s="17">
        <f>IF(ISNA(VLOOKUP(A86,'Données projet'!$A$139:$I$159,6,0)),0%,VLOOKUP(A86,'Données projet'!$A$139:$I$159,6,0)*VLOOKUP('Données projet'!$B$13,Paramètres!$A$1:$I$88,7,0))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projet'!$B$13,Paramètres!$A$1:$I$88,3,0)*0.475*44/12</f>
        <v>#N/A</v>
      </c>
      <c r="DG86" s="23" t="e">
        <f>EXP(-LN(2)/25)*DG85+(1-EXP(-LN(2)/25))/(LN(2)/25)*Calculateur!DB86*Calculateur!DD86*VLOOKUP('Données projet'!$B$13,Paramètres!$A$1:$I$88,3,0)*0.475*44/12</f>
        <v>#N/A</v>
      </c>
      <c r="DH86" s="23" t="e">
        <f>EXP(-LN(2)/2)*DH85+(1-EXP(-LN(2)/2))/(LN(2)/2)*DB86*DE86*VLOOKUP('Données projet'!$B$13,Paramètres!$A$1:$I$88,3,0)*0.475*44/12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projet'!$B$14,Paramètres!$A$1:$I$88,3,0)*VLOOKUP('Données projet'!$B$14,Paramètres!$A$1:$I$88,5,0)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projet'!$B$14,Paramètres!$A$1:$I$88,7,0))</f>
        <v>0</v>
      </c>
      <c r="DY86" s="17">
        <f>IF(ISNA(VLOOKUP(A86,'Données projet'!$A$165:$I$185,6,0)),0%,VLOOKUP(A86,'Données projet'!$A$165:$I$185,6,0)*VLOOKUP('Données projet'!$B$14,Paramètres!$A$1:$I$88,7,0))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projet'!$B$14,Paramètres!$A$1:$I$88,3,0)*0.475*44/12</f>
        <v>#N/A</v>
      </c>
      <c r="EB86" s="23" t="e">
        <f>EXP(-LN(2)/25)*EB85+(1-EXP(-LN(2)/25))/(LN(2)/25)*Calculateur!DW86*Calculateur!DY86*VLOOKUP('Données projet'!$B$14,Paramètres!$A$1:$I$88,3,0)*0.475*44/12</f>
        <v>#N/A</v>
      </c>
      <c r="EC86" s="23" t="e">
        <f>EXP(-LN(2)/2)*EC85+(1-EXP(-LN(2)/2))/(LN(2)/2)*DW86*DZ86*VLOOKUP('Données projet'!$B$14,Paramètres!$A$1:$I$88,3,0)*0.475*44/12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projet'!$B$15,Paramètres!$A$1:$I$88,3,0)*VLOOKUP('Données projet'!$B$15,Paramètres!$A$1:$I$88,5,0)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projet'!$B$15,Paramètres!$A$1:$I$88,7,0))</f>
        <v>0</v>
      </c>
      <c r="ET86" s="17">
        <f>IF(ISNA(VLOOKUP(A86,'Données projet'!$A$191:$I$211,6,0)),0%,VLOOKUP(A86,'Données projet'!$A$191:$I$211,6,0)*VLOOKUP('Données projet'!$B$15,Paramètres!$A$1:$I$88,7,0))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projet'!$B$15,Paramètres!$A$1:$I$88,3,0)*0.475*44/12</f>
        <v>#N/A</v>
      </c>
      <c r="EW86" s="23" t="e">
        <f>EXP(-LN(2)/25)*EW85+(1-EXP(-LN(2)/25))/(LN(2)/25)*Calculateur!ER86*Calculateur!ET86*VLOOKUP('Données projet'!$B$15,Paramètres!$A$1:$I$88,3,0)*0.475*44/12</f>
        <v>#N/A</v>
      </c>
      <c r="EX86" s="23" t="e">
        <f>EXP(-LN(2)/2)*EX85+(1-EXP(-LN(2)/2))/(LN(2)/2)*ER86*EU86*VLOOKUP('Données projet'!$B$15,Paramètres!$A$1:$I$88,3,0)*0.475*44/12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projet'!$B$16,Paramètres!$A$1:$I$88,3,0)*VLOOKUP('Données projet'!$B$16,Paramètres!$A$1:$I$88,5,0)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projet'!$B$16,Paramètres!$A$1:$I$88,7,0))</f>
        <v>0</v>
      </c>
      <c r="FO86" s="17">
        <f>IF(ISNA(VLOOKUP(A86,'Données projet'!$A$217:$I$237,6,0)),0%,VLOOKUP(A86,'Données projet'!$A$217:$I$237,6,0)*VLOOKUP('Données projet'!$B$16,Paramètres!$A$1:$I$88,7,0))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projet'!$B$16,Paramètres!$A$1:$I$88,3,0)*0.475*44/12</f>
        <v>#N/A</v>
      </c>
      <c r="FR86" s="23" t="e">
        <f>EXP(-LN(2)/25)*FR85+(1-EXP(-LN(2)/25))/(LN(2)/25)*Calculateur!FM86*Calculateur!FO86*VLOOKUP('Données projet'!$B$16,Paramètres!$A$1:$I$88,3,0)*0.475*44/12</f>
        <v>#N/A</v>
      </c>
      <c r="FS86" s="23" t="e">
        <f>EXP(-LN(2)/2)*FS85+(1-EXP(-LN(2)/2))/(LN(2)/2)*FM86*FP86*VLOOKUP('Données projet'!$B$16,Paramètres!$A$1:$I$88,3,0)*0.475*44/12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projet'!$B$17,Paramètres!$A$1:$I$88,3,0)*VLOOKUP('Données projet'!$B$17,Paramètres!$A$1:$I$88,5,0)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projet'!$B$17,Paramètres!$A$1:$I$88,7,0))</f>
        <v>0</v>
      </c>
      <c r="GJ86" s="17">
        <f>IF(ISNA(VLOOKUP(A86,'Données projet'!$A$243:$I$263,6,0)),0%,VLOOKUP(A86,'Données projet'!$A$243:$I$263,6,0)*VLOOKUP('Données projet'!$B$17,Paramètres!$A$1:$I$88,7,0))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projet'!$B$17,Paramètres!$A$1:$I$88,3,0)*0.475*44/12</f>
        <v>#N/A</v>
      </c>
      <c r="GM86" s="23" t="e">
        <f>EXP(-LN(2)/25)*GM85+(1-EXP(-LN(2)/25))/(LN(2)/25)*Calculateur!GH86*Calculateur!GJ86*VLOOKUP('Données projet'!$B$17,Paramètres!$A$1:$I$88,3,0)*0.475*44/12</f>
        <v>#N/A</v>
      </c>
      <c r="GN86" s="23" t="e">
        <f>EXP(-LN(2)/2)*GN85+(1-EXP(-LN(2)/2))/(LN(2)/2)*GH86*GK86*VLOOKUP('Données projet'!$B$17,Paramètres!$A$1:$I$88,3,0)*0.475*44/12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projet'!$B$18,Paramètres!$A$1:$I$88,3,0)*VLOOKUP('Données projet'!$B$18,Paramètres!$A$1:$I$88,5,0)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projet'!$B$18,Paramètres!$A$1:$I$88,7,0))</f>
        <v>0</v>
      </c>
      <c r="HE86" s="17">
        <f>IF(ISNA(VLOOKUP(A86,'Données projet'!$A$269:$I$289,6,0)),0%,VLOOKUP(A86,'Données projet'!$A$269:$I$289,6,0)*VLOOKUP('Données projet'!$B$18,Paramètres!$A$1:$I$88,7,0))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projet'!$B$18,Paramètres!$A$1:$I$88,3,0)*0.475*44/12</f>
        <v>#N/A</v>
      </c>
      <c r="HH86" s="23" t="e">
        <f>EXP(-LN(2)/25)*HH85+(1-EXP(-LN(2)/25))/(LN(2)/25)*Calculateur!HC86*Calculateur!HE86*VLOOKUP('Données projet'!$B$18,Paramètres!$A$1:$I$88,3,0)*0.475*44/12</f>
        <v>#N/A</v>
      </c>
      <c r="HI86" s="23" t="e">
        <f>EXP(-LN(2)/2)*HI85+(1-EXP(-LN(2)/2))/(LN(2)/2)*HC86*HF86*VLOOKUP('Données projet'!$B$18,Paramètres!$A$1:$I$88,3,0)*0.475*44/12</f>
        <v>#N/A</v>
      </c>
      <c r="HJ86" s="24" t="e">
        <f t="shared" si="84"/>
        <v>#N/A</v>
      </c>
    </row>
    <row r="87" spans="1:218" s="5" customFormat="1" x14ac:dyDescent="0.3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4.5474735088646412E-13</v>
      </c>
      <c r="O87" s="14">
        <f>N87*VLOOKUP('Données projet'!$B$9,Paramètres!$A$1:$I$88,3,0)*VLOOKUP('Données projet'!$B$9,Paramètres!$A$1:$I$88,5,0)</f>
        <v>2.5420376914553347E-13</v>
      </c>
      <c r="P87" s="14">
        <f t="shared" si="87"/>
        <v>3.4258699088369875E-12</v>
      </c>
      <c r="Q87" s="22">
        <f t="shared" si="54"/>
        <v>6.4094616558195571E-12</v>
      </c>
      <c r="R87" s="62">
        <f t="shared" si="55"/>
        <v>272.25683052455673</v>
      </c>
      <c r="S87" s="62">
        <f ca="1">AVERAGE(OFFSET($R$3,0,0,'Données projet'!$E$9+1,1))-AVERAGE(OFFSET($H$3,0,0,'Données projet'!$E$9+1,1))</f>
        <v>367.03450586441784</v>
      </c>
      <c r="T87" s="62">
        <f t="shared" si="88"/>
        <v>413.14502442862897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projet'!$B$9,Paramètres!$A$1:$I$88,7,0))</f>
        <v>0</v>
      </c>
      <c r="X87" s="17">
        <f>IF(ISNA(VLOOKUP(A87,'Données projet'!$A$35:$I$55,6,0)),0%,VLOOKUP(A87,'Données projet'!$A$35:$I$55,6,0)*VLOOKUP('Données projet'!$B$9,Paramètres!$A$1:$I$88,7,0))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projet'!$B$9,Paramètres!$A$1:$I$88,3,0)*0.475*44/12</f>
        <v>148.87742524737126</v>
      </c>
      <c r="AA87" s="23">
        <f>EXP(-LN(2)/25)*AA86+(1-EXP(-LN(2)/25))/(LN(2)/25)*Calculateur!V87*Calculateur!X87*VLOOKUP('Données projet'!$B$9,Paramètres!$A$1:$I$88,3,0)*0.475*44/12</f>
        <v>67.95850743129769</v>
      </c>
      <c r="AB87" s="23">
        <f>EXP(-LN(2)/2)*AB86+(1-EXP(-LN(2)/2))/(LN(2)/2)*V87*Y87*VLOOKUP('Données projet'!$B$9,Paramètres!$A$1:$I$88,3,0)*0.475*44/12</f>
        <v>0</v>
      </c>
      <c r="AC87" s="24">
        <f t="shared" si="57"/>
        <v>216.83593267866894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projet'!$B$10,Paramètres!$A$1:$I$88,3,0)*VLOOKUP('Données projet'!$B$10,Paramètres!$A$1:$I$88,5,0)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projet'!$B$10,Paramètres!$A$1:$I$88,7,0))</f>
        <v>0</v>
      </c>
      <c r="AS87" s="17">
        <f>IF(ISNA(VLOOKUP(A87,'Données projet'!$A$61:$I$81,6,0)),0%,VLOOKUP(A87,'Données projet'!$A$61:$I$81,6,0)*VLOOKUP('Données projet'!$B$10,Paramètres!$A$1:$I$88,7,0))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projet'!$B$10,Paramètres!$A$1:$I$88,3,0)*0.475*44/12</f>
        <v>#N/A</v>
      </c>
      <c r="AV87" s="23" t="e">
        <f>EXP(-LN(2)/25)*AV86+(1-EXP(-LN(2)/25))/(LN(2)/25)*Calculateur!AQ87*Calculateur!AS87*VLOOKUP('Données projet'!$B$10,Paramètres!$A$1:$I$88,3,0)*0.475*44/12</f>
        <v>#N/A</v>
      </c>
      <c r="AW87" s="23" t="e">
        <f>EXP(-LN(2)/2)*AW86+(1-EXP(-LN(2)/2))/(LN(2)/2)*AQ87*AT87*VLOOKUP('Données projet'!$B$10,Paramètres!$A$1:$I$88,3,0)*0.475*44/12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projet'!$B$11,Paramètres!$A$1:$I$88,3,0)*VLOOKUP('Données projet'!$B$11,Paramètres!$A$1:$I$88,5,0)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projet'!$B$11,Paramètres!$A$1:$I$88,7,0))</f>
        <v>0</v>
      </c>
      <c r="BN87" s="17">
        <f>IF(ISNA(VLOOKUP(A87,'Données projet'!$A$87:$I$107,6,0)),0%,VLOOKUP(A87,'Données projet'!$A$87:$I$107,6,0)*VLOOKUP('Données projet'!$B$11,Paramètres!$A$1:$I$88,7,0))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projet'!$B$11,Paramètres!$A$1:$I$88,3,0)*0.475*44/12</f>
        <v>#N/A</v>
      </c>
      <c r="BQ87" s="23" t="e">
        <f>EXP(-LN(2)/25)*BQ86+(1-EXP(-LN(2)/25))/(LN(2)/25)*Calculateur!BL87*Calculateur!BN87*VLOOKUP('Données projet'!$B$11,Paramètres!$A$1:$I$88,3,0)*0.475*44/12</f>
        <v>#N/A</v>
      </c>
      <c r="BR87" s="23" t="e">
        <f>EXP(-LN(2)/2)*BR86+(1-EXP(-LN(2)/2))/(LN(2)/2)*BL87*BO87*VLOOKUP('Données projet'!$B$11,Paramètres!$A$1:$I$88,3,0)*0.475*44/12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projet'!$B$12,Paramètres!$A$1:$I$88,3,0)*VLOOKUP('Données projet'!$B$12,Paramètres!$A$1:$I$88,5,0)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projet'!$B$12,Paramètres!$A$1:$I$88,7,0))</f>
        <v>0</v>
      </c>
      <c r="CI87" s="17">
        <f>IF(ISNA(VLOOKUP(A87,'Données projet'!$A$113:$I$133,6,0)),0%,VLOOKUP(A87,'Données projet'!$A$113:$I$133,6,0)*VLOOKUP('Données projet'!$B$12,Paramètres!$A$1:$I$88,7,0))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projet'!$B$12,Paramètres!$A$1:$I$88,3,0)*0.475*44/12</f>
        <v>#N/A</v>
      </c>
      <c r="CL87" s="23" t="e">
        <f>EXP(-LN(2)/25)*CL86+(1-EXP(-LN(2)/25))/(LN(2)/25)*Calculateur!CG87*Calculateur!CI87*VLOOKUP('Données projet'!$B$12,Paramètres!$A$1:$I$88,3,0)*0.475*44/12</f>
        <v>#N/A</v>
      </c>
      <c r="CM87" s="23" t="e">
        <f>EXP(-LN(2)/2)*CM86+(1-EXP(-LN(2)/2))/(LN(2)/2)*CG87*CJ87*VLOOKUP('Données projet'!$B$12,Paramètres!$A$1:$I$88,3,0)*0.475*44/12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projet'!$B$13,Paramètres!$A$1:$I$88,3,0)*VLOOKUP('Données projet'!$B$13,Paramètres!$A$1:$I$88,5,0)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projet'!$B$13,Paramètres!$A$1:$I$88,7,0))</f>
        <v>0</v>
      </c>
      <c r="DD87" s="17">
        <f>IF(ISNA(VLOOKUP(A87,'Données projet'!$A$139:$I$159,6,0)),0%,VLOOKUP(A87,'Données projet'!$A$139:$I$159,6,0)*VLOOKUP('Données projet'!$B$13,Paramètres!$A$1:$I$88,7,0))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projet'!$B$13,Paramètres!$A$1:$I$88,3,0)*0.475*44/12</f>
        <v>#N/A</v>
      </c>
      <c r="DG87" s="23" t="e">
        <f>EXP(-LN(2)/25)*DG86+(1-EXP(-LN(2)/25))/(LN(2)/25)*Calculateur!DB87*Calculateur!DD87*VLOOKUP('Données projet'!$B$13,Paramètres!$A$1:$I$88,3,0)*0.475*44/12</f>
        <v>#N/A</v>
      </c>
      <c r="DH87" s="23" t="e">
        <f>EXP(-LN(2)/2)*DH86+(1-EXP(-LN(2)/2))/(LN(2)/2)*DB87*DE87*VLOOKUP('Données projet'!$B$13,Paramètres!$A$1:$I$88,3,0)*0.475*44/12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projet'!$B$14,Paramètres!$A$1:$I$88,3,0)*VLOOKUP('Données projet'!$B$14,Paramètres!$A$1:$I$88,5,0)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projet'!$B$14,Paramètres!$A$1:$I$88,7,0))</f>
        <v>0</v>
      </c>
      <c r="DY87" s="17">
        <f>IF(ISNA(VLOOKUP(A87,'Données projet'!$A$165:$I$185,6,0)),0%,VLOOKUP(A87,'Données projet'!$A$165:$I$185,6,0)*VLOOKUP('Données projet'!$B$14,Paramètres!$A$1:$I$88,7,0))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projet'!$B$14,Paramètres!$A$1:$I$88,3,0)*0.475*44/12</f>
        <v>#N/A</v>
      </c>
      <c r="EB87" s="23" t="e">
        <f>EXP(-LN(2)/25)*EB86+(1-EXP(-LN(2)/25))/(LN(2)/25)*Calculateur!DW87*Calculateur!DY87*VLOOKUP('Données projet'!$B$14,Paramètres!$A$1:$I$88,3,0)*0.475*44/12</f>
        <v>#N/A</v>
      </c>
      <c r="EC87" s="23" t="e">
        <f>EXP(-LN(2)/2)*EC86+(1-EXP(-LN(2)/2))/(LN(2)/2)*DW87*DZ87*VLOOKUP('Données projet'!$B$14,Paramètres!$A$1:$I$88,3,0)*0.475*44/12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projet'!$B$15,Paramètres!$A$1:$I$88,3,0)*VLOOKUP('Données projet'!$B$15,Paramètres!$A$1:$I$88,5,0)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projet'!$B$15,Paramètres!$A$1:$I$88,7,0))</f>
        <v>0</v>
      </c>
      <c r="ET87" s="17">
        <f>IF(ISNA(VLOOKUP(A87,'Données projet'!$A$191:$I$211,6,0)),0%,VLOOKUP(A87,'Données projet'!$A$191:$I$211,6,0)*VLOOKUP('Données projet'!$B$15,Paramètres!$A$1:$I$88,7,0))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projet'!$B$15,Paramètres!$A$1:$I$88,3,0)*0.475*44/12</f>
        <v>#N/A</v>
      </c>
      <c r="EW87" s="23" t="e">
        <f>EXP(-LN(2)/25)*EW86+(1-EXP(-LN(2)/25))/(LN(2)/25)*Calculateur!ER87*Calculateur!ET87*VLOOKUP('Données projet'!$B$15,Paramètres!$A$1:$I$88,3,0)*0.475*44/12</f>
        <v>#N/A</v>
      </c>
      <c r="EX87" s="23" t="e">
        <f>EXP(-LN(2)/2)*EX86+(1-EXP(-LN(2)/2))/(LN(2)/2)*ER87*EU87*VLOOKUP('Données projet'!$B$15,Paramètres!$A$1:$I$88,3,0)*0.475*44/12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projet'!$B$16,Paramètres!$A$1:$I$88,3,0)*VLOOKUP('Données projet'!$B$16,Paramètres!$A$1:$I$88,5,0)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projet'!$B$16,Paramètres!$A$1:$I$88,7,0))</f>
        <v>0</v>
      </c>
      <c r="FO87" s="17">
        <f>IF(ISNA(VLOOKUP(A87,'Données projet'!$A$217:$I$237,6,0)),0%,VLOOKUP(A87,'Données projet'!$A$217:$I$237,6,0)*VLOOKUP('Données projet'!$B$16,Paramètres!$A$1:$I$88,7,0))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projet'!$B$16,Paramètres!$A$1:$I$88,3,0)*0.475*44/12</f>
        <v>#N/A</v>
      </c>
      <c r="FR87" s="23" t="e">
        <f>EXP(-LN(2)/25)*FR86+(1-EXP(-LN(2)/25))/(LN(2)/25)*Calculateur!FM87*Calculateur!FO87*VLOOKUP('Données projet'!$B$16,Paramètres!$A$1:$I$88,3,0)*0.475*44/12</f>
        <v>#N/A</v>
      </c>
      <c r="FS87" s="23" t="e">
        <f>EXP(-LN(2)/2)*FS86+(1-EXP(-LN(2)/2))/(LN(2)/2)*FM87*FP87*VLOOKUP('Données projet'!$B$16,Paramètres!$A$1:$I$88,3,0)*0.475*44/12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projet'!$B$17,Paramètres!$A$1:$I$88,3,0)*VLOOKUP('Données projet'!$B$17,Paramètres!$A$1:$I$88,5,0)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projet'!$B$17,Paramètres!$A$1:$I$88,7,0))</f>
        <v>0</v>
      </c>
      <c r="GJ87" s="17">
        <f>IF(ISNA(VLOOKUP(A87,'Données projet'!$A$243:$I$263,6,0)),0%,VLOOKUP(A87,'Données projet'!$A$243:$I$263,6,0)*VLOOKUP('Données projet'!$B$17,Paramètres!$A$1:$I$88,7,0))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projet'!$B$17,Paramètres!$A$1:$I$88,3,0)*0.475*44/12</f>
        <v>#N/A</v>
      </c>
      <c r="GM87" s="23" t="e">
        <f>EXP(-LN(2)/25)*GM86+(1-EXP(-LN(2)/25))/(LN(2)/25)*Calculateur!GH87*Calculateur!GJ87*VLOOKUP('Données projet'!$B$17,Paramètres!$A$1:$I$88,3,0)*0.475*44/12</f>
        <v>#N/A</v>
      </c>
      <c r="GN87" s="23" t="e">
        <f>EXP(-LN(2)/2)*GN86+(1-EXP(-LN(2)/2))/(LN(2)/2)*GH87*GK87*VLOOKUP('Données projet'!$B$17,Paramètres!$A$1:$I$88,3,0)*0.475*44/12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projet'!$B$18,Paramètres!$A$1:$I$88,3,0)*VLOOKUP('Données projet'!$B$18,Paramètres!$A$1:$I$88,5,0)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projet'!$B$18,Paramètres!$A$1:$I$88,7,0))</f>
        <v>0</v>
      </c>
      <c r="HE87" s="17">
        <f>IF(ISNA(VLOOKUP(A87,'Données projet'!$A$269:$I$289,6,0)),0%,VLOOKUP(A87,'Données projet'!$A$269:$I$289,6,0)*VLOOKUP('Données projet'!$B$18,Paramètres!$A$1:$I$88,7,0))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projet'!$B$18,Paramètres!$A$1:$I$88,3,0)*0.475*44/12</f>
        <v>#N/A</v>
      </c>
      <c r="HH87" s="23" t="e">
        <f>EXP(-LN(2)/25)*HH86+(1-EXP(-LN(2)/25))/(LN(2)/25)*Calculateur!HC87*Calculateur!HE87*VLOOKUP('Données projet'!$B$18,Paramètres!$A$1:$I$88,3,0)*0.475*44/12</f>
        <v>#N/A</v>
      </c>
      <c r="HI87" s="23" t="e">
        <f>EXP(-LN(2)/2)*HI86+(1-EXP(-LN(2)/2))/(LN(2)/2)*HC87*HF87*VLOOKUP('Données projet'!$B$18,Paramètres!$A$1:$I$88,3,0)*0.475*44/12</f>
        <v>#N/A</v>
      </c>
      <c r="HJ87" s="24" t="e">
        <f t="shared" si="84"/>
        <v>#N/A</v>
      </c>
    </row>
    <row r="88" spans="1:218" s="5" customFormat="1" x14ac:dyDescent="0.3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4.5474735088646412E-13</v>
      </c>
      <c r="O88" s="14">
        <f>N88*VLOOKUP('Données projet'!$B$9,Paramètres!$A$1:$I$88,3,0)*VLOOKUP('Données projet'!$B$9,Paramètres!$A$1:$I$88,5,0)</f>
        <v>2.5420376914553347E-13</v>
      </c>
      <c r="P88" s="14">
        <f t="shared" si="87"/>
        <v>3.4258699088369875E-12</v>
      </c>
      <c r="Q88" s="22">
        <f t="shared" si="54"/>
        <v>6.4094616558195571E-12</v>
      </c>
      <c r="R88" s="62">
        <f t="shared" si="55"/>
        <v>272.62246072828793</v>
      </c>
      <c r="S88" s="62">
        <f ca="1">AVERAGE(OFFSET($R$3,0,0,'Données projet'!$E$9+1,1))-AVERAGE(OFFSET($H$3,0,0,'Données projet'!$E$9+1,1))</f>
        <v>367.03450586441784</v>
      </c>
      <c r="T88" s="62">
        <f t="shared" si="88"/>
        <v>413.14502442862897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projet'!$B$9,Paramètres!$A$1:$I$88,7,0))</f>
        <v>0</v>
      </c>
      <c r="X88" s="17">
        <f>IF(ISNA(VLOOKUP(A88,'Données projet'!$A$35:$I$55,6,0)),0%,VLOOKUP(A88,'Données projet'!$A$35:$I$55,6,0)*VLOOKUP('Données projet'!$B$9,Paramètres!$A$1:$I$88,7,0))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projet'!$B$9,Paramètres!$A$1:$I$88,3,0)*0.475*44/12</f>
        <v>145.95802974453335</v>
      </c>
      <c r="AA88" s="23">
        <f>EXP(-LN(2)/25)*AA87+(1-EXP(-LN(2)/25))/(LN(2)/25)*Calculateur!V88*Calculateur!X88*VLOOKUP('Données projet'!$B$9,Paramètres!$A$1:$I$88,3,0)*0.475*44/12</f>
        <v>66.100178471806274</v>
      </c>
      <c r="AB88" s="23">
        <f>EXP(-LN(2)/2)*AB87+(1-EXP(-LN(2)/2))/(LN(2)/2)*V88*Y88*VLOOKUP('Données projet'!$B$9,Paramètres!$A$1:$I$88,3,0)*0.475*44/12</f>
        <v>0</v>
      </c>
      <c r="AC88" s="24">
        <f t="shared" si="57"/>
        <v>212.05820821633961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projet'!$B$10,Paramètres!$A$1:$I$88,3,0)*VLOOKUP('Données projet'!$B$10,Paramètres!$A$1:$I$88,5,0)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projet'!$B$10,Paramètres!$A$1:$I$88,7,0))</f>
        <v>0</v>
      </c>
      <c r="AS88" s="17">
        <f>IF(ISNA(VLOOKUP(A88,'Données projet'!$A$61:$I$81,6,0)),0%,VLOOKUP(A88,'Données projet'!$A$61:$I$81,6,0)*VLOOKUP('Données projet'!$B$10,Paramètres!$A$1:$I$88,7,0))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projet'!$B$10,Paramètres!$A$1:$I$88,3,0)*0.475*44/12</f>
        <v>#N/A</v>
      </c>
      <c r="AV88" s="23" t="e">
        <f>EXP(-LN(2)/25)*AV87+(1-EXP(-LN(2)/25))/(LN(2)/25)*Calculateur!AQ88*Calculateur!AS88*VLOOKUP('Données projet'!$B$10,Paramètres!$A$1:$I$88,3,0)*0.475*44/12</f>
        <v>#N/A</v>
      </c>
      <c r="AW88" s="23" t="e">
        <f>EXP(-LN(2)/2)*AW87+(1-EXP(-LN(2)/2))/(LN(2)/2)*AQ88*AT88*VLOOKUP('Données projet'!$B$10,Paramètres!$A$1:$I$88,3,0)*0.475*44/12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projet'!$B$11,Paramètres!$A$1:$I$88,3,0)*VLOOKUP('Données projet'!$B$11,Paramètres!$A$1:$I$88,5,0)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projet'!$B$11,Paramètres!$A$1:$I$88,7,0))</f>
        <v>0</v>
      </c>
      <c r="BN88" s="17">
        <f>IF(ISNA(VLOOKUP(A88,'Données projet'!$A$87:$I$107,6,0)),0%,VLOOKUP(A88,'Données projet'!$A$87:$I$107,6,0)*VLOOKUP('Données projet'!$B$11,Paramètres!$A$1:$I$88,7,0))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projet'!$B$11,Paramètres!$A$1:$I$88,3,0)*0.475*44/12</f>
        <v>#N/A</v>
      </c>
      <c r="BQ88" s="23" t="e">
        <f>EXP(-LN(2)/25)*BQ87+(1-EXP(-LN(2)/25))/(LN(2)/25)*Calculateur!BL88*Calculateur!BN88*VLOOKUP('Données projet'!$B$11,Paramètres!$A$1:$I$88,3,0)*0.475*44/12</f>
        <v>#N/A</v>
      </c>
      <c r="BR88" s="23" t="e">
        <f>EXP(-LN(2)/2)*BR87+(1-EXP(-LN(2)/2))/(LN(2)/2)*BL88*BO88*VLOOKUP('Données projet'!$B$11,Paramètres!$A$1:$I$88,3,0)*0.475*44/12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projet'!$B$12,Paramètres!$A$1:$I$88,3,0)*VLOOKUP('Données projet'!$B$12,Paramètres!$A$1:$I$88,5,0)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projet'!$B$12,Paramètres!$A$1:$I$88,7,0))</f>
        <v>0</v>
      </c>
      <c r="CI88" s="17">
        <f>IF(ISNA(VLOOKUP(A88,'Données projet'!$A$113:$I$133,6,0)),0%,VLOOKUP(A88,'Données projet'!$A$113:$I$133,6,0)*VLOOKUP('Données projet'!$B$12,Paramètres!$A$1:$I$88,7,0))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projet'!$B$12,Paramètres!$A$1:$I$88,3,0)*0.475*44/12</f>
        <v>#N/A</v>
      </c>
      <c r="CL88" s="23" t="e">
        <f>EXP(-LN(2)/25)*CL87+(1-EXP(-LN(2)/25))/(LN(2)/25)*Calculateur!CG88*Calculateur!CI88*VLOOKUP('Données projet'!$B$12,Paramètres!$A$1:$I$88,3,0)*0.475*44/12</f>
        <v>#N/A</v>
      </c>
      <c r="CM88" s="23" t="e">
        <f>EXP(-LN(2)/2)*CM87+(1-EXP(-LN(2)/2))/(LN(2)/2)*CG88*CJ88*VLOOKUP('Données projet'!$B$12,Paramètres!$A$1:$I$88,3,0)*0.475*44/12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projet'!$B$13,Paramètres!$A$1:$I$88,3,0)*VLOOKUP('Données projet'!$B$13,Paramètres!$A$1:$I$88,5,0)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projet'!$B$13,Paramètres!$A$1:$I$88,7,0))</f>
        <v>0</v>
      </c>
      <c r="DD88" s="17">
        <f>IF(ISNA(VLOOKUP(A88,'Données projet'!$A$139:$I$159,6,0)),0%,VLOOKUP(A88,'Données projet'!$A$139:$I$159,6,0)*VLOOKUP('Données projet'!$B$13,Paramètres!$A$1:$I$88,7,0))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projet'!$B$13,Paramètres!$A$1:$I$88,3,0)*0.475*44/12</f>
        <v>#N/A</v>
      </c>
      <c r="DG88" s="23" t="e">
        <f>EXP(-LN(2)/25)*DG87+(1-EXP(-LN(2)/25))/(LN(2)/25)*Calculateur!DB88*Calculateur!DD88*VLOOKUP('Données projet'!$B$13,Paramètres!$A$1:$I$88,3,0)*0.475*44/12</f>
        <v>#N/A</v>
      </c>
      <c r="DH88" s="23" t="e">
        <f>EXP(-LN(2)/2)*DH87+(1-EXP(-LN(2)/2))/(LN(2)/2)*DB88*DE88*VLOOKUP('Données projet'!$B$13,Paramètres!$A$1:$I$88,3,0)*0.475*44/12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projet'!$B$14,Paramètres!$A$1:$I$88,3,0)*VLOOKUP('Données projet'!$B$14,Paramètres!$A$1:$I$88,5,0)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projet'!$B$14,Paramètres!$A$1:$I$88,7,0))</f>
        <v>0</v>
      </c>
      <c r="DY88" s="17">
        <f>IF(ISNA(VLOOKUP(A88,'Données projet'!$A$165:$I$185,6,0)),0%,VLOOKUP(A88,'Données projet'!$A$165:$I$185,6,0)*VLOOKUP('Données projet'!$B$14,Paramètres!$A$1:$I$88,7,0))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projet'!$B$14,Paramètres!$A$1:$I$88,3,0)*0.475*44/12</f>
        <v>#N/A</v>
      </c>
      <c r="EB88" s="23" t="e">
        <f>EXP(-LN(2)/25)*EB87+(1-EXP(-LN(2)/25))/(LN(2)/25)*Calculateur!DW88*Calculateur!DY88*VLOOKUP('Données projet'!$B$14,Paramètres!$A$1:$I$88,3,0)*0.475*44/12</f>
        <v>#N/A</v>
      </c>
      <c r="EC88" s="23" t="e">
        <f>EXP(-LN(2)/2)*EC87+(1-EXP(-LN(2)/2))/(LN(2)/2)*DW88*DZ88*VLOOKUP('Données projet'!$B$14,Paramètres!$A$1:$I$88,3,0)*0.475*44/12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projet'!$B$15,Paramètres!$A$1:$I$88,3,0)*VLOOKUP('Données projet'!$B$15,Paramètres!$A$1:$I$88,5,0)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projet'!$B$15,Paramètres!$A$1:$I$88,7,0))</f>
        <v>0</v>
      </c>
      <c r="ET88" s="17">
        <f>IF(ISNA(VLOOKUP(A88,'Données projet'!$A$191:$I$211,6,0)),0%,VLOOKUP(A88,'Données projet'!$A$191:$I$211,6,0)*VLOOKUP('Données projet'!$B$15,Paramètres!$A$1:$I$88,7,0))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projet'!$B$15,Paramètres!$A$1:$I$88,3,0)*0.475*44/12</f>
        <v>#N/A</v>
      </c>
      <c r="EW88" s="23" t="e">
        <f>EXP(-LN(2)/25)*EW87+(1-EXP(-LN(2)/25))/(LN(2)/25)*Calculateur!ER88*Calculateur!ET88*VLOOKUP('Données projet'!$B$15,Paramètres!$A$1:$I$88,3,0)*0.475*44/12</f>
        <v>#N/A</v>
      </c>
      <c r="EX88" s="23" t="e">
        <f>EXP(-LN(2)/2)*EX87+(1-EXP(-LN(2)/2))/(LN(2)/2)*ER88*EU88*VLOOKUP('Données projet'!$B$15,Paramètres!$A$1:$I$88,3,0)*0.475*44/12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projet'!$B$16,Paramètres!$A$1:$I$88,3,0)*VLOOKUP('Données projet'!$B$16,Paramètres!$A$1:$I$88,5,0)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projet'!$B$16,Paramètres!$A$1:$I$88,7,0))</f>
        <v>0</v>
      </c>
      <c r="FO88" s="17">
        <f>IF(ISNA(VLOOKUP(A88,'Données projet'!$A$217:$I$237,6,0)),0%,VLOOKUP(A88,'Données projet'!$A$217:$I$237,6,0)*VLOOKUP('Données projet'!$B$16,Paramètres!$A$1:$I$88,7,0))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projet'!$B$16,Paramètres!$A$1:$I$88,3,0)*0.475*44/12</f>
        <v>#N/A</v>
      </c>
      <c r="FR88" s="23" t="e">
        <f>EXP(-LN(2)/25)*FR87+(1-EXP(-LN(2)/25))/(LN(2)/25)*Calculateur!FM88*Calculateur!FO88*VLOOKUP('Données projet'!$B$16,Paramètres!$A$1:$I$88,3,0)*0.475*44/12</f>
        <v>#N/A</v>
      </c>
      <c r="FS88" s="23" t="e">
        <f>EXP(-LN(2)/2)*FS87+(1-EXP(-LN(2)/2))/(LN(2)/2)*FM88*FP88*VLOOKUP('Données projet'!$B$16,Paramètres!$A$1:$I$88,3,0)*0.475*44/12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projet'!$B$17,Paramètres!$A$1:$I$88,3,0)*VLOOKUP('Données projet'!$B$17,Paramètres!$A$1:$I$88,5,0)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projet'!$B$17,Paramètres!$A$1:$I$88,7,0))</f>
        <v>0</v>
      </c>
      <c r="GJ88" s="17">
        <f>IF(ISNA(VLOOKUP(A88,'Données projet'!$A$243:$I$263,6,0)),0%,VLOOKUP(A88,'Données projet'!$A$243:$I$263,6,0)*VLOOKUP('Données projet'!$B$17,Paramètres!$A$1:$I$88,7,0))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projet'!$B$17,Paramètres!$A$1:$I$88,3,0)*0.475*44/12</f>
        <v>#N/A</v>
      </c>
      <c r="GM88" s="23" t="e">
        <f>EXP(-LN(2)/25)*GM87+(1-EXP(-LN(2)/25))/(LN(2)/25)*Calculateur!GH88*Calculateur!GJ88*VLOOKUP('Données projet'!$B$17,Paramètres!$A$1:$I$88,3,0)*0.475*44/12</f>
        <v>#N/A</v>
      </c>
      <c r="GN88" s="23" t="e">
        <f>EXP(-LN(2)/2)*GN87+(1-EXP(-LN(2)/2))/(LN(2)/2)*GH88*GK88*VLOOKUP('Données projet'!$B$17,Paramètres!$A$1:$I$88,3,0)*0.475*44/12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projet'!$B$18,Paramètres!$A$1:$I$88,3,0)*VLOOKUP('Données projet'!$B$18,Paramètres!$A$1:$I$88,5,0)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projet'!$B$18,Paramètres!$A$1:$I$88,7,0))</f>
        <v>0</v>
      </c>
      <c r="HE88" s="17">
        <f>IF(ISNA(VLOOKUP(A88,'Données projet'!$A$269:$I$289,6,0)),0%,VLOOKUP(A88,'Données projet'!$A$269:$I$289,6,0)*VLOOKUP('Données projet'!$B$18,Paramètres!$A$1:$I$88,7,0))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projet'!$B$18,Paramètres!$A$1:$I$88,3,0)*0.475*44/12</f>
        <v>#N/A</v>
      </c>
      <c r="HH88" s="23" t="e">
        <f>EXP(-LN(2)/25)*HH87+(1-EXP(-LN(2)/25))/(LN(2)/25)*Calculateur!HC88*Calculateur!HE88*VLOOKUP('Données projet'!$B$18,Paramètres!$A$1:$I$88,3,0)*0.475*44/12</f>
        <v>#N/A</v>
      </c>
      <c r="HI88" s="23" t="e">
        <f>EXP(-LN(2)/2)*HI87+(1-EXP(-LN(2)/2))/(LN(2)/2)*HC88*HF88*VLOOKUP('Données projet'!$B$18,Paramètres!$A$1:$I$88,3,0)*0.475*44/12</f>
        <v>#N/A</v>
      </c>
      <c r="HJ88" s="24" t="e">
        <f t="shared" si="84"/>
        <v>#N/A</v>
      </c>
    </row>
    <row r="89" spans="1:218" s="5" customFormat="1" x14ac:dyDescent="0.3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4.5474735088646412E-13</v>
      </c>
      <c r="O89" s="14">
        <f>N89*VLOOKUP('Données projet'!$B$9,Paramètres!$A$1:$I$88,3,0)*VLOOKUP('Données projet'!$B$9,Paramètres!$A$1:$I$88,5,0)</f>
        <v>2.5420376914553347E-13</v>
      </c>
      <c r="P89" s="14">
        <f t="shared" si="87"/>
        <v>3.4258699088369875E-12</v>
      </c>
      <c r="Q89" s="22">
        <f t="shared" si="54"/>
        <v>6.4094616558195571E-12</v>
      </c>
      <c r="R89" s="62">
        <f t="shared" si="55"/>
        <v>272.98174806541113</v>
      </c>
      <c r="S89" s="62">
        <f ca="1">AVERAGE(OFFSET($R$3,0,0,'Données projet'!$E$9+1,1))-AVERAGE(OFFSET($H$3,0,0,'Données projet'!$E$9+1,1))</f>
        <v>367.03450586441784</v>
      </c>
      <c r="T89" s="62">
        <f t="shared" si="88"/>
        <v>413.14502442862897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projet'!$B$9,Paramètres!$A$1:$I$88,7,0))</f>
        <v>0</v>
      </c>
      <c r="X89" s="17">
        <f>IF(ISNA(VLOOKUP(A89,'Données projet'!$A$35:$I$55,6,0)),0%,VLOOKUP(A89,'Données projet'!$A$35:$I$55,6,0)*VLOOKUP('Données projet'!$B$9,Paramètres!$A$1:$I$88,7,0))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projet'!$B$9,Paramètres!$A$1:$I$88,3,0)*0.475*44/12</f>
        <v>143.09588180685066</v>
      </c>
      <c r="AA89" s="23">
        <f>EXP(-LN(2)/25)*AA88+(1-EXP(-LN(2)/25))/(LN(2)/25)*Calculateur!V89*Calculateur!X89*VLOOKUP('Données projet'!$B$9,Paramètres!$A$1:$I$88,3,0)*0.475*44/12</f>
        <v>64.292665615437414</v>
      </c>
      <c r="AB89" s="23">
        <f>EXP(-LN(2)/2)*AB88+(1-EXP(-LN(2)/2))/(LN(2)/2)*V89*Y89*VLOOKUP('Données projet'!$B$9,Paramètres!$A$1:$I$88,3,0)*0.475*44/12</f>
        <v>0</v>
      </c>
      <c r="AC89" s="24">
        <f t="shared" si="57"/>
        <v>207.38854742228807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projet'!$B$10,Paramètres!$A$1:$I$88,3,0)*VLOOKUP('Données projet'!$B$10,Paramètres!$A$1:$I$88,5,0)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projet'!$B$10,Paramètres!$A$1:$I$88,7,0))</f>
        <v>0</v>
      </c>
      <c r="AS89" s="17">
        <f>IF(ISNA(VLOOKUP(A89,'Données projet'!$A$61:$I$81,6,0)),0%,VLOOKUP(A89,'Données projet'!$A$61:$I$81,6,0)*VLOOKUP('Données projet'!$B$10,Paramètres!$A$1:$I$88,7,0))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projet'!$B$10,Paramètres!$A$1:$I$88,3,0)*0.475*44/12</f>
        <v>#N/A</v>
      </c>
      <c r="AV89" s="23" t="e">
        <f>EXP(-LN(2)/25)*AV88+(1-EXP(-LN(2)/25))/(LN(2)/25)*Calculateur!AQ89*Calculateur!AS89*VLOOKUP('Données projet'!$B$10,Paramètres!$A$1:$I$88,3,0)*0.475*44/12</f>
        <v>#N/A</v>
      </c>
      <c r="AW89" s="23" t="e">
        <f>EXP(-LN(2)/2)*AW88+(1-EXP(-LN(2)/2))/(LN(2)/2)*AQ89*AT89*VLOOKUP('Données projet'!$B$10,Paramètres!$A$1:$I$88,3,0)*0.475*44/12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projet'!$B$11,Paramètres!$A$1:$I$88,3,0)*VLOOKUP('Données projet'!$B$11,Paramètres!$A$1:$I$88,5,0)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projet'!$B$11,Paramètres!$A$1:$I$88,7,0))</f>
        <v>0</v>
      </c>
      <c r="BN89" s="17">
        <f>IF(ISNA(VLOOKUP(A89,'Données projet'!$A$87:$I$107,6,0)),0%,VLOOKUP(A89,'Données projet'!$A$87:$I$107,6,0)*VLOOKUP('Données projet'!$B$11,Paramètres!$A$1:$I$88,7,0))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projet'!$B$11,Paramètres!$A$1:$I$88,3,0)*0.475*44/12</f>
        <v>#N/A</v>
      </c>
      <c r="BQ89" s="23" t="e">
        <f>EXP(-LN(2)/25)*BQ88+(1-EXP(-LN(2)/25))/(LN(2)/25)*Calculateur!BL89*Calculateur!BN89*VLOOKUP('Données projet'!$B$11,Paramètres!$A$1:$I$88,3,0)*0.475*44/12</f>
        <v>#N/A</v>
      </c>
      <c r="BR89" s="23" t="e">
        <f>EXP(-LN(2)/2)*BR88+(1-EXP(-LN(2)/2))/(LN(2)/2)*BL89*BO89*VLOOKUP('Données projet'!$B$11,Paramètres!$A$1:$I$88,3,0)*0.475*44/12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projet'!$B$12,Paramètres!$A$1:$I$88,3,0)*VLOOKUP('Données projet'!$B$12,Paramètres!$A$1:$I$88,5,0)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projet'!$B$12,Paramètres!$A$1:$I$88,7,0))</f>
        <v>0</v>
      </c>
      <c r="CI89" s="17">
        <f>IF(ISNA(VLOOKUP(A89,'Données projet'!$A$113:$I$133,6,0)),0%,VLOOKUP(A89,'Données projet'!$A$113:$I$133,6,0)*VLOOKUP('Données projet'!$B$12,Paramètres!$A$1:$I$88,7,0))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projet'!$B$12,Paramètres!$A$1:$I$88,3,0)*0.475*44/12</f>
        <v>#N/A</v>
      </c>
      <c r="CL89" s="23" t="e">
        <f>EXP(-LN(2)/25)*CL88+(1-EXP(-LN(2)/25))/(LN(2)/25)*Calculateur!CG89*Calculateur!CI89*VLOOKUP('Données projet'!$B$12,Paramètres!$A$1:$I$88,3,0)*0.475*44/12</f>
        <v>#N/A</v>
      </c>
      <c r="CM89" s="23" t="e">
        <f>EXP(-LN(2)/2)*CM88+(1-EXP(-LN(2)/2))/(LN(2)/2)*CG89*CJ89*VLOOKUP('Données projet'!$B$12,Paramètres!$A$1:$I$88,3,0)*0.475*44/12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projet'!$B$13,Paramètres!$A$1:$I$88,3,0)*VLOOKUP('Données projet'!$B$13,Paramètres!$A$1:$I$88,5,0)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projet'!$B$13,Paramètres!$A$1:$I$88,7,0))</f>
        <v>0</v>
      </c>
      <c r="DD89" s="17">
        <f>IF(ISNA(VLOOKUP(A89,'Données projet'!$A$139:$I$159,6,0)),0%,VLOOKUP(A89,'Données projet'!$A$139:$I$159,6,0)*VLOOKUP('Données projet'!$B$13,Paramètres!$A$1:$I$88,7,0))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projet'!$B$13,Paramètres!$A$1:$I$88,3,0)*0.475*44/12</f>
        <v>#N/A</v>
      </c>
      <c r="DG89" s="23" t="e">
        <f>EXP(-LN(2)/25)*DG88+(1-EXP(-LN(2)/25))/(LN(2)/25)*Calculateur!DB89*Calculateur!DD89*VLOOKUP('Données projet'!$B$13,Paramètres!$A$1:$I$88,3,0)*0.475*44/12</f>
        <v>#N/A</v>
      </c>
      <c r="DH89" s="23" t="e">
        <f>EXP(-LN(2)/2)*DH88+(1-EXP(-LN(2)/2))/(LN(2)/2)*DB89*DE89*VLOOKUP('Données projet'!$B$13,Paramètres!$A$1:$I$88,3,0)*0.475*44/12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projet'!$B$14,Paramètres!$A$1:$I$88,3,0)*VLOOKUP('Données projet'!$B$14,Paramètres!$A$1:$I$88,5,0)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projet'!$B$14,Paramètres!$A$1:$I$88,7,0))</f>
        <v>0</v>
      </c>
      <c r="DY89" s="17">
        <f>IF(ISNA(VLOOKUP(A89,'Données projet'!$A$165:$I$185,6,0)),0%,VLOOKUP(A89,'Données projet'!$A$165:$I$185,6,0)*VLOOKUP('Données projet'!$B$14,Paramètres!$A$1:$I$88,7,0))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projet'!$B$14,Paramètres!$A$1:$I$88,3,0)*0.475*44/12</f>
        <v>#N/A</v>
      </c>
      <c r="EB89" s="23" t="e">
        <f>EXP(-LN(2)/25)*EB88+(1-EXP(-LN(2)/25))/(LN(2)/25)*Calculateur!DW89*Calculateur!DY89*VLOOKUP('Données projet'!$B$14,Paramètres!$A$1:$I$88,3,0)*0.475*44/12</f>
        <v>#N/A</v>
      </c>
      <c r="EC89" s="23" t="e">
        <f>EXP(-LN(2)/2)*EC88+(1-EXP(-LN(2)/2))/(LN(2)/2)*DW89*DZ89*VLOOKUP('Données projet'!$B$14,Paramètres!$A$1:$I$88,3,0)*0.475*44/12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projet'!$B$15,Paramètres!$A$1:$I$88,3,0)*VLOOKUP('Données projet'!$B$15,Paramètres!$A$1:$I$88,5,0)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projet'!$B$15,Paramètres!$A$1:$I$88,7,0))</f>
        <v>0</v>
      </c>
      <c r="ET89" s="17">
        <f>IF(ISNA(VLOOKUP(A89,'Données projet'!$A$191:$I$211,6,0)),0%,VLOOKUP(A89,'Données projet'!$A$191:$I$211,6,0)*VLOOKUP('Données projet'!$B$15,Paramètres!$A$1:$I$88,7,0))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projet'!$B$15,Paramètres!$A$1:$I$88,3,0)*0.475*44/12</f>
        <v>#N/A</v>
      </c>
      <c r="EW89" s="23" t="e">
        <f>EXP(-LN(2)/25)*EW88+(1-EXP(-LN(2)/25))/(LN(2)/25)*Calculateur!ER89*Calculateur!ET89*VLOOKUP('Données projet'!$B$15,Paramètres!$A$1:$I$88,3,0)*0.475*44/12</f>
        <v>#N/A</v>
      </c>
      <c r="EX89" s="23" t="e">
        <f>EXP(-LN(2)/2)*EX88+(1-EXP(-LN(2)/2))/(LN(2)/2)*ER89*EU89*VLOOKUP('Données projet'!$B$15,Paramètres!$A$1:$I$88,3,0)*0.475*44/12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projet'!$B$16,Paramètres!$A$1:$I$88,3,0)*VLOOKUP('Données projet'!$B$16,Paramètres!$A$1:$I$88,5,0)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projet'!$B$16,Paramètres!$A$1:$I$88,7,0))</f>
        <v>0</v>
      </c>
      <c r="FO89" s="17">
        <f>IF(ISNA(VLOOKUP(A89,'Données projet'!$A$217:$I$237,6,0)),0%,VLOOKUP(A89,'Données projet'!$A$217:$I$237,6,0)*VLOOKUP('Données projet'!$B$16,Paramètres!$A$1:$I$88,7,0))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projet'!$B$16,Paramètres!$A$1:$I$88,3,0)*0.475*44/12</f>
        <v>#N/A</v>
      </c>
      <c r="FR89" s="23" t="e">
        <f>EXP(-LN(2)/25)*FR88+(1-EXP(-LN(2)/25))/(LN(2)/25)*Calculateur!FM89*Calculateur!FO89*VLOOKUP('Données projet'!$B$16,Paramètres!$A$1:$I$88,3,0)*0.475*44/12</f>
        <v>#N/A</v>
      </c>
      <c r="FS89" s="23" t="e">
        <f>EXP(-LN(2)/2)*FS88+(1-EXP(-LN(2)/2))/(LN(2)/2)*FM89*FP89*VLOOKUP('Données projet'!$B$16,Paramètres!$A$1:$I$88,3,0)*0.475*44/12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projet'!$B$17,Paramètres!$A$1:$I$88,3,0)*VLOOKUP('Données projet'!$B$17,Paramètres!$A$1:$I$88,5,0)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projet'!$B$17,Paramètres!$A$1:$I$88,7,0))</f>
        <v>0</v>
      </c>
      <c r="GJ89" s="17">
        <f>IF(ISNA(VLOOKUP(A89,'Données projet'!$A$243:$I$263,6,0)),0%,VLOOKUP(A89,'Données projet'!$A$243:$I$263,6,0)*VLOOKUP('Données projet'!$B$17,Paramètres!$A$1:$I$88,7,0))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projet'!$B$17,Paramètres!$A$1:$I$88,3,0)*0.475*44/12</f>
        <v>#N/A</v>
      </c>
      <c r="GM89" s="23" t="e">
        <f>EXP(-LN(2)/25)*GM88+(1-EXP(-LN(2)/25))/(LN(2)/25)*Calculateur!GH89*Calculateur!GJ89*VLOOKUP('Données projet'!$B$17,Paramètres!$A$1:$I$88,3,0)*0.475*44/12</f>
        <v>#N/A</v>
      </c>
      <c r="GN89" s="23" t="e">
        <f>EXP(-LN(2)/2)*GN88+(1-EXP(-LN(2)/2))/(LN(2)/2)*GH89*GK89*VLOOKUP('Données projet'!$B$17,Paramètres!$A$1:$I$88,3,0)*0.475*44/12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projet'!$B$18,Paramètres!$A$1:$I$88,3,0)*VLOOKUP('Données projet'!$B$18,Paramètres!$A$1:$I$88,5,0)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projet'!$B$18,Paramètres!$A$1:$I$88,7,0))</f>
        <v>0</v>
      </c>
      <c r="HE89" s="17">
        <f>IF(ISNA(VLOOKUP(A89,'Données projet'!$A$269:$I$289,6,0)),0%,VLOOKUP(A89,'Données projet'!$A$269:$I$289,6,0)*VLOOKUP('Données projet'!$B$18,Paramètres!$A$1:$I$88,7,0))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projet'!$B$18,Paramètres!$A$1:$I$88,3,0)*0.475*44/12</f>
        <v>#N/A</v>
      </c>
      <c r="HH89" s="23" t="e">
        <f>EXP(-LN(2)/25)*HH88+(1-EXP(-LN(2)/25))/(LN(2)/25)*Calculateur!HC89*Calculateur!HE89*VLOOKUP('Données projet'!$B$18,Paramètres!$A$1:$I$88,3,0)*0.475*44/12</f>
        <v>#N/A</v>
      </c>
      <c r="HI89" s="23" t="e">
        <f>EXP(-LN(2)/2)*HI88+(1-EXP(-LN(2)/2))/(LN(2)/2)*HC89*HF89*VLOOKUP('Données projet'!$B$18,Paramètres!$A$1:$I$88,3,0)*0.475*44/12</f>
        <v>#N/A</v>
      </c>
      <c r="HJ89" s="24" t="e">
        <f t="shared" si="84"/>
        <v>#N/A</v>
      </c>
    </row>
    <row r="90" spans="1:218" s="5" customFormat="1" x14ac:dyDescent="0.3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4.5474735088646412E-13</v>
      </c>
      <c r="O90" s="14">
        <f>N90*VLOOKUP('Données projet'!$B$9,Paramètres!$A$1:$I$88,3,0)*VLOOKUP('Données projet'!$B$9,Paramètres!$A$1:$I$88,5,0)</f>
        <v>2.5420376914553347E-13</v>
      </c>
      <c r="P90" s="14">
        <f t="shared" si="87"/>
        <v>3.4258699088369875E-12</v>
      </c>
      <c r="Q90" s="22">
        <f t="shared" si="54"/>
        <v>6.4094616558195571E-12</v>
      </c>
      <c r="R90" s="62">
        <f t="shared" si="55"/>
        <v>273.33480257048126</v>
      </c>
      <c r="S90" s="62">
        <f ca="1">AVERAGE(OFFSET($R$3,0,0,'Données projet'!$E$9+1,1))-AVERAGE(OFFSET($H$3,0,0,'Données projet'!$E$9+1,1))</f>
        <v>367.03450586441784</v>
      </c>
      <c r="T90" s="62">
        <f t="shared" si="88"/>
        <v>413.14502442862897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projet'!$B$9,Paramètres!$A$1:$I$88,7,0))</f>
        <v>0</v>
      </c>
      <c r="X90" s="17">
        <f>IF(ISNA(VLOOKUP(A90,'Données projet'!$A$35:$I$55,6,0)),0%,VLOOKUP(A90,'Données projet'!$A$35:$I$55,6,0)*VLOOKUP('Données projet'!$B$9,Paramètres!$A$1:$I$88,7,0))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projet'!$B$9,Paramètres!$A$1:$I$88,3,0)*0.475*44/12</f>
        <v>140.28985884448804</v>
      </c>
      <c r="AA90" s="23">
        <f>EXP(-LN(2)/25)*AA89+(1-EXP(-LN(2)/25))/(LN(2)/25)*Calculateur!V90*Calculateur!X90*VLOOKUP('Données projet'!$B$9,Paramètres!$A$1:$I$88,3,0)*0.475*44/12</f>
        <v>62.534579293178936</v>
      </c>
      <c r="AB90" s="23">
        <f>EXP(-LN(2)/2)*AB89+(1-EXP(-LN(2)/2))/(LN(2)/2)*V90*Y90*VLOOKUP('Données projet'!$B$9,Paramètres!$A$1:$I$88,3,0)*0.475*44/12</f>
        <v>0</v>
      </c>
      <c r="AC90" s="24">
        <f t="shared" si="57"/>
        <v>202.82443813766696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projet'!$B$10,Paramètres!$A$1:$I$88,3,0)*VLOOKUP('Données projet'!$B$10,Paramètres!$A$1:$I$88,5,0)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projet'!$B$10,Paramètres!$A$1:$I$88,7,0))</f>
        <v>0</v>
      </c>
      <c r="AS90" s="17">
        <f>IF(ISNA(VLOOKUP(A90,'Données projet'!$A$61:$I$81,6,0)),0%,VLOOKUP(A90,'Données projet'!$A$61:$I$81,6,0)*VLOOKUP('Données projet'!$B$10,Paramètres!$A$1:$I$88,7,0))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projet'!$B$10,Paramètres!$A$1:$I$88,3,0)*0.475*44/12</f>
        <v>#N/A</v>
      </c>
      <c r="AV90" s="23" t="e">
        <f>EXP(-LN(2)/25)*AV89+(1-EXP(-LN(2)/25))/(LN(2)/25)*Calculateur!AQ90*Calculateur!AS90*VLOOKUP('Données projet'!$B$10,Paramètres!$A$1:$I$88,3,0)*0.475*44/12</f>
        <v>#N/A</v>
      </c>
      <c r="AW90" s="23" t="e">
        <f>EXP(-LN(2)/2)*AW89+(1-EXP(-LN(2)/2))/(LN(2)/2)*AQ90*AT90*VLOOKUP('Données projet'!$B$10,Paramètres!$A$1:$I$88,3,0)*0.475*44/12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projet'!$B$11,Paramètres!$A$1:$I$88,3,0)*VLOOKUP('Données projet'!$B$11,Paramètres!$A$1:$I$88,5,0)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projet'!$B$11,Paramètres!$A$1:$I$88,7,0))</f>
        <v>0</v>
      </c>
      <c r="BN90" s="17">
        <f>IF(ISNA(VLOOKUP(A90,'Données projet'!$A$87:$I$107,6,0)),0%,VLOOKUP(A90,'Données projet'!$A$87:$I$107,6,0)*VLOOKUP('Données projet'!$B$11,Paramètres!$A$1:$I$88,7,0))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projet'!$B$11,Paramètres!$A$1:$I$88,3,0)*0.475*44/12</f>
        <v>#N/A</v>
      </c>
      <c r="BQ90" s="23" t="e">
        <f>EXP(-LN(2)/25)*BQ89+(1-EXP(-LN(2)/25))/(LN(2)/25)*Calculateur!BL90*Calculateur!BN90*VLOOKUP('Données projet'!$B$11,Paramètres!$A$1:$I$88,3,0)*0.475*44/12</f>
        <v>#N/A</v>
      </c>
      <c r="BR90" s="23" t="e">
        <f>EXP(-LN(2)/2)*BR89+(1-EXP(-LN(2)/2))/(LN(2)/2)*BL90*BO90*VLOOKUP('Données projet'!$B$11,Paramètres!$A$1:$I$88,3,0)*0.475*44/12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projet'!$B$12,Paramètres!$A$1:$I$88,3,0)*VLOOKUP('Données projet'!$B$12,Paramètres!$A$1:$I$88,5,0)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projet'!$B$12,Paramètres!$A$1:$I$88,7,0))</f>
        <v>0</v>
      </c>
      <c r="CI90" s="17">
        <f>IF(ISNA(VLOOKUP(A90,'Données projet'!$A$113:$I$133,6,0)),0%,VLOOKUP(A90,'Données projet'!$A$113:$I$133,6,0)*VLOOKUP('Données projet'!$B$12,Paramètres!$A$1:$I$88,7,0))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projet'!$B$12,Paramètres!$A$1:$I$88,3,0)*0.475*44/12</f>
        <v>#N/A</v>
      </c>
      <c r="CL90" s="23" t="e">
        <f>EXP(-LN(2)/25)*CL89+(1-EXP(-LN(2)/25))/(LN(2)/25)*Calculateur!CG90*Calculateur!CI90*VLOOKUP('Données projet'!$B$12,Paramètres!$A$1:$I$88,3,0)*0.475*44/12</f>
        <v>#N/A</v>
      </c>
      <c r="CM90" s="23" t="e">
        <f>EXP(-LN(2)/2)*CM89+(1-EXP(-LN(2)/2))/(LN(2)/2)*CG90*CJ90*VLOOKUP('Données projet'!$B$12,Paramètres!$A$1:$I$88,3,0)*0.475*44/12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projet'!$B$13,Paramètres!$A$1:$I$88,3,0)*VLOOKUP('Données projet'!$B$13,Paramètres!$A$1:$I$88,5,0)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projet'!$B$13,Paramètres!$A$1:$I$88,7,0))</f>
        <v>0</v>
      </c>
      <c r="DD90" s="17">
        <f>IF(ISNA(VLOOKUP(A90,'Données projet'!$A$139:$I$159,6,0)),0%,VLOOKUP(A90,'Données projet'!$A$139:$I$159,6,0)*VLOOKUP('Données projet'!$B$13,Paramètres!$A$1:$I$88,7,0))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projet'!$B$13,Paramètres!$A$1:$I$88,3,0)*0.475*44/12</f>
        <v>#N/A</v>
      </c>
      <c r="DG90" s="23" t="e">
        <f>EXP(-LN(2)/25)*DG89+(1-EXP(-LN(2)/25))/(LN(2)/25)*Calculateur!DB90*Calculateur!DD90*VLOOKUP('Données projet'!$B$13,Paramètres!$A$1:$I$88,3,0)*0.475*44/12</f>
        <v>#N/A</v>
      </c>
      <c r="DH90" s="23" t="e">
        <f>EXP(-LN(2)/2)*DH89+(1-EXP(-LN(2)/2))/(LN(2)/2)*DB90*DE90*VLOOKUP('Données projet'!$B$13,Paramètres!$A$1:$I$88,3,0)*0.475*44/12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projet'!$B$14,Paramètres!$A$1:$I$88,3,0)*VLOOKUP('Données projet'!$B$14,Paramètres!$A$1:$I$88,5,0)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projet'!$B$14,Paramètres!$A$1:$I$88,7,0))</f>
        <v>0</v>
      </c>
      <c r="DY90" s="17">
        <f>IF(ISNA(VLOOKUP(A90,'Données projet'!$A$165:$I$185,6,0)),0%,VLOOKUP(A90,'Données projet'!$A$165:$I$185,6,0)*VLOOKUP('Données projet'!$B$14,Paramètres!$A$1:$I$88,7,0))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projet'!$B$14,Paramètres!$A$1:$I$88,3,0)*0.475*44/12</f>
        <v>#N/A</v>
      </c>
      <c r="EB90" s="23" t="e">
        <f>EXP(-LN(2)/25)*EB89+(1-EXP(-LN(2)/25))/(LN(2)/25)*Calculateur!DW90*Calculateur!DY90*VLOOKUP('Données projet'!$B$14,Paramètres!$A$1:$I$88,3,0)*0.475*44/12</f>
        <v>#N/A</v>
      </c>
      <c r="EC90" s="23" t="e">
        <f>EXP(-LN(2)/2)*EC89+(1-EXP(-LN(2)/2))/(LN(2)/2)*DW90*DZ90*VLOOKUP('Données projet'!$B$14,Paramètres!$A$1:$I$88,3,0)*0.475*44/12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projet'!$B$15,Paramètres!$A$1:$I$88,3,0)*VLOOKUP('Données projet'!$B$15,Paramètres!$A$1:$I$88,5,0)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projet'!$B$15,Paramètres!$A$1:$I$88,7,0))</f>
        <v>0</v>
      </c>
      <c r="ET90" s="17">
        <f>IF(ISNA(VLOOKUP(A90,'Données projet'!$A$191:$I$211,6,0)),0%,VLOOKUP(A90,'Données projet'!$A$191:$I$211,6,0)*VLOOKUP('Données projet'!$B$15,Paramètres!$A$1:$I$88,7,0))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projet'!$B$15,Paramètres!$A$1:$I$88,3,0)*0.475*44/12</f>
        <v>#N/A</v>
      </c>
      <c r="EW90" s="23" t="e">
        <f>EXP(-LN(2)/25)*EW89+(1-EXP(-LN(2)/25))/(LN(2)/25)*Calculateur!ER90*Calculateur!ET90*VLOOKUP('Données projet'!$B$15,Paramètres!$A$1:$I$88,3,0)*0.475*44/12</f>
        <v>#N/A</v>
      </c>
      <c r="EX90" s="23" t="e">
        <f>EXP(-LN(2)/2)*EX89+(1-EXP(-LN(2)/2))/(LN(2)/2)*ER90*EU90*VLOOKUP('Données projet'!$B$15,Paramètres!$A$1:$I$88,3,0)*0.475*44/12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projet'!$B$16,Paramètres!$A$1:$I$88,3,0)*VLOOKUP('Données projet'!$B$16,Paramètres!$A$1:$I$88,5,0)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projet'!$B$16,Paramètres!$A$1:$I$88,7,0))</f>
        <v>0</v>
      </c>
      <c r="FO90" s="17">
        <f>IF(ISNA(VLOOKUP(A90,'Données projet'!$A$217:$I$237,6,0)),0%,VLOOKUP(A90,'Données projet'!$A$217:$I$237,6,0)*VLOOKUP('Données projet'!$B$16,Paramètres!$A$1:$I$88,7,0))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projet'!$B$16,Paramètres!$A$1:$I$88,3,0)*0.475*44/12</f>
        <v>#N/A</v>
      </c>
      <c r="FR90" s="23" t="e">
        <f>EXP(-LN(2)/25)*FR89+(1-EXP(-LN(2)/25))/(LN(2)/25)*Calculateur!FM90*Calculateur!FO90*VLOOKUP('Données projet'!$B$16,Paramètres!$A$1:$I$88,3,0)*0.475*44/12</f>
        <v>#N/A</v>
      </c>
      <c r="FS90" s="23" t="e">
        <f>EXP(-LN(2)/2)*FS89+(1-EXP(-LN(2)/2))/(LN(2)/2)*FM90*FP90*VLOOKUP('Données projet'!$B$16,Paramètres!$A$1:$I$88,3,0)*0.475*44/12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projet'!$B$17,Paramètres!$A$1:$I$88,3,0)*VLOOKUP('Données projet'!$B$17,Paramètres!$A$1:$I$88,5,0)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projet'!$B$17,Paramètres!$A$1:$I$88,7,0))</f>
        <v>0</v>
      </c>
      <c r="GJ90" s="17">
        <f>IF(ISNA(VLOOKUP(A90,'Données projet'!$A$243:$I$263,6,0)),0%,VLOOKUP(A90,'Données projet'!$A$243:$I$263,6,0)*VLOOKUP('Données projet'!$B$17,Paramètres!$A$1:$I$88,7,0))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projet'!$B$17,Paramètres!$A$1:$I$88,3,0)*0.475*44/12</f>
        <v>#N/A</v>
      </c>
      <c r="GM90" s="23" t="e">
        <f>EXP(-LN(2)/25)*GM89+(1-EXP(-LN(2)/25))/(LN(2)/25)*Calculateur!GH90*Calculateur!GJ90*VLOOKUP('Données projet'!$B$17,Paramètres!$A$1:$I$88,3,0)*0.475*44/12</f>
        <v>#N/A</v>
      </c>
      <c r="GN90" s="23" t="e">
        <f>EXP(-LN(2)/2)*GN89+(1-EXP(-LN(2)/2))/(LN(2)/2)*GH90*GK90*VLOOKUP('Données projet'!$B$17,Paramètres!$A$1:$I$88,3,0)*0.475*44/12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projet'!$B$18,Paramètres!$A$1:$I$88,3,0)*VLOOKUP('Données projet'!$B$18,Paramètres!$A$1:$I$88,5,0)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projet'!$B$18,Paramètres!$A$1:$I$88,7,0))</f>
        <v>0</v>
      </c>
      <c r="HE90" s="17">
        <f>IF(ISNA(VLOOKUP(A90,'Données projet'!$A$269:$I$289,6,0)),0%,VLOOKUP(A90,'Données projet'!$A$269:$I$289,6,0)*VLOOKUP('Données projet'!$B$18,Paramètres!$A$1:$I$88,7,0))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projet'!$B$18,Paramètres!$A$1:$I$88,3,0)*0.475*44/12</f>
        <v>#N/A</v>
      </c>
      <c r="HH90" s="23" t="e">
        <f>EXP(-LN(2)/25)*HH89+(1-EXP(-LN(2)/25))/(LN(2)/25)*Calculateur!HC90*Calculateur!HE90*VLOOKUP('Données projet'!$B$18,Paramètres!$A$1:$I$88,3,0)*0.475*44/12</f>
        <v>#N/A</v>
      </c>
      <c r="HI90" s="23" t="e">
        <f>EXP(-LN(2)/2)*HI89+(1-EXP(-LN(2)/2))/(LN(2)/2)*HC90*HF90*VLOOKUP('Données projet'!$B$18,Paramètres!$A$1:$I$88,3,0)*0.475*44/12</f>
        <v>#N/A</v>
      </c>
      <c r="HJ90" s="24" t="e">
        <f t="shared" si="84"/>
        <v>#N/A</v>
      </c>
    </row>
    <row r="91" spans="1:218" s="5" customFormat="1" x14ac:dyDescent="0.3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4.5474735088646412E-13</v>
      </c>
      <c r="O91" s="14">
        <f>N91*VLOOKUP('Données projet'!$B$9,Paramètres!$A$1:$I$88,3,0)*VLOOKUP('Données projet'!$B$9,Paramètres!$A$1:$I$88,5,0)</f>
        <v>2.5420376914553347E-13</v>
      </c>
      <c r="P91" s="14">
        <f t="shared" si="87"/>
        <v>3.4258699088369875E-12</v>
      </c>
      <c r="Q91" s="22">
        <f t="shared" si="54"/>
        <v>6.4094616558195571E-12</v>
      </c>
      <c r="R91" s="62">
        <f t="shared" si="55"/>
        <v>273.68173236920012</v>
      </c>
      <c r="S91" s="62">
        <f ca="1">AVERAGE(OFFSET($R$3,0,0,'Données projet'!$E$9+1,1))-AVERAGE(OFFSET($H$3,0,0,'Données projet'!$E$9+1,1))</f>
        <v>367.03450586441784</v>
      </c>
      <c r="T91" s="62">
        <f t="shared" si="88"/>
        <v>413.14502442862897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projet'!$B$9,Paramètres!$A$1:$I$88,7,0))</f>
        <v>0</v>
      </c>
      <c r="X91" s="17">
        <f>IF(ISNA(VLOOKUP(A91,'Données projet'!$A$35:$I$55,6,0)),0%,VLOOKUP(A91,'Données projet'!$A$35:$I$55,6,0)*VLOOKUP('Données projet'!$B$9,Paramètres!$A$1:$I$88,7,0))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projet'!$B$9,Paramètres!$A$1:$I$88,3,0)*0.475*44/12</f>
        <v>137.53886028091236</v>
      </c>
      <c r="AA91" s="23">
        <f>EXP(-LN(2)/25)*AA90+(1-EXP(-LN(2)/25))/(LN(2)/25)*Calculateur!V91*Calculateur!X91*VLOOKUP('Données projet'!$B$9,Paramètres!$A$1:$I$88,3,0)*0.475*44/12</f>
        <v>60.824567933856358</v>
      </c>
      <c r="AB91" s="23">
        <f>EXP(-LN(2)/2)*AB90+(1-EXP(-LN(2)/2))/(LN(2)/2)*V91*Y91*VLOOKUP('Données projet'!$B$9,Paramètres!$A$1:$I$88,3,0)*0.475*44/12</f>
        <v>0</v>
      </c>
      <c r="AC91" s="24">
        <f t="shared" si="57"/>
        <v>198.3634282147687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projet'!$B$10,Paramètres!$A$1:$I$88,3,0)*VLOOKUP('Données projet'!$B$10,Paramètres!$A$1:$I$88,5,0)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projet'!$B$10,Paramètres!$A$1:$I$88,7,0))</f>
        <v>0</v>
      </c>
      <c r="AS91" s="17">
        <f>IF(ISNA(VLOOKUP(A91,'Données projet'!$A$61:$I$81,6,0)),0%,VLOOKUP(A91,'Données projet'!$A$61:$I$81,6,0)*VLOOKUP('Données projet'!$B$10,Paramètres!$A$1:$I$88,7,0))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projet'!$B$10,Paramètres!$A$1:$I$88,3,0)*0.475*44/12</f>
        <v>#N/A</v>
      </c>
      <c r="AV91" s="23" t="e">
        <f>EXP(-LN(2)/25)*AV90+(1-EXP(-LN(2)/25))/(LN(2)/25)*Calculateur!AQ91*Calculateur!AS91*VLOOKUP('Données projet'!$B$10,Paramètres!$A$1:$I$88,3,0)*0.475*44/12</f>
        <v>#N/A</v>
      </c>
      <c r="AW91" s="23" t="e">
        <f>EXP(-LN(2)/2)*AW90+(1-EXP(-LN(2)/2))/(LN(2)/2)*AQ91*AT91*VLOOKUP('Données projet'!$B$10,Paramètres!$A$1:$I$88,3,0)*0.475*44/12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projet'!$B$11,Paramètres!$A$1:$I$88,3,0)*VLOOKUP('Données projet'!$B$11,Paramètres!$A$1:$I$88,5,0)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projet'!$B$11,Paramètres!$A$1:$I$88,7,0))</f>
        <v>0</v>
      </c>
      <c r="BN91" s="17">
        <f>IF(ISNA(VLOOKUP(A91,'Données projet'!$A$87:$I$107,6,0)),0%,VLOOKUP(A91,'Données projet'!$A$87:$I$107,6,0)*VLOOKUP('Données projet'!$B$11,Paramètres!$A$1:$I$88,7,0))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projet'!$B$11,Paramètres!$A$1:$I$88,3,0)*0.475*44/12</f>
        <v>#N/A</v>
      </c>
      <c r="BQ91" s="23" t="e">
        <f>EXP(-LN(2)/25)*BQ90+(1-EXP(-LN(2)/25))/(LN(2)/25)*Calculateur!BL91*Calculateur!BN91*VLOOKUP('Données projet'!$B$11,Paramètres!$A$1:$I$88,3,0)*0.475*44/12</f>
        <v>#N/A</v>
      </c>
      <c r="BR91" s="23" t="e">
        <f>EXP(-LN(2)/2)*BR90+(1-EXP(-LN(2)/2))/(LN(2)/2)*BL91*BO91*VLOOKUP('Données projet'!$B$11,Paramètres!$A$1:$I$88,3,0)*0.475*44/12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projet'!$B$12,Paramètres!$A$1:$I$88,3,0)*VLOOKUP('Données projet'!$B$12,Paramètres!$A$1:$I$88,5,0)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projet'!$B$12,Paramètres!$A$1:$I$88,7,0))</f>
        <v>0</v>
      </c>
      <c r="CI91" s="17">
        <f>IF(ISNA(VLOOKUP(A91,'Données projet'!$A$113:$I$133,6,0)),0%,VLOOKUP(A91,'Données projet'!$A$113:$I$133,6,0)*VLOOKUP('Données projet'!$B$12,Paramètres!$A$1:$I$88,7,0))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projet'!$B$12,Paramètres!$A$1:$I$88,3,0)*0.475*44/12</f>
        <v>#N/A</v>
      </c>
      <c r="CL91" s="23" t="e">
        <f>EXP(-LN(2)/25)*CL90+(1-EXP(-LN(2)/25))/(LN(2)/25)*Calculateur!CG91*Calculateur!CI91*VLOOKUP('Données projet'!$B$12,Paramètres!$A$1:$I$88,3,0)*0.475*44/12</f>
        <v>#N/A</v>
      </c>
      <c r="CM91" s="23" t="e">
        <f>EXP(-LN(2)/2)*CM90+(1-EXP(-LN(2)/2))/(LN(2)/2)*CG91*CJ91*VLOOKUP('Données projet'!$B$12,Paramètres!$A$1:$I$88,3,0)*0.475*44/12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projet'!$B$13,Paramètres!$A$1:$I$88,3,0)*VLOOKUP('Données projet'!$B$13,Paramètres!$A$1:$I$88,5,0)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projet'!$B$13,Paramètres!$A$1:$I$88,7,0))</f>
        <v>0</v>
      </c>
      <c r="DD91" s="17">
        <f>IF(ISNA(VLOOKUP(A91,'Données projet'!$A$139:$I$159,6,0)),0%,VLOOKUP(A91,'Données projet'!$A$139:$I$159,6,0)*VLOOKUP('Données projet'!$B$13,Paramètres!$A$1:$I$88,7,0))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projet'!$B$13,Paramètres!$A$1:$I$88,3,0)*0.475*44/12</f>
        <v>#N/A</v>
      </c>
      <c r="DG91" s="23" t="e">
        <f>EXP(-LN(2)/25)*DG90+(1-EXP(-LN(2)/25))/(LN(2)/25)*Calculateur!DB91*Calculateur!DD91*VLOOKUP('Données projet'!$B$13,Paramètres!$A$1:$I$88,3,0)*0.475*44/12</f>
        <v>#N/A</v>
      </c>
      <c r="DH91" s="23" t="e">
        <f>EXP(-LN(2)/2)*DH90+(1-EXP(-LN(2)/2))/(LN(2)/2)*DB91*DE91*VLOOKUP('Données projet'!$B$13,Paramètres!$A$1:$I$88,3,0)*0.475*44/12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projet'!$B$14,Paramètres!$A$1:$I$88,3,0)*VLOOKUP('Données projet'!$B$14,Paramètres!$A$1:$I$88,5,0)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projet'!$B$14,Paramètres!$A$1:$I$88,7,0))</f>
        <v>0</v>
      </c>
      <c r="DY91" s="17">
        <f>IF(ISNA(VLOOKUP(A91,'Données projet'!$A$165:$I$185,6,0)),0%,VLOOKUP(A91,'Données projet'!$A$165:$I$185,6,0)*VLOOKUP('Données projet'!$B$14,Paramètres!$A$1:$I$88,7,0))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projet'!$B$14,Paramètres!$A$1:$I$88,3,0)*0.475*44/12</f>
        <v>#N/A</v>
      </c>
      <c r="EB91" s="23" t="e">
        <f>EXP(-LN(2)/25)*EB90+(1-EXP(-LN(2)/25))/(LN(2)/25)*Calculateur!DW91*Calculateur!DY91*VLOOKUP('Données projet'!$B$14,Paramètres!$A$1:$I$88,3,0)*0.475*44/12</f>
        <v>#N/A</v>
      </c>
      <c r="EC91" s="23" t="e">
        <f>EXP(-LN(2)/2)*EC90+(1-EXP(-LN(2)/2))/(LN(2)/2)*DW91*DZ91*VLOOKUP('Données projet'!$B$14,Paramètres!$A$1:$I$88,3,0)*0.475*44/12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projet'!$B$15,Paramètres!$A$1:$I$88,3,0)*VLOOKUP('Données projet'!$B$15,Paramètres!$A$1:$I$88,5,0)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projet'!$B$15,Paramètres!$A$1:$I$88,7,0))</f>
        <v>0</v>
      </c>
      <c r="ET91" s="17">
        <f>IF(ISNA(VLOOKUP(A91,'Données projet'!$A$191:$I$211,6,0)),0%,VLOOKUP(A91,'Données projet'!$A$191:$I$211,6,0)*VLOOKUP('Données projet'!$B$15,Paramètres!$A$1:$I$88,7,0))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projet'!$B$15,Paramètres!$A$1:$I$88,3,0)*0.475*44/12</f>
        <v>#N/A</v>
      </c>
      <c r="EW91" s="23" t="e">
        <f>EXP(-LN(2)/25)*EW90+(1-EXP(-LN(2)/25))/(LN(2)/25)*Calculateur!ER91*Calculateur!ET91*VLOOKUP('Données projet'!$B$15,Paramètres!$A$1:$I$88,3,0)*0.475*44/12</f>
        <v>#N/A</v>
      </c>
      <c r="EX91" s="23" t="e">
        <f>EXP(-LN(2)/2)*EX90+(1-EXP(-LN(2)/2))/(LN(2)/2)*ER91*EU91*VLOOKUP('Données projet'!$B$15,Paramètres!$A$1:$I$88,3,0)*0.475*44/12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projet'!$B$16,Paramètres!$A$1:$I$88,3,0)*VLOOKUP('Données projet'!$B$16,Paramètres!$A$1:$I$88,5,0)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projet'!$B$16,Paramètres!$A$1:$I$88,7,0))</f>
        <v>0</v>
      </c>
      <c r="FO91" s="17">
        <f>IF(ISNA(VLOOKUP(A91,'Données projet'!$A$217:$I$237,6,0)),0%,VLOOKUP(A91,'Données projet'!$A$217:$I$237,6,0)*VLOOKUP('Données projet'!$B$16,Paramètres!$A$1:$I$88,7,0))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projet'!$B$16,Paramètres!$A$1:$I$88,3,0)*0.475*44/12</f>
        <v>#N/A</v>
      </c>
      <c r="FR91" s="23" t="e">
        <f>EXP(-LN(2)/25)*FR90+(1-EXP(-LN(2)/25))/(LN(2)/25)*Calculateur!FM91*Calculateur!FO91*VLOOKUP('Données projet'!$B$16,Paramètres!$A$1:$I$88,3,0)*0.475*44/12</f>
        <v>#N/A</v>
      </c>
      <c r="FS91" s="23" t="e">
        <f>EXP(-LN(2)/2)*FS90+(1-EXP(-LN(2)/2))/(LN(2)/2)*FM91*FP91*VLOOKUP('Données projet'!$B$16,Paramètres!$A$1:$I$88,3,0)*0.475*44/12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projet'!$B$17,Paramètres!$A$1:$I$88,3,0)*VLOOKUP('Données projet'!$B$17,Paramètres!$A$1:$I$88,5,0)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projet'!$B$17,Paramètres!$A$1:$I$88,7,0))</f>
        <v>0</v>
      </c>
      <c r="GJ91" s="17">
        <f>IF(ISNA(VLOOKUP(A91,'Données projet'!$A$243:$I$263,6,0)),0%,VLOOKUP(A91,'Données projet'!$A$243:$I$263,6,0)*VLOOKUP('Données projet'!$B$17,Paramètres!$A$1:$I$88,7,0))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projet'!$B$17,Paramètres!$A$1:$I$88,3,0)*0.475*44/12</f>
        <v>#N/A</v>
      </c>
      <c r="GM91" s="23" t="e">
        <f>EXP(-LN(2)/25)*GM90+(1-EXP(-LN(2)/25))/(LN(2)/25)*Calculateur!GH91*Calculateur!GJ91*VLOOKUP('Données projet'!$B$17,Paramètres!$A$1:$I$88,3,0)*0.475*44/12</f>
        <v>#N/A</v>
      </c>
      <c r="GN91" s="23" t="e">
        <f>EXP(-LN(2)/2)*GN90+(1-EXP(-LN(2)/2))/(LN(2)/2)*GH91*GK91*VLOOKUP('Données projet'!$B$17,Paramètres!$A$1:$I$88,3,0)*0.475*44/12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projet'!$B$18,Paramètres!$A$1:$I$88,3,0)*VLOOKUP('Données projet'!$B$18,Paramètres!$A$1:$I$88,5,0)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projet'!$B$18,Paramètres!$A$1:$I$88,7,0))</f>
        <v>0</v>
      </c>
      <c r="HE91" s="17">
        <f>IF(ISNA(VLOOKUP(A91,'Données projet'!$A$269:$I$289,6,0)),0%,VLOOKUP(A91,'Données projet'!$A$269:$I$289,6,0)*VLOOKUP('Données projet'!$B$18,Paramètres!$A$1:$I$88,7,0))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projet'!$B$18,Paramètres!$A$1:$I$88,3,0)*0.475*44/12</f>
        <v>#N/A</v>
      </c>
      <c r="HH91" s="23" t="e">
        <f>EXP(-LN(2)/25)*HH90+(1-EXP(-LN(2)/25))/(LN(2)/25)*Calculateur!HC91*Calculateur!HE91*VLOOKUP('Données projet'!$B$18,Paramètres!$A$1:$I$88,3,0)*0.475*44/12</f>
        <v>#N/A</v>
      </c>
      <c r="HI91" s="23" t="e">
        <f>EXP(-LN(2)/2)*HI90+(1-EXP(-LN(2)/2))/(LN(2)/2)*HC91*HF91*VLOOKUP('Données projet'!$B$18,Paramètres!$A$1:$I$88,3,0)*0.475*44/12</f>
        <v>#N/A</v>
      </c>
      <c r="HJ91" s="24" t="e">
        <f t="shared" si="84"/>
        <v>#N/A</v>
      </c>
    </row>
    <row r="92" spans="1:218" s="5" customFormat="1" x14ac:dyDescent="0.3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4.5474735088646412E-13</v>
      </c>
      <c r="O92" s="14">
        <f>N92*VLOOKUP('Données projet'!$B$9,Paramètres!$A$1:$I$88,3,0)*VLOOKUP('Données projet'!$B$9,Paramètres!$A$1:$I$88,5,0)</f>
        <v>2.5420376914553347E-13</v>
      </c>
      <c r="P92" s="14">
        <f t="shared" si="87"/>
        <v>3.4258699088369875E-12</v>
      </c>
      <c r="Q92" s="22">
        <f t="shared" si="54"/>
        <v>6.4094616558195571E-12</v>
      </c>
      <c r="R92" s="62">
        <f t="shared" si="55"/>
        <v>274.02264371153001</v>
      </c>
      <c r="S92" s="62">
        <f ca="1">AVERAGE(OFFSET($R$3,0,0,'Données projet'!$E$9+1,1))-AVERAGE(OFFSET($H$3,0,0,'Données projet'!$E$9+1,1))</f>
        <v>367.03450586441784</v>
      </c>
      <c r="T92" s="62">
        <f t="shared" si="88"/>
        <v>413.14502442862897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projet'!$B$9,Paramètres!$A$1:$I$88,7,0))</f>
        <v>0</v>
      </c>
      <c r="X92" s="17">
        <f>IF(ISNA(VLOOKUP(A92,'Données projet'!$A$35:$I$55,6,0)),0%,VLOOKUP(A92,'Données projet'!$A$35:$I$55,6,0)*VLOOKUP('Données projet'!$B$9,Paramètres!$A$1:$I$88,7,0))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projet'!$B$9,Paramètres!$A$1:$I$88,3,0)*0.475*44/12</f>
        <v>134.84180712122495</v>
      </c>
      <c r="AA92" s="23">
        <f>EXP(-LN(2)/25)*AA91+(1-EXP(-LN(2)/25))/(LN(2)/25)*Calculateur!V92*Calculateur!X92*VLOOKUP('Données projet'!$B$9,Paramètres!$A$1:$I$88,3,0)*0.475*44/12</f>
        <v>59.161316925080044</v>
      </c>
      <c r="AB92" s="23">
        <f>EXP(-LN(2)/2)*AB91+(1-EXP(-LN(2)/2))/(LN(2)/2)*V92*Y92*VLOOKUP('Données projet'!$B$9,Paramètres!$A$1:$I$88,3,0)*0.475*44/12</f>
        <v>0</v>
      </c>
      <c r="AC92" s="24">
        <f t="shared" si="57"/>
        <v>194.003124046305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projet'!$B$10,Paramètres!$A$1:$I$88,3,0)*VLOOKUP('Données projet'!$B$10,Paramètres!$A$1:$I$88,5,0)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projet'!$B$10,Paramètres!$A$1:$I$88,7,0))</f>
        <v>0</v>
      </c>
      <c r="AS92" s="17">
        <f>IF(ISNA(VLOOKUP(A92,'Données projet'!$A$61:$I$81,6,0)),0%,VLOOKUP(A92,'Données projet'!$A$61:$I$81,6,0)*VLOOKUP('Données projet'!$B$10,Paramètres!$A$1:$I$88,7,0))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projet'!$B$10,Paramètres!$A$1:$I$88,3,0)*0.475*44/12</f>
        <v>#N/A</v>
      </c>
      <c r="AV92" s="23" t="e">
        <f>EXP(-LN(2)/25)*AV91+(1-EXP(-LN(2)/25))/(LN(2)/25)*Calculateur!AQ92*Calculateur!AS92*VLOOKUP('Données projet'!$B$10,Paramètres!$A$1:$I$88,3,0)*0.475*44/12</f>
        <v>#N/A</v>
      </c>
      <c r="AW92" s="23" t="e">
        <f>EXP(-LN(2)/2)*AW91+(1-EXP(-LN(2)/2))/(LN(2)/2)*AQ92*AT92*VLOOKUP('Données projet'!$B$10,Paramètres!$A$1:$I$88,3,0)*0.475*44/12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projet'!$B$11,Paramètres!$A$1:$I$88,3,0)*VLOOKUP('Données projet'!$B$11,Paramètres!$A$1:$I$88,5,0)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projet'!$B$11,Paramètres!$A$1:$I$88,7,0))</f>
        <v>0</v>
      </c>
      <c r="BN92" s="17">
        <f>IF(ISNA(VLOOKUP(A92,'Données projet'!$A$87:$I$107,6,0)),0%,VLOOKUP(A92,'Données projet'!$A$87:$I$107,6,0)*VLOOKUP('Données projet'!$B$11,Paramètres!$A$1:$I$88,7,0))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projet'!$B$11,Paramètres!$A$1:$I$88,3,0)*0.475*44/12</f>
        <v>#N/A</v>
      </c>
      <c r="BQ92" s="23" t="e">
        <f>EXP(-LN(2)/25)*BQ91+(1-EXP(-LN(2)/25))/(LN(2)/25)*Calculateur!BL92*Calculateur!BN92*VLOOKUP('Données projet'!$B$11,Paramètres!$A$1:$I$88,3,0)*0.475*44/12</f>
        <v>#N/A</v>
      </c>
      <c r="BR92" s="23" t="e">
        <f>EXP(-LN(2)/2)*BR91+(1-EXP(-LN(2)/2))/(LN(2)/2)*BL92*BO92*VLOOKUP('Données projet'!$B$11,Paramètres!$A$1:$I$88,3,0)*0.475*44/12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projet'!$B$12,Paramètres!$A$1:$I$88,3,0)*VLOOKUP('Données projet'!$B$12,Paramètres!$A$1:$I$88,5,0)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projet'!$B$12,Paramètres!$A$1:$I$88,7,0))</f>
        <v>0</v>
      </c>
      <c r="CI92" s="17">
        <f>IF(ISNA(VLOOKUP(A92,'Données projet'!$A$113:$I$133,6,0)),0%,VLOOKUP(A92,'Données projet'!$A$113:$I$133,6,0)*VLOOKUP('Données projet'!$B$12,Paramètres!$A$1:$I$88,7,0))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projet'!$B$12,Paramètres!$A$1:$I$88,3,0)*0.475*44/12</f>
        <v>#N/A</v>
      </c>
      <c r="CL92" s="23" t="e">
        <f>EXP(-LN(2)/25)*CL91+(1-EXP(-LN(2)/25))/(LN(2)/25)*Calculateur!CG92*Calculateur!CI92*VLOOKUP('Données projet'!$B$12,Paramètres!$A$1:$I$88,3,0)*0.475*44/12</f>
        <v>#N/A</v>
      </c>
      <c r="CM92" s="23" t="e">
        <f>EXP(-LN(2)/2)*CM91+(1-EXP(-LN(2)/2))/(LN(2)/2)*CG92*CJ92*VLOOKUP('Données projet'!$B$12,Paramètres!$A$1:$I$88,3,0)*0.475*44/12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projet'!$B$13,Paramètres!$A$1:$I$88,3,0)*VLOOKUP('Données projet'!$B$13,Paramètres!$A$1:$I$88,5,0)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projet'!$B$13,Paramètres!$A$1:$I$88,7,0))</f>
        <v>0</v>
      </c>
      <c r="DD92" s="17">
        <f>IF(ISNA(VLOOKUP(A92,'Données projet'!$A$139:$I$159,6,0)),0%,VLOOKUP(A92,'Données projet'!$A$139:$I$159,6,0)*VLOOKUP('Données projet'!$B$13,Paramètres!$A$1:$I$88,7,0))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projet'!$B$13,Paramètres!$A$1:$I$88,3,0)*0.475*44/12</f>
        <v>#N/A</v>
      </c>
      <c r="DG92" s="23" t="e">
        <f>EXP(-LN(2)/25)*DG91+(1-EXP(-LN(2)/25))/(LN(2)/25)*Calculateur!DB92*Calculateur!DD92*VLOOKUP('Données projet'!$B$13,Paramètres!$A$1:$I$88,3,0)*0.475*44/12</f>
        <v>#N/A</v>
      </c>
      <c r="DH92" s="23" t="e">
        <f>EXP(-LN(2)/2)*DH91+(1-EXP(-LN(2)/2))/(LN(2)/2)*DB92*DE92*VLOOKUP('Données projet'!$B$13,Paramètres!$A$1:$I$88,3,0)*0.475*44/12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projet'!$B$14,Paramètres!$A$1:$I$88,3,0)*VLOOKUP('Données projet'!$B$14,Paramètres!$A$1:$I$88,5,0)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projet'!$B$14,Paramètres!$A$1:$I$88,7,0))</f>
        <v>0</v>
      </c>
      <c r="DY92" s="17">
        <f>IF(ISNA(VLOOKUP(A92,'Données projet'!$A$165:$I$185,6,0)),0%,VLOOKUP(A92,'Données projet'!$A$165:$I$185,6,0)*VLOOKUP('Données projet'!$B$14,Paramètres!$A$1:$I$88,7,0))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projet'!$B$14,Paramètres!$A$1:$I$88,3,0)*0.475*44/12</f>
        <v>#N/A</v>
      </c>
      <c r="EB92" s="23" t="e">
        <f>EXP(-LN(2)/25)*EB91+(1-EXP(-LN(2)/25))/(LN(2)/25)*Calculateur!DW92*Calculateur!DY92*VLOOKUP('Données projet'!$B$14,Paramètres!$A$1:$I$88,3,0)*0.475*44/12</f>
        <v>#N/A</v>
      </c>
      <c r="EC92" s="23" t="e">
        <f>EXP(-LN(2)/2)*EC91+(1-EXP(-LN(2)/2))/(LN(2)/2)*DW92*DZ92*VLOOKUP('Données projet'!$B$14,Paramètres!$A$1:$I$88,3,0)*0.475*44/12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projet'!$B$15,Paramètres!$A$1:$I$88,3,0)*VLOOKUP('Données projet'!$B$15,Paramètres!$A$1:$I$88,5,0)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projet'!$B$15,Paramètres!$A$1:$I$88,7,0))</f>
        <v>0</v>
      </c>
      <c r="ET92" s="17">
        <f>IF(ISNA(VLOOKUP(A92,'Données projet'!$A$191:$I$211,6,0)),0%,VLOOKUP(A92,'Données projet'!$A$191:$I$211,6,0)*VLOOKUP('Données projet'!$B$15,Paramètres!$A$1:$I$88,7,0))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projet'!$B$15,Paramètres!$A$1:$I$88,3,0)*0.475*44/12</f>
        <v>#N/A</v>
      </c>
      <c r="EW92" s="23" t="e">
        <f>EXP(-LN(2)/25)*EW91+(1-EXP(-LN(2)/25))/(LN(2)/25)*Calculateur!ER92*Calculateur!ET92*VLOOKUP('Données projet'!$B$15,Paramètres!$A$1:$I$88,3,0)*0.475*44/12</f>
        <v>#N/A</v>
      </c>
      <c r="EX92" s="23" t="e">
        <f>EXP(-LN(2)/2)*EX91+(1-EXP(-LN(2)/2))/(LN(2)/2)*ER92*EU92*VLOOKUP('Données projet'!$B$15,Paramètres!$A$1:$I$88,3,0)*0.475*44/12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projet'!$B$16,Paramètres!$A$1:$I$88,3,0)*VLOOKUP('Données projet'!$B$16,Paramètres!$A$1:$I$88,5,0)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projet'!$B$16,Paramètres!$A$1:$I$88,7,0))</f>
        <v>0</v>
      </c>
      <c r="FO92" s="17">
        <f>IF(ISNA(VLOOKUP(A92,'Données projet'!$A$217:$I$237,6,0)),0%,VLOOKUP(A92,'Données projet'!$A$217:$I$237,6,0)*VLOOKUP('Données projet'!$B$16,Paramètres!$A$1:$I$88,7,0))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projet'!$B$16,Paramètres!$A$1:$I$88,3,0)*0.475*44/12</f>
        <v>#N/A</v>
      </c>
      <c r="FR92" s="23" t="e">
        <f>EXP(-LN(2)/25)*FR91+(1-EXP(-LN(2)/25))/(LN(2)/25)*Calculateur!FM92*Calculateur!FO92*VLOOKUP('Données projet'!$B$16,Paramètres!$A$1:$I$88,3,0)*0.475*44/12</f>
        <v>#N/A</v>
      </c>
      <c r="FS92" s="23" t="e">
        <f>EXP(-LN(2)/2)*FS91+(1-EXP(-LN(2)/2))/(LN(2)/2)*FM92*FP92*VLOOKUP('Données projet'!$B$16,Paramètres!$A$1:$I$88,3,0)*0.475*44/12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projet'!$B$17,Paramètres!$A$1:$I$88,3,0)*VLOOKUP('Données projet'!$B$17,Paramètres!$A$1:$I$88,5,0)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projet'!$B$17,Paramètres!$A$1:$I$88,7,0))</f>
        <v>0</v>
      </c>
      <c r="GJ92" s="17">
        <f>IF(ISNA(VLOOKUP(A92,'Données projet'!$A$243:$I$263,6,0)),0%,VLOOKUP(A92,'Données projet'!$A$243:$I$263,6,0)*VLOOKUP('Données projet'!$B$17,Paramètres!$A$1:$I$88,7,0))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projet'!$B$17,Paramètres!$A$1:$I$88,3,0)*0.475*44/12</f>
        <v>#N/A</v>
      </c>
      <c r="GM92" s="23" t="e">
        <f>EXP(-LN(2)/25)*GM91+(1-EXP(-LN(2)/25))/(LN(2)/25)*Calculateur!GH92*Calculateur!GJ92*VLOOKUP('Données projet'!$B$17,Paramètres!$A$1:$I$88,3,0)*0.475*44/12</f>
        <v>#N/A</v>
      </c>
      <c r="GN92" s="23" t="e">
        <f>EXP(-LN(2)/2)*GN91+(1-EXP(-LN(2)/2))/(LN(2)/2)*GH92*GK92*VLOOKUP('Données projet'!$B$17,Paramètres!$A$1:$I$88,3,0)*0.475*44/12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projet'!$B$18,Paramètres!$A$1:$I$88,3,0)*VLOOKUP('Données projet'!$B$18,Paramètres!$A$1:$I$88,5,0)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projet'!$B$18,Paramètres!$A$1:$I$88,7,0))</f>
        <v>0</v>
      </c>
      <c r="HE92" s="17">
        <f>IF(ISNA(VLOOKUP(A92,'Données projet'!$A$269:$I$289,6,0)),0%,VLOOKUP(A92,'Données projet'!$A$269:$I$289,6,0)*VLOOKUP('Données projet'!$B$18,Paramètres!$A$1:$I$88,7,0))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projet'!$B$18,Paramètres!$A$1:$I$88,3,0)*0.475*44/12</f>
        <v>#N/A</v>
      </c>
      <c r="HH92" s="23" t="e">
        <f>EXP(-LN(2)/25)*HH91+(1-EXP(-LN(2)/25))/(LN(2)/25)*Calculateur!HC92*Calculateur!HE92*VLOOKUP('Données projet'!$B$18,Paramètres!$A$1:$I$88,3,0)*0.475*44/12</f>
        <v>#N/A</v>
      </c>
      <c r="HI92" s="23" t="e">
        <f>EXP(-LN(2)/2)*HI91+(1-EXP(-LN(2)/2))/(LN(2)/2)*HC92*HF92*VLOOKUP('Données projet'!$B$18,Paramètres!$A$1:$I$88,3,0)*0.475*44/12</f>
        <v>#N/A</v>
      </c>
      <c r="HJ92" s="24" t="e">
        <f t="shared" si="84"/>
        <v>#N/A</v>
      </c>
    </row>
    <row r="93" spans="1:218" s="5" customFormat="1" x14ac:dyDescent="0.3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4.5474735088646412E-13</v>
      </c>
      <c r="O93" s="14">
        <f>N93*VLOOKUP('Données projet'!$B$9,Paramètres!$A$1:$I$88,3,0)*VLOOKUP('Données projet'!$B$9,Paramètres!$A$1:$I$88,5,0)</f>
        <v>2.5420376914553347E-13</v>
      </c>
      <c r="P93" s="14">
        <f t="shared" si="87"/>
        <v>3.4258699088369875E-12</v>
      </c>
      <c r="Q93" s="22">
        <f t="shared" si="54"/>
        <v>6.4094616558195571E-12</v>
      </c>
      <c r="R93" s="62">
        <f t="shared" si="55"/>
        <v>274.3576410042341</v>
      </c>
      <c r="S93" s="62">
        <f ca="1">AVERAGE(OFFSET($R$3,0,0,'Données projet'!$E$9+1,1))-AVERAGE(OFFSET($H$3,0,0,'Données projet'!$E$9+1,1))</f>
        <v>367.03450586441784</v>
      </c>
      <c r="T93" s="62">
        <f t="shared" si="88"/>
        <v>413.14502442862897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projet'!$B$9,Paramètres!$A$1:$I$88,7,0))</f>
        <v>0</v>
      </c>
      <c r="X93" s="17">
        <f>IF(ISNA(VLOOKUP(A93,'Données projet'!$A$35:$I$55,6,0)),0%,VLOOKUP(A93,'Données projet'!$A$35:$I$55,6,0)*VLOOKUP('Données projet'!$B$9,Paramètres!$A$1:$I$88,7,0))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projet'!$B$9,Paramètres!$A$1:$I$88,3,0)*0.475*44/12</f>
        <v>132.19764152895902</v>
      </c>
      <c r="AA93" s="23">
        <f>EXP(-LN(2)/25)*AA92+(1-EXP(-LN(2)/25))/(LN(2)/25)*Calculateur!V93*Calculateur!X93*VLOOKUP('Données projet'!$B$9,Paramètres!$A$1:$I$88,3,0)*0.475*44/12</f>
        <v>57.543547602605287</v>
      </c>
      <c r="AB93" s="23">
        <f>EXP(-LN(2)/2)*AB92+(1-EXP(-LN(2)/2))/(LN(2)/2)*V93*Y93*VLOOKUP('Données projet'!$B$9,Paramètres!$A$1:$I$88,3,0)*0.475*44/12</f>
        <v>0</v>
      </c>
      <c r="AC93" s="24">
        <f t="shared" si="57"/>
        <v>189.74118913156431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projet'!$B$10,Paramètres!$A$1:$I$88,3,0)*VLOOKUP('Données projet'!$B$10,Paramètres!$A$1:$I$88,5,0)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projet'!$B$10,Paramètres!$A$1:$I$88,7,0))</f>
        <v>0</v>
      </c>
      <c r="AS93" s="17">
        <f>IF(ISNA(VLOOKUP(A93,'Données projet'!$A$61:$I$81,6,0)),0%,VLOOKUP(A93,'Données projet'!$A$61:$I$81,6,0)*VLOOKUP('Données projet'!$B$10,Paramètres!$A$1:$I$88,7,0))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projet'!$B$10,Paramètres!$A$1:$I$88,3,0)*0.475*44/12</f>
        <v>#N/A</v>
      </c>
      <c r="AV93" s="23" t="e">
        <f>EXP(-LN(2)/25)*AV92+(1-EXP(-LN(2)/25))/(LN(2)/25)*Calculateur!AQ93*Calculateur!AS93*VLOOKUP('Données projet'!$B$10,Paramètres!$A$1:$I$88,3,0)*0.475*44/12</f>
        <v>#N/A</v>
      </c>
      <c r="AW93" s="23" t="e">
        <f>EXP(-LN(2)/2)*AW92+(1-EXP(-LN(2)/2))/(LN(2)/2)*AQ93*AT93*VLOOKUP('Données projet'!$B$10,Paramètres!$A$1:$I$88,3,0)*0.475*44/12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projet'!$B$11,Paramètres!$A$1:$I$88,3,0)*VLOOKUP('Données projet'!$B$11,Paramètres!$A$1:$I$88,5,0)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projet'!$B$11,Paramètres!$A$1:$I$88,7,0))</f>
        <v>0</v>
      </c>
      <c r="BN93" s="17">
        <f>IF(ISNA(VLOOKUP(A93,'Données projet'!$A$87:$I$107,6,0)),0%,VLOOKUP(A93,'Données projet'!$A$87:$I$107,6,0)*VLOOKUP('Données projet'!$B$11,Paramètres!$A$1:$I$88,7,0))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projet'!$B$11,Paramètres!$A$1:$I$88,3,0)*0.475*44/12</f>
        <v>#N/A</v>
      </c>
      <c r="BQ93" s="23" t="e">
        <f>EXP(-LN(2)/25)*BQ92+(1-EXP(-LN(2)/25))/(LN(2)/25)*Calculateur!BL93*Calculateur!BN93*VLOOKUP('Données projet'!$B$11,Paramètres!$A$1:$I$88,3,0)*0.475*44/12</f>
        <v>#N/A</v>
      </c>
      <c r="BR93" s="23" t="e">
        <f>EXP(-LN(2)/2)*BR92+(1-EXP(-LN(2)/2))/(LN(2)/2)*BL93*BO93*VLOOKUP('Données projet'!$B$11,Paramètres!$A$1:$I$88,3,0)*0.475*44/12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projet'!$B$12,Paramètres!$A$1:$I$88,3,0)*VLOOKUP('Données projet'!$B$12,Paramètres!$A$1:$I$88,5,0)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projet'!$B$12,Paramètres!$A$1:$I$88,7,0))</f>
        <v>0</v>
      </c>
      <c r="CI93" s="17">
        <f>IF(ISNA(VLOOKUP(A93,'Données projet'!$A$113:$I$133,6,0)),0%,VLOOKUP(A93,'Données projet'!$A$113:$I$133,6,0)*VLOOKUP('Données projet'!$B$12,Paramètres!$A$1:$I$88,7,0))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projet'!$B$12,Paramètres!$A$1:$I$88,3,0)*0.475*44/12</f>
        <v>#N/A</v>
      </c>
      <c r="CL93" s="23" t="e">
        <f>EXP(-LN(2)/25)*CL92+(1-EXP(-LN(2)/25))/(LN(2)/25)*Calculateur!CG93*Calculateur!CI93*VLOOKUP('Données projet'!$B$12,Paramètres!$A$1:$I$88,3,0)*0.475*44/12</f>
        <v>#N/A</v>
      </c>
      <c r="CM93" s="23" t="e">
        <f>EXP(-LN(2)/2)*CM92+(1-EXP(-LN(2)/2))/(LN(2)/2)*CG93*CJ93*VLOOKUP('Données projet'!$B$12,Paramètres!$A$1:$I$88,3,0)*0.475*44/12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projet'!$B$13,Paramètres!$A$1:$I$88,3,0)*VLOOKUP('Données projet'!$B$13,Paramètres!$A$1:$I$88,5,0)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projet'!$B$13,Paramètres!$A$1:$I$88,7,0))</f>
        <v>0</v>
      </c>
      <c r="DD93" s="17">
        <f>IF(ISNA(VLOOKUP(A93,'Données projet'!$A$139:$I$159,6,0)),0%,VLOOKUP(A93,'Données projet'!$A$139:$I$159,6,0)*VLOOKUP('Données projet'!$B$13,Paramètres!$A$1:$I$88,7,0))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projet'!$B$13,Paramètres!$A$1:$I$88,3,0)*0.475*44/12</f>
        <v>#N/A</v>
      </c>
      <c r="DG93" s="23" t="e">
        <f>EXP(-LN(2)/25)*DG92+(1-EXP(-LN(2)/25))/(LN(2)/25)*Calculateur!DB93*Calculateur!DD93*VLOOKUP('Données projet'!$B$13,Paramètres!$A$1:$I$88,3,0)*0.475*44/12</f>
        <v>#N/A</v>
      </c>
      <c r="DH93" s="23" t="e">
        <f>EXP(-LN(2)/2)*DH92+(1-EXP(-LN(2)/2))/(LN(2)/2)*DB93*DE93*VLOOKUP('Données projet'!$B$13,Paramètres!$A$1:$I$88,3,0)*0.475*44/12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projet'!$B$14,Paramètres!$A$1:$I$88,3,0)*VLOOKUP('Données projet'!$B$14,Paramètres!$A$1:$I$88,5,0)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projet'!$B$14,Paramètres!$A$1:$I$88,7,0))</f>
        <v>0</v>
      </c>
      <c r="DY93" s="17">
        <f>IF(ISNA(VLOOKUP(A93,'Données projet'!$A$165:$I$185,6,0)),0%,VLOOKUP(A93,'Données projet'!$A$165:$I$185,6,0)*VLOOKUP('Données projet'!$B$14,Paramètres!$A$1:$I$88,7,0))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projet'!$B$14,Paramètres!$A$1:$I$88,3,0)*0.475*44/12</f>
        <v>#N/A</v>
      </c>
      <c r="EB93" s="23" t="e">
        <f>EXP(-LN(2)/25)*EB92+(1-EXP(-LN(2)/25))/(LN(2)/25)*Calculateur!DW93*Calculateur!DY93*VLOOKUP('Données projet'!$B$14,Paramètres!$A$1:$I$88,3,0)*0.475*44/12</f>
        <v>#N/A</v>
      </c>
      <c r="EC93" s="23" t="e">
        <f>EXP(-LN(2)/2)*EC92+(1-EXP(-LN(2)/2))/(LN(2)/2)*DW93*DZ93*VLOOKUP('Données projet'!$B$14,Paramètres!$A$1:$I$88,3,0)*0.475*44/12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projet'!$B$15,Paramètres!$A$1:$I$88,3,0)*VLOOKUP('Données projet'!$B$15,Paramètres!$A$1:$I$88,5,0)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projet'!$B$15,Paramètres!$A$1:$I$88,7,0))</f>
        <v>0</v>
      </c>
      <c r="ET93" s="17">
        <f>IF(ISNA(VLOOKUP(A93,'Données projet'!$A$191:$I$211,6,0)),0%,VLOOKUP(A93,'Données projet'!$A$191:$I$211,6,0)*VLOOKUP('Données projet'!$B$15,Paramètres!$A$1:$I$88,7,0))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projet'!$B$15,Paramètres!$A$1:$I$88,3,0)*0.475*44/12</f>
        <v>#N/A</v>
      </c>
      <c r="EW93" s="23" t="e">
        <f>EXP(-LN(2)/25)*EW92+(1-EXP(-LN(2)/25))/(LN(2)/25)*Calculateur!ER93*Calculateur!ET93*VLOOKUP('Données projet'!$B$15,Paramètres!$A$1:$I$88,3,0)*0.475*44/12</f>
        <v>#N/A</v>
      </c>
      <c r="EX93" s="23" t="e">
        <f>EXP(-LN(2)/2)*EX92+(1-EXP(-LN(2)/2))/(LN(2)/2)*ER93*EU93*VLOOKUP('Données projet'!$B$15,Paramètres!$A$1:$I$88,3,0)*0.475*44/12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projet'!$B$16,Paramètres!$A$1:$I$88,3,0)*VLOOKUP('Données projet'!$B$16,Paramètres!$A$1:$I$88,5,0)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projet'!$B$16,Paramètres!$A$1:$I$88,7,0))</f>
        <v>0</v>
      </c>
      <c r="FO93" s="17">
        <f>IF(ISNA(VLOOKUP(A93,'Données projet'!$A$217:$I$237,6,0)),0%,VLOOKUP(A93,'Données projet'!$A$217:$I$237,6,0)*VLOOKUP('Données projet'!$B$16,Paramètres!$A$1:$I$88,7,0))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projet'!$B$16,Paramètres!$A$1:$I$88,3,0)*0.475*44/12</f>
        <v>#N/A</v>
      </c>
      <c r="FR93" s="23" t="e">
        <f>EXP(-LN(2)/25)*FR92+(1-EXP(-LN(2)/25))/(LN(2)/25)*Calculateur!FM93*Calculateur!FO93*VLOOKUP('Données projet'!$B$16,Paramètres!$A$1:$I$88,3,0)*0.475*44/12</f>
        <v>#N/A</v>
      </c>
      <c r="FS93" s="23" t="e">
        <f>EXP(-LN(2)/2)*FS92+(1-EXP(-LN(2)/2))/(LN(2)/2)*FM93*FP93*VLOOKUP('Données projet'!$B$16,Paramètres!$A$1:$I$88,3,0)*0.475*44/12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projet'!$B$17,Paramètres!$A$1:$I$88,3,0)*VLOOKUP('Données projet'!$B$17,Paramètres!$A$1:$I$88,5,0)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projet'!$B$17,Paramètres!$A$1:$I$88,7,0))</f>
        <v>0</v>
      </c>
      <c r="GJ93" s="17">
        <f>IF(ISNA(VLOOKUP(A93,'Données projet'!$A$243:$I$263,6,0)),0%,VLOOKUP(A93,'Données projet'!$A$243:$I$263,6,0)*VLOOKUP('Données projet'!$B$17,Paramètres!$A$1:$I$88,7,0))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projet'!$B$17,Paramètres!$A$1:$I$88,3,0)*0.475*44/12</f>
        <v>#N/A</v>
      </c>
      <c r="GM93" s="23" t="e">
        <f>EXP(-LN(2)/25)*GM92+(1-EXP(-LN(2)/25))/(LN(2)/25)*Calculateur!GH93*Calculateur!GJ93*VLOOKUP('Données projet'!$B$17,Paramètres!$A$1:$I$88,3,0)*0.475*44/12</f>
        <v>#N/A</v>
      </c>
      <c r="GN93" s="23" t="e">
        <f>EXP(-LN(2)/2)*GN92+(1-EXP(-LN(2)/2))/(LN(2)/2)*GH93*GK93*VLOOKUP('Données projet'!$B$17,Paramètres!$A$1:$I$88,3,0)*0.475*44/12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projet'!$B$18,Paramètres!$A$1:$I$88,3,0)*VLOOKUP('Données projet'!$B$18,Paramètres!$A$1:$I$88,5,0)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projet'!$B$18,Paramètres!$A$1:$I$88,7,0))</f>
        <v>0</v>
      </c>
      <c r="HE93" s="17">
        <f>IF(ISNA(VLOOKUP(A93,'Données projet'!$A$269:$I$289,6,0)),0%,VLOOKUP(A93,'Données projet'!$A$269:$I$289,6,0)*VLOOKUP('Données projet'!$B$18,Paramètres!$A$1:$I$88,7,0))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projet'!$B$18,Paramètres!$A$1:$I$88,3,0)*0.475*44/12</f>
        <v>#N/A</v>
      </c>
      <c r="HH93" s="23" t="e">
        <f>EXP(-LN(2)/25)*HH92+(1-EXP(-LN(2)/25))/(LN(2)/25)*Calculateur!HC93*Calculateur!HE93*VLOOKUP('Données projet'!$B$18,Paramètres!$A$1:$I$88,3,0)*0.475*44/12</f>
        <v>#N/A</v>
      </c>
      <c r="HI93" s="23" t="e">
        <f>EXP(-LN(2)/2)*HI92+(1-EXP(-LN(2)/2))/(LN(2)/2)*HC93*HF93*VLOOKUP('Données projet'!$B$18,Paramètres!$A$1:$I$88,3,0)*0.475*44/12</f>
        <v>#N/A</v>
      </c>
      <c r="HJ93" s="24" t="e">
        <f t="shared" si="84"/>
        <v>#N/A</v>
      </c>
    </row>
    <row r="94" spans="1:218" s="5" customFormat="1" x14ac:dyDescent="0.3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4.5474735088646412E-13</v>
      </c>
      <c r="O94" s="14">
        <f>N94*VLOOKUP('Données projet'!$B$9,Paramètres!$A$1:$I$88,3,0)*VLOOKUP('Données projet'!$B$9,Paramètres!$A$1:$I$88,5,0)</f>
        <v>2.5420376914553347E-13</v>
      </c>
      <c r="P94" s="14">
        <f t="shared" si="87"/>
        <v>3.4258699088369875E-12</v>
      </c>
      <c r="Q94" s="22">
        <f t="shared" si="54"/>
        <v>6.4094616558195571E-12</v>
      </c>
      <c r="R94" s="62">
        <f t="shared" si="55"/>
        <v>274.68682684285147</v>
      </c>
      <c r="S94" s="62">
        <f ca="1">AVERAGE(OFFSET($R$3,0,0,'Données projet'!$E$9+1,1))-AVERAGE(OFFSET($H$3,0,0,'Données projet'!$E$9+1,1))</f>
        <v>367.03450586441784</v>
      </c>
      <c r="T94" s="62">
        <f t="shared" si="88"/>
        <v>413.14502442862897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projet'!$B$9,Paramètres!$A$1:$I$88,7,0))</f>
        <v>0</v>
      </c>
      <c r="X94" s="17">
        <f>IF(ISNA(VLOOKUP(A94,'Données projet'!$A$35:$I$55,6,0)),0%,VLOOKUP(A94,'Données projet'!$A$35:$I$55,6,0)*VLOOKUP('Données projet'!$B$9,Paramètres!$A$1:$I$88,7,0))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projet'!$B$9,Paramètres!$A$1:$I$88,3,0)*0.475*44/12</f>
        <v>129.60532641117567</v>
      </c>
      <c r="AA94" s="23">
        <f>EXP(-LN(2)/25)*AA93+(1-EXP(-LN(2)/25))/(LN(2)/25)*Calculateur!V94*Calculateur!X94*VLOOKUP('Données projet'!$B$9,Paramètres!$A$1:$I$88,3,0)*0.475*44/12</f>
        <v>55.970016267328397</v>
      </c>
      <c r="AB94" s="23">
        <f>EXP(-LN(2)/2)*AB93+(1-EXP(-LN(2)/2))/(LN(2)/2)*V94*Y94*VLOOKUP('Données projet'!$B$9,Paramètres!$A$1:$I$88,3,0)*0.475*44/12</f>
        <v>0</v>
      </c>
      <c r="AC94" s="24">
        <f t="shared" si="57"/>
        <v>185.57534267850406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projet'!$B$10,Paramètres!$A$1:$I$88,3,0)*VLOOKUP('Données projet'!$B$10,Paramètres!$A$1:$I$88,5,0)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projet'!$B$10,Paramètres!$A$1:$I$88,7,0))</f>
        <v>0</v>
      </c>
      <c r="AS94" s="17">
        <f>IF(ISNA(VLOOKUP(A94,'Données projet'!$A$61:$I$81,6,0)),0%,VLOOKUP(A94,'Données projet'!$A$61:$I$81,6,0)*VLOOKUP('Données projet'!$B$10,Paramètres!$A$1:$I$88,7,0))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projet'!$B$10,Paramètres!$A$1:$I$88,3,0)*0.475*44/12</f>
        <v>#N/A</v>
      </c>
      <c r="AV94" s="23" t="e">
        <f>EXP(-LN(2)/25)*AV93+(1-EXP(-LN(2)/25))/(LN(2)/25)*Calculateur!AQ94*Calculateur!AS94*VLOOKUP('Données projet'!$B$10,Paramètres!$A$1:$I$88,3,0)*0.475*44/12</f>
        <v>#N/A</v>
      </c>
      <c r="AW94" s="23" t="e">
        <f>EXP(-LN(2)/2)*AW93+(1-EXP(-LN(2)/2))/(LN(2)/2)*AQ94*AT94*VLOOKUP('Données projet'!$B$10,Paramètres!$A$1:$I$88,3,0)*0.475*44/12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projet'!$B$11,Paramètres!$A$1:$I$88,3,0)*VLOOKUP('Données projet'!$B$11,Paramètres!$A$1:$I$88,5,0)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projet'!$B$11,Paramètres!$A$1:$I$88,7,0))</f>
        <v>0</v>
      </c>
      <c r="BN94" s="17">
        <f>IF(ISNA(VLOOKUP(A94,'Données projet'!$A$87:$I$107,6,0)),0%,VLOOKUP(A94,'Données projet'!$A$87:$I$107,6,0)*VLOOKUP('Données projet'!$B$11,Paramètres!$A$1:$I$88,7,0))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projet'!$B$11,Paramètres!$A$1:$I$88,3,0)*0.475*44/12</f>
        <v>#N/A</v>
      </c>
      <c r="BQ94" s="23" t="e">
        <f>EXP(-LN(2)/25)*BQ93+(1-EXP(-LN(2)/25))/(LN(2)/25)*Calculateur!BL94*Calculateur!BN94*VLOOKUP('Données projet'!$B$11,Paramètres!$A$1:$I$88,3,0)*0.475*44/12</f>
        <v>#N/A</v>
      </c>
      <c r="BR94" s="23" t="e">
        <f>EXP(-LN(2)/2)*BR93+(1-EXP(-LN(2)/2))/(LN(2)/2)*BL94*BO94*VLOOKUP('Données projet'!$B$11,Paramètres!$A$1:$I$88,3,0)*0.475*44/12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projet'!$B$12,Paramètres!$A$1:$I$88,3,0)*VLOOKUP('Données projet'!$B$12,Paramètres!$A$1:$I$88,5,0)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projet'!$B$12,Paramètres!$A$1:$I$88,7,0))</f>
        <v>0</v>
      </c>
      <c r="CI94" s="17">
        <f>IF(ISNA(VLOOKUP(A94,'Données projet'!$A$113:$I$133,6,0)),0%,VLOOKUP(A94,'Données projet'!$A$113:$I$133,6,0)*VLOOKUP('Données projet'!$B$12,Paramètres!$A$1:$I$88,7,0))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projet'!$B$12,Paramètres!$A$1:$I$88,3,0)*0.475*44/12</f>
        <v>#N/A</v>
      </c>
      <c r="CL94" s="23" t="e">
        <f>EXP(-LN(2)/25)*CL93+(1-EXP(-LN(2)/25))/(LN(2)/25)*Calculateur!CG94*Calculateur!CI94*VLOOKUP('Données projet'!$B$12,Paramètres!$A$1:$I$88,3,0)*0.475*44/12</f>
        <v>#N/A</v>
      </c>
      <c r="CM94" s="23" t="e">
        <f>EXP(-LN(2)/2)*CM93+(1-EXP(-LN(2)/2))/(LN(2)/2)*CG94*CJ94*VLOOKUP('Données projet'!$B$12,Paramètres!$A$1:$I$88,3,0)*0.475*44/12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projet'!$B$13,Paramètres!$A$1:$I$88,3,0)*VLOOKUP('Données projet'!$B$13,Paramètres!$A$1:$I$88,5,0)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projet'!$B$13,Paramètres!$A$1:$I$88,7,0))</f>
        <v>0</v>
      </c>
      <c r="DD94" s="17">
        <f>IF(ISNA(VLOOKUP(A94,'Données projet'!$A$139:$I$159,6,0)),0%,VLOOKUP(A94,'Données projet'!$A$139:$I$159,6,0)*VLOOKUP('Données projet'!$B$13,Paramètres!$A$1:$I$88,7,0))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projet'!$B$13,Paramètres!$A$1:$I$88,3,0)*0.475*44/12</f>
        <v>#N/A</v>
      </c>
      <c r="DG94" s="23" t="e">
        <f>EXP(-LN(2)/25)*DG93+(1-EXP(-LN(2)/25))/(LN(2)/25)*Calculateur!DB94*Calculateur!DD94*VLOOKUP('Données projet'!$B$13,Paramètres!$A$1:$I$88,3,0)*0.475*44/12</f>
        <v>#N/A</v>
      </c>
      <c r="DH94" s="23" t="e">
        <f>EXP(-LN(2)/2)*DH93+(1-EXP(-LN(2)/2))/(LN(2)/2)*DB94*DE94*VLOOKUP('Données projet'!$B$13,Paramètres!$A$1:$I$88,3,0)*0.475*44/12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projet'!$B$14,Paramètres!$A$1:$I$88,3,0)*VLOOKUP('Données projet'!$B$14,Paramètres!$A$1:$I$88,5,0)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projet'!$B$14,Paramètres!$A$1:$I$88,7,0))</f>
        <v>0</v>
      </c>
      <c r="DY94" s="17">
        <f>IF(ISNA(VLOOKUP(A94,'Données projet'!$A$165:$I$185,6,0)),0%,VLOOKUP(A94,'Données projet'!$A$165:$I$185,6,0)*VLOOKUP('Données projet'!$B$14,Paramètres!$A$1:$I$88,7,0))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projet'!$B$14,Paramètres!$A$1:$I$88,3,0)*0.475*44/12</f>
        <v>#N/A</v>
      </c>
      <c r="EB94" s="23" t="e">
        <f>EXP(-LN(2)/25)*EB93+(1-EXP(-LN(2)/25))/(LN(2)/25)*Calculateur!DW94*Calculateur!DY94*VLOOKUP('Données projet'!$B$14,Paramètres!$A$1:$I$88,3,0)*0.475*44/12</f>
        <v>#N/A</v>
      </c>
      <c r="EC94" s="23" t="e">
        <f>EXP(-LN(2)/2)*EC93+(1-EXP(-LN(2)/2))/(LN(2)/2)*DW94*DZ94*VLOOKUP('Données projet'!$B$14,Paramètres!$A$1:$I$88,3,0)*0.475*44/12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projet'!$B$15,Paramètres!$A$1:$I$88,3,0)*VLOOKUP('Données projet'!$B$15,Paramètres!$A$1:$I$88,5,0)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projet'!$B$15,Paramètres!$A$1:$I$88,7,0))</f>
        <v>0</v>
      </c>
      <c r="ET94" s="17">
        <f>IF(ISNA(VLOOKUP(A94,'Données projet'!$A$191:$I$211,6,0)),0%,VLOOKUP(A94,'Données projet'!$A$191:$I$211,6,0)*VLOOKUP('Données projet'!$B$15,Paramètres!$A$1:$I$88,7,0))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projet'!$B$15,Paramètres!$A$1:$I$88,3,0)*0.475*44/12</f>
        <v>#N/A</v>
      </c>
      <c r="EW94" s="23" t="e">
        <f>EXP(-LN(2)/25)*EW93+(1-EXP(-LN(2)/25))/(LN(2)/25)*Calculateur!ER94*Calculateur!ET94*VLOOKUP('Données projet'!$B$15,Paramètres!$A$1:$I$88,3,0)*0.475*44/12</f>
        <v>#N/A</v>
      </c>
      <c r="EX94" s="23" t="e">
        <f>EXP(-LN(2)/2)*EX93+(1-EXP(-LN(2)/2))/(LN(2)/2)*ER94*EU94*VLOOKUP('Données projet'!$B$15,Paramètres!$A$1:$I$88,3,0)*0.475*44/12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projet'!$B$16,Paramètres!$A$1:$I$88,3,0)*VLOOKUP('Données projet'!$B$16,Paramètres!$A$1:$I$88,5,0)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projet'!$B$16,Paramètres!$A$1:$I$88,7,0))</f>
        <v>0</v>
      </c>
      <c r="FO94" s="17">
        <f>IF(ISNA(VLOOKUP(A94,'Données projet'!$A$217:$I$237,6,0)),0%,VLOOKUP(A94,'Données projet'!$A$217:$I$237,6,0)*VLOOKUP('Données projet'!$B$16,Paramètres!$A$1:$I$88,7,0))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projet'!$B$16,Paramètres!$A$1:$I$88,3,0)*0.475*44/12</f>
        <v>#N/A</v>
      </c>
      <c r="FR94" s="23" t="e">
        <f>EXP(-LN(2)/25)*FR93+(1-EXP(-LN(2)/25))/(LN(2)/25)*Calculateur!FM94*Calculateur!FO94*VLOOKUP('Données projet'!$B$16,Paramètres!$A$1:$I$88,3,0)*0.475*44/12</f>
        <v>#N/A</v>
      </c>
      <c r="FS94" s="23" t="e">
        <f>EXP(-LN(2)/2)*FS93+(1-EXP(-LN(2)/2))/(LN(2)/2)*FM94*FP94*VLOOKUP('Données projet'!$B$16,Paramètres!$A$1:$I$88,3,0)*0.475*44/12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projet'!$B$17,Paramètres!$A$1:$I$88,3,0)*VLOOKUP('Données projet'!$B$17,Paramètres!$A$1:$I$88,5,0)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projet'!$B$17,Paramètres!$A$1:$I$88,7,0))</f>
        <v>0</v>
      </c>
      <c r="GJ94" s="17">
        <f>IF(ISNA(VLOOKUP(A94,'Données projet'!$A$243:$I$263,6,0)),0%,VLOOKUP(A94,'Données projet'!$A$243:$I$263,6,0)*VLOOKUP('Données projet'!$B$17,Paramètres!$A$1:$I$88,7,0))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projet'!$B$17,Paramètres!$A$1:$I$88,3,0)*0.475*44/12</f>
        <v>#N/A</v>
      </c>
      <c r="GM94" s="23" t="e">
        <f>EXP(-LN(2)/25)*GM93+(1-EXP(-LN(2)/25))/(LN(2)/25)*Calculateur!GH94*Calculateur!GJ94*VLOOKUP('Données projet'!$B$17,Paramètres!$A$1:$I$88,3,0)*0.475*44/12</f>
        <v>#N/A</v>
      </c>
      <c r="GN94" s="23" t="e">
        <f>EXP(-LN(2)/2)*GN93+(1-EXP(-LN(2)/2))/(LN(2)/2)*GH94*GK94*VLOOKUP('Données projet'!$B$17,Paramètres!$A$1:$I$88,3,0)*0.475*44/12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projet'!$B$18,Paramètres!$A$1:$I$88,3,0)*VLOOKUP('Données projet'!$B$18,Paramètres!$A$1:$I$88,5,0)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projet'!$B$18,Paramètres!$A$1:$I$88,7,0))</f>
        <v>0</v>
      </c>
      <c r="HE94" s="17">
        <f>IF(ISNA(VLOOKUP(A94,'Données projet'!$A$269:$I$289,6,0)),0%,VLOOKUP(A94,'Données projet'!$A$269:$I$289,6,0)*VLOOKUP('Données projet'!$B$18,Paramètres!$A$1:$I$88,7,0))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projet'!$B$18,Paramètres!$A$1:$I$88,3,0)*0.475*44/12</f>
        <v>#N/A</v>
      </c>
      <c r="HH94" s="23" t="e">
        <f>EXP(-LN(2)/25)*HH93+(1-EXP(-LN(2)/25))/(LN(2)/25)*Calculateur!HC94*Calculateur!HE94*VLOOKUP('Données projet'!$B$18,Paramètres!$A$1:$I$88,3,0)*0.475*44/12</f>
        <v>#N/A</v>
      </c>
      <c r="HI94" s="23" t="e">
        <f>EXP(-LN(2)/2)*HI93+(1-EXP(-LN(2)/2))/(LN(2)/2)*HC94*HF94*VLOOKUP('Données projet'!$B$18,Paramètres!$A$1:$I$88,3,0)*0.475*44/12</f>
        <v>#N/A</v>
      </c>
      <c r="HJ94" s="24" t="e">
        <f t="shared" si="84"/>
        <v>#N/A</v>
      </c>
    </row>
    <row r="95" spans="1:218" s="5" customFormat="1" x14ac:dyDescent="0.3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4.5474735088646412E-13</v>
      </c>
      <c r="O95" s="14">
        <f>N95*VLOOKUP('Données projet'!$B$9,Paramètres!$A$1:$I$88,3,0)*VLOOKUP('Données projet'!$B$9,Paramètres!$A$1:$I$88,5,0)</f>
        <v>2.5420376914553347E-13</v>
      </c>
      <c r="P95" s="14">
        <f t="shared" si="87"/>
        <v>3.4258699088369875E-12</v>
      </c>
      <c r="Q95" s="22">
        <f t="shared" si="54"/>
        <v>6.4094616558195571E-12</v>
      </c>
      <c r="R95" s="62">
        <f t="shared" si="55"/>
        <v>275.01030204311814</v>
      </c>
      <c r="S95" s="62">
        <f ca="1">AVERAGE(OFFSET($R$3,0,0,'Données projet'!$E$9+1,1))-AVERAGE(OFFSET($H$3,0,0,'Données projet'!$E$9+1,1))</f>
        <v>367.03450586441784</v>
      </c>
      <c r="T95" s="62">
        <f t="shared" si="88"/>
        <v>413.14502442862897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projet'!$B$9,Paramètres!$A$1:$I$88,7,0))</f>
        <v>0</v>
      </c>
      <c r="X95" s="17">
        <f>IF(ISNA(VLOOKUP(A95,'Données projet'!$A$35:$I$55,6,0)),0%,VLOOKUP(A95,'Données projet'!$A$35:$I$55,6,0)*VLOOKUP('Données projet'!$B$9,Paramètres!$A$1:$I$88,7,0))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projet'!$B$9,Paramètres!$A$1:$I$88,3,0)*0.475*44/12</f>
        <v>127.06384501169595</v>
      </c>
      <c r="AA95" s="23">
        <f>EXP(-LN(2)/25)*AA94+(1-EXP(-LN(2)/25))/(LN(2)/25)*Calculateur!V95*Calculateur!X95*VLOOKUP('Données projet'!$B$9,Paramètres!$A$1:$I$88,3,0)*0.475*44/12</f>
        <v>54.439513229163069</v>
      </c>
      <c r="AB95" s="23">
        <f>EXP(-LN(2)/2)*AB94+(1-EXP(-LN(2)/2))/(LN(2)/2)*V95*Y95*VLOOKUP('Données projet'!$B$9,Paramètres!$A$1:$I$88,3,0)*0.475*44/12</f>
        <v>0</v>
      </c>
      <c r="AC95" s="24">
        <f t="shared" si="57"/>
        <v>181.50335824085903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projet'!$B$10,Paramètres!$A$1:$I$88,3,0)*VLOOKUP('Données projet'!$B$10,Paramètres!$A$1:$I$88,5,0)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projet'!$B$10,Paramètres!$A$1:$I$88,7,0))</f>
        <v>0</v>
      </c>
      <c r="AS95" s="17">
        <f>IF(ISNA(VLOOKUP(A95,'Données projet'!$A$61:$I$81,6,0)),0%,VLOOKUP(A95,'Données projet'!$A$61:$I$81,6,0)*VLOOKUP('Données projet'!$B$10,Paramètres!$A$1:$I$88,7,0))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projet'!$B$10,Paramètres!$A$1:$I$88,3,0)*0.475*44/12</f>
        <v>#N/A</v>
      </c>
      <c r="AV95" s="23" t="e">
        <f>EXP(-LN(2)/25)*AV94+(1-EXP(-LN(2)/25))/(LN(2)/25)*Calculateur!AQ95*Calculateur!AS95*VLOOKUP('Données projet'!$B$10,Paramètres!$A$1:$I$88,3,0)*0.475*44/12</f>
        <v>#N/A</v>
      </c>
      <c r="AW95" s="23" t="e">
        <f>EXP(-LN(2)/2)*AW94+(1-EXP(-LN(2)/2))/(LN(2)/2)*AQ95*AT95*VLOOKUP('Données projet'!$B$10,Paramètres!$A$1:$I$88,3,0)*0.475*44/12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projet'!$B$11,Paramètres!$A$1:$I$88,3,0)*VLOOKUP('Données projet'!$B$11,Paramètres!$A$1:$I$88,5,0)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projet'!$B$11,Paramètres!$A$1:$I$88,7,0))</f>
        <v>0</v>
      </c>
      <c r="BN95" s="17">
        <f>IF(ISNA(VLOOKUP(A95,'Données projet'!$A$87:$I$107,6,0)),0%,VLOOKUP(A95,'Données projet'!$A$87:$I$107,6,0)*VLOOKUP('Données projet'!$B$11,Paramètres!$A$1:$I$88,7,0))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projet'!$B$11,Paramètres!$A$1:$I$88,3,0)*0.475*44/12</f>
        <v>#N/A</v>
      </c>
      <c r="BQ95" s="23" t="e">
        <f>EXP(-LN(2)/25)*BQ94+(1-EXP(-LN(2)/25))/(LN(2)/25)*Calculateur!BL95*Calculateur!BN95*VLOOKUP('Données projet'!$B$11,Paramètres!$A$1:$I$88,3,0)*0.475*44/12</f>
        <v>#N/A</v>
      </c>
      <c r="BR95" s="23" t="e">
        <f>EXP(-LN(2)/2)*BR94+(1-EXP(-LN(2)/2))/(LN(2)/2)*BL95*BO95*VLOOKUP('Données projet'!$B$11,Paramètres!$A$1:$I$88,3,0)*0.475*44/12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projet'!$B$12,Paramètres!$A$1:$I$88,3,0)*VLOOKUP('Données projet'!$B$12,Paramètres!$A$1:$I$88,5,0)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projet'!$B$12,Paramètres!$A$1:$I$88,7,0))</f>
        <v>0</v>
      </c>
      <c r="CI95" s="17">
        <f>IF(ISNA(VLOOKUP(A95,'Données projet'!$A$113:$I$133,6,0)),0%,VLOOKUP(A95,'Données projet'!$A$113:$I$133,6,0)*VLOOKUP('Données projet'!$B$12,Paramètres!$A$1:$I$88,7,0))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projet'!$B$12,Paramètres!$A$1:$I$88,3,0)*0.475*44/12</f>
        <v>#N/A</v>
      </c>
      <c r="CL95" s="23" t="e">
        <f>EXP(-LN(2)/25)*CL94+(1-EXP(-LN(2)/25))/(LN(2)/25)*Calculateur!CG95*Calculateur!CI95*VLOOKUP('Données projet'!$B$12,Paramètres!$A$1:$I$88,3,0)*0.475*44/12</f>
        <v>#N/A</v>
      </c>
      <c r="CM95" s="23" t="e">
        <f>EXP(-LN(2)/2)*CM94+(1-EXP(-LN(2)/2))/(LN(2)/2)*CG95*CJ95*VLOOKUP('Données projet'!$B$12,Paramètres!$A$1:$I$88,3,0)*0.475*44/12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projet'!$B$13,Paramètres!$A$1:$I$88,3,0)*VLOOKUP('Données projet'!$B$13,Paramètres!$A$1:$I$88,5,0)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projet'!$B$13,Paramètres!$A$1:$I$88,7,0))</f>
        <v>0</v>
      </c>
      <c r="DD95" s="17">
        <f>IF(ISNA(VLOOKUP(A95,'Données projet'!$A$139:$I$159,6,0)),0%,VLOOKUP(A95,'Données projet'!$A$139:$I$159,6,0)*VLOOKUP('Données projet'!$B$13,Paramètres!$A$1:$I$88,7,0))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projet'!$B$13,Paramètres!$A$1:$I$88,3,0)*0.475*44/12</f>
        <v>#N/A</v>
      </c>
      <c r="DG95" s="23" t="e">
        <f>EXP(-LN(2)/25)*DG94+(1-EXP(-LN(2)/25))/(LN(2)/25)*Calculateur!DB95*Calculateur!DD95*VLOOKUP('Données projet'!$B$13,Paramètres!$A$1:$I$88,3,0)*0.475*44/12</f>
        <v>#N/A</v>
      </c>
      <c r="DH95" s="23" t="e">
        <f>EXP(-LN(2)/2)*DH94+(1-EXP(-LN(2)/2))/(LN(2)/2)*DB95*DE95*VLOOKUP('Données projet'!$B$13,Paramètres!$A$1:$I$88,3,0)*0.475*44/12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projet'!$B$14,Paramètres!$A$1:$I$88,3,0)*VLOOKUP('Données projet'!$B$14,Paramètres!$A$1:$I$88,5,0)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projet'!$B$14,Paramètres!$A$1:$I$88,7,0))</f>
        <v>0</v>
      </c>
      <c r="DY95" s="17">
        <f>IF(ISNA(VLOOKUP(A95,'Données projet'!$A$165:$I$185,6,0)),0%,VLOOKUP(A95,'Données projet'!$A$165:$I$185,6,0)*VLOOKUP('Données projet'!$B$14,Paramètres!$A$1:$I$88,7,0))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projet'!$B$14,Paramètres!$A$1:$I$88,3,0)*0.475*44/12</f>
        <v>#N/A</v>
      </c>
      <c r="EB95" s="23" t="e">
        <f>EXP(-LN(2)/25)*EB94+(1-EXP(-LN(2)/25))/(LN(2)/25)*Calculateur!DW95*Calculateur!DY95*VLOOKUP('Données projet'!$B$14,Paramètres!$A$1:$I$88,3,0)*0.475*44/12</f>
        <v>#N/A</v>
      </c>
      <c r="EC95" s="23" t="e">
        <f>EXP(-LN(2)/2)*EC94+(1-EXP(-LN(2)/2))/(LN(2)/2)*DW95*DZ95*VLOOKUP('Données projet'!$B$14,Paramètres!$A$1:$I$88,3,0)*0.475*44/12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projet'!$B$15,Paramètres!$A$1:$I$88,3,0)*VLOOKUP('Données projet'!$B$15,Paramètres!$A$1:$I$88,5,0)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projet'!$B$15,Paramètres!$A$1:$I$88,7,0))</f>
        <v>0</v>
      </c>
      <c r="ET95" s="17">
        <f>IF(ISNA(VLOOKUP(A95,'Données projet'!$A$191:$I$211,6,0)),0%,VLOOKUP(A95,'Données projet'!$A$191:$I$211,6,0)*VLOOKUP('Données projet'!$B$15,Paramètres!$A$1:$I$88,7,0))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projet'!$B$15,Paramètres!$A$1:$I$88,3,0)*0.475*44/12</f>
        <v>#N/A</v>
      </c>
      <c r="EW95" s="23" t="e">
        <f>EXP(-LN(2)/25)*EW94+(1-EXP(-LN(2)/25))/(LN(2)/25)*Calculateur!ER95*Calculateur!ET95*VLOOKUP('Données projet'!$B$15,Paramètres!$A$1:$I$88,3,0)*0.475*44/12</f>
        <v>#N/A</v>
      </c>
      <c r="EX95" s="23" t="e">
        <f>EXP(-LN(2)/2)*EX94+(1-EXP(-LN(2)/2))/(LN(2)/2)*ER95*EU95*VLOOKUP('Données projet'!$B$15,Paramètres!$A$1:$I$88,3,0)*0.475*44/12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projet'!$B$16,Paramètres!$A$1:$I$88,3,0)*VLOOKUP('Données projet'!$B$16,Paramètres!$A$1:$I$88,5,0)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projet'!$B$16,Paramètres!$A$1:$I$88,7,0))</f>
        <v>0</v>
      </c>
      <c r="FO95" s="17">
        <f>IF(ISNA(VLOOKUP(A95,'Données projet'!$A$217:$I$237,6,0)),0%,VLOOKUP(A95,'Données projet'!$A$217:$I$237,6,0)*VLOOKUP('Données projet'!$B$16,Paramètres!$A$1:$I$88,7,0))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projet'!$B$16,Paramètres!$A$1:$I$88,3,0)*0.475*44/12</f>
        <v>#N/A</v>
      </c>
      <c r="FR95" s="23" t="e">
        <f>EXP(-LN(2)/25)*FR94+(1-EXP(-LN(2)/25))/(LN(2)/25)*Calculateur!FM95*Calculateur!FO95*VLOOKUP('Données projet'!$B$16,Paramètres!$A$1:$I$88,3,0)*0.475*44/12</f>
        <v>#N/A</v>
      </c>
      <c r="FS95" s="23" t="e">
        <f>EXP(-LN(2)/2)*FS94+(1-EXP(-LN(2)/2))/(LN(2)/2)*FM95*FP95*VLOOKUP('Données projet'!$B$16,Paramètres!$A$1:$I$88,3,0)*0.475*44/12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projet'!$B$17,Paramètres!$A$1:$I$88,3,0)*VLOOKUP('Données projet'!$B$17,Paramètres!$A$1:$I$88,5,0)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projet'!$B$17,Paramètres!$A$1:$I$88,7,0))</f>
        <v>0</v>
      </c>
      <c r="GJ95" s="17">
        <f>IF(ISNA(VLOOKUP(A95,'Données projet'!$A$243:$I$263,6,0)),0%,VLOOKUP(A95,'Données projet'!$A$243:$I$263,6,0)*VLOOKUP('Données projet'!$B$17,Paramètres!$A$1:$I$88,7,0))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projet'!$B$17,Paramètres!$A$1:$I$88,3,0)*0.475*44/12</f>
        <v>#N/A</v>
      </c>
      <c r="GM95" s="23" t="e">
        <f>EXP(-LN(2)/25)*GM94+(1-EXP(-LN(2)/25))/(LN(2)/25)*Calculateur!GH95*Calculateur!GJ95*VLOOKUP('Données projet'!$B$17,Paramètres!$A$1:$I$88,3,0)*0.475*44/12</f>
        <v>#N/A</v>
      </c>
      <c r="GN95" s="23" t="e">
        <f>EXP(-LN(2)/2)*GN94+(1-EXP(-LN(2)/2))/(LN(2)/2)*GH95*GK95*VLOOKUP('Données projet'!$B$17,Paramètres!$A$1:$I$88,3,0)*0.475*44/12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projet'!$B$18,Paramètres!$A$1:$I$88,3,0)*VLOOKUP('Données projet'!$B$18,Paramètres!$A$1:$I$88,5,0)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projet'!$B$18,Paramètres!$A$1:$I$88,7,0))</f>
        <v>0</v>
      </c>
      <c r="HE95" s="17">
        <f>IF(ISNA(VLOOKUP(A95,'Données projet'!$A$269:$I$289,6,0)),0%,VLOOKUP(A95,'Données projet'!$A$269:$I$289,6,0)*VLOOKUP('Données projet'!$B$18,Paramètres!$A$1:$I$88,7,0))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projet'!$B$18,Paramètres!$A$1:$I$88,3,0)*0.475*44/12</f>
        <v>#N/A</v>
      </c>
      <c r="HH95" s="23" t="e">
        <f>EXP(-LN(2)/25)*HH94+(1-EXP(-LN(2)/25))/(LN(2)/25)*Calculateur!HC95*Calculateur!HE95*VLOOKUP('Données projet'!$B$18,Paramètres!$A$1:$I$88,3,0)*0.475*44/12</f>
        <v>#N/A</v>
      </c>
      <c r="HI95" s="23" t="e">
        <f>EXP(-LN(2)/2)*HI94+(1-EXP(-LN(2)/2))/(LN(2)/2)*HC95*HF95*VLOOKUP('Données projet'!$B$18,Paramètres!$A$1:$I$88,3,0)*0.475*44/12</f>
        <v>#N/A</v>
      </c>
      <c r="HJ95" s="24" t="e">
        <f t="shared" si="84"/>
        <v>#N/A</v>
      </c>
    </row>
    <row r="96" spans="1:218" s="5" customFormat="1" x14ac:dyDescent="0.3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4.5474735088646412E-13</v>
      </c>
      <c r="O96" s="14">
        <f>N96*VLOOKUP('Données projet'!$B$9,Paramètres!$A$1:$I$88,3,0)*VLOOKUP('Données projet'!$B$9,Paramètres!$A$1:$I$88,5,0)</f>
        <v>2.5420376914553347E-13</v>
      </c>
      <c r="P96" s="14">
        <f t="shared" si="87"/>
        <v>3.4258699088369875E-12</v>
      </c>
      <c r="Q96" s="22">
        <f t="shared" si="54"/>
        <v>6.4094616558195571E-12</v>
      </c>
      <c r="R96" s="62">
        <f t="shared" si="55"/>
        <v>275.32816567184238</v>
      </c>
      <c r="S96" s="62">
        <f ca="1">AVERAGE(OFFSET($R$3,0,0,'Données projet'!$E$9+1,1))-AVERAGE(OFFSET($H$3,0,0,'Données projet'!$E$9+1,1))</f>
        <v>367.03450586441784</v>
      </c>
      <c r="T96" s="62">
        <f t="shared" si="88"/>
        <v>413.14502442862897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projet'!$B$9,Paramètres!$A$1:$I$88,7,0))</f>
        <v>0</v>
      </c>
      <c r="X96" s="17">
        <f>IF(ISNA(VLOOKUP(A96,'Données projet'!$A$35:$I$55,6,0)),0%,VLOOKUP(A96,'Données projet'!$A$35:$I$55,6,0)*VLOOKUP('Données projet'!$B$9,Paramètres!$A$1:$I$88,7,0))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projet'!$B$9,Paramètres!$A$1:$I$88,3,0)*0.475*44/12</f>
        <v>124.57220051230942</v>
      </c>
      <c r="AA96" s="23">
        <f>EXP(-LN(2)/25)*AA95+(1-EXP(-LN(2)/25))/(LN(2)/25)*Calculateur!V96*Calculateur!X96*VLOOKUP('Données projet'!$B$9,Paramètres!$A$1:$I$88,3,0)*0.475*44/12</f>
        <v>52.950861877062025</v>
      </c>
      <c r="AB96" s="23">
        <f>EXP(-LN(2)/2)*AB95+(1-EXP(-LN(2)/2))/(LN(2)/2)*V96*Y96*VLOOKUP('Données projet'!$B$9,Paramètres!$A$1:$I$88,3,0)*0.475*44/12</f>
        <v>0</v>
      </c>
      <c r="AC96" s="24">
        <f t="shared" si="57"/>
        <v>177.52306238937143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projet'!$B$10,Paramètres!$A$1:$I$88,3,0)*VLOOKUP('Données projet'!$B$10,Paramètres!$A$1:$I$88,5,0)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projet'!$B$10,Paramètres!$A$1:$I$88,7,0))</f>
        <v>0</v>
      </c>
      <c r="AS96" s="17">
        <f>IF(ISNA(VLOOKUP(A96,'Données projet'!$A$61:$I$81,6,0)),0%,VLOOKUP(A96,'Données projet'!$A$61:$I$81,6,0)*VLOOKUP('Données projet'!$B$10,Paramètres!$A$1:$I$88,7,0))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projet'!$B$10,Paramètres!$A$1:$I$88,3,0)*0.475*44/12</f>
        <v>#N/A</v>
      </c>
      <c r="AV96" s="23" t="e">
        <f>EXP(-LN(2)/25)*AV95+(1-EXP(-LN(2)/25))/(LN(2)/25)*Calculateur!AQ96*Calculateur!AS96*VLOOKUP('Données projet'!$B$10,Paramètres!$A$1:$I$88,3,0)*0.475*44/12</f>
        <v>#N/A</v>
      </c>
      <c r="AW96" s="23" t="e">
        <f>EXP(-LN(2)/2)*AW95+(1-EXP(-LN(2)/2))/(LN(2)/2)*AQ96*AT96*VLOOKUP('Données projet'!$B$10,Paramètres!$A$1:$I$88,3,0)*0.475*44/12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projet'!$B$11,Paramètres!$A$1:$I$88,3,0)*VLOOKUP('Données projet'!$B$11,Paramètres!$A$1:$I$88,5,0)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projet'!$B$11,Paramètres!$A$1:$I$88,7,0))</f>
        <v>0</v>
      </c>
      <c r="BN96" s="17">
        <f>IF(ISNA(VLOOKUP(A96,'Données projet'!$A$87:$I$107,6,0)),0%,VLOOKUP(A96,'Données projet'!$A$87:$I$107,6,0)*VLOOKUP('Données projet'!$B$11,Paramètres!$A$1:$I$88,7,0))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projet'!$B$11,Paramètres!$A$1:$I$88,3,0)*0.475*44/12</f>
        <v>#N/A</v>
      </c>
      <c r="BQ96" s="23" t="e">
        <f>EXP(-LN(2)/25)*BQ95+(1-EXP(-LN(2)/25))/(LN(2)/25)*Calculateur!BL96*Calculateur!BN96*VLOOKUP('Données projet'!$B$11,Paramètres!$A$1:$I$88,3,0)*0.475*44/12</f>
        <v>#N/A</v>
      </c>
      <c r="BR96" s="23" t="e">
        <f>EXP(-LN(2)/2)*BR95+(1-EXP(-LN(2)/2))/(LN(2)/2)*BL96*BO96*VLOOKUP('Données projet'!$B$11,Paramètres!$A$1:$I$88,3,0)*0.475*44/12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projet'!$B$12,Paramètres!$A$1:$I$88,3,0)*VLOOKUP('Données projet'!$B$12,Paramètres!$A$1:$I$88,5,0)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projet'!$B$12,Paramètres!$A$1:$I$88,7,0))</f>
        <v>0</v>
      </c>
      <c r="CI96" s="17">
        <f>IF(ISNA(VLOOKUP(A96,'Données projet'!$A$113:$I$133,6,0)),0%,VLOOKUP(A96,'Données projet'!$A$113:$I$133,6,0)*VLOOKUP('Données projet'!$B$12,Paramètres!$A$1:$I$88,7,0))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projet'!$B$12,Paramètres!$A$1:$I$88,3,0)*0.475*44/12</f>
        <v>#N/A</v>
      </c>
      <c r="CL96" s="23" t="e">
        <f>EXP(-LN(2)/25)*CL95+(1-EXP(-LN(2)/25))/(LN(2)/25)*Calculateur!CG96*Calculateur!CI96*VLOOKUP('Données projet'!$B$12,Paramètres!$A$1:$I$88,3,0)*0.475*44/12</f>
        <v>#N/A</v>
      </c>
      <c r="CM96" s="23" t="e">
        <f>EXP(-LN(2)/2)*CM95+(1-EXP(-LN(2)/2))/(LN(2)/2)*CG96*CJ96*VLOOKUP('Données projet'!$B$12,Paramètres!$A$1:$I$88,3,0)*0.475*44/12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projet'!$B$13,Paramètres!$A$1:$I$88,3,0)*VLOOKUP('Données projet'!$B$13,Paramètres!$A$1:$I$88,5,0)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projet'!$B$13,Paramètres!$A$1:$I$88,7,0))</f>
        <v>0</v>
      </c>
      <c r="DD96" s="17">
        <f>IF(ISNA(VLOOKUP(A96,'Données projet'!$A$139:$I$159,6,0)),0%,VLOOKUP(A96,'Données projet'!$A$139:$I$159,6,0)*VLOOKUP('Données projet'!$B$13,Paramètres!$A$1:$I$88,7,0))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projet'!$B$13,Paramètres!$A$1:$I$88,3,0)*0.475*44/12</f>
        <v>#N/A</v>
      </c>
      <c r="DG96" s="23" t="e">
        <f>EXP(-LN(2)/25)*DG95+(1-EXP(-LN(2)/25))/(LN(2)/25)*Calculateur!DB96*Calculateur!DD96*VLOOKUP('Données projet'!$B$13,Paramètres!$A$1:$I$88,3,0)*0.475*44/12</f>
        <v>#N/A</v>
      </c>
      <c r="DH96" s="23" t="e">
        <f>EXP(-LN(2)/2)*DH95+(1-EXP(-LN(2)/2))/(LN(2)/2)*DB96*DE96*VLOOKUP('Données projet'!$B$13,Paramètres!$A$1:$I$88,3,0)*0.475*44/12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projet'!$B$14,Paramètres!$A$1:$I$88,3,0)*VLOOKUP('Données projet'!$B$14,Paramètres!$A$1:$I$88,5,0)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projet'!$B$14,Paramètres!$A$1:$I$88,7,0))</f>
        <v>0</v>
      </c>
      <c r="DY96" s="17">
        <f>IF(ISNA(VLOOKUP(A96,'Données projet'!$A$165:$I$185,6,0)),0%,VLOOKUP(A96,'Données projet'!$A$165:$I$185,6,0)*VLOOKUP('Données projet'!$B$14,Paramètres!$A$1:$I$88,7,0))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projet'!$B$14,Paramètres!$A$1:$I$88,3,0)*0.475*44/12</f>
        <v>#N/A</v>
      </c>
      <c r="EB96" s="23" t="e">
        <f>EXP(-LN(2)/25)*EB95+(1-EXP(-LN(2)/25))/(LN(2)/25)*Calculateur!DW96*Calculateur!DY96*VLOOKUP('Données projet'!$B$14,Paramètres!$A$1:$I$88,3,0)*0.475*44/12</f>
        <v>#N/A</v>
      </c>
      <c r="EC96" s="23" t="e">
        <f>EXP(-LN(2)/2)*EC95+(1-EXP(-LN(2)/2))/(LN(2)/2)*DW96*DZ96*VLOOKUP('Données projet'!$B$14,Paramètres!$A$1:$I$88,3,0)*0.475*44/12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projet'!$B$15,Paramètres!$A$1:$I$88,3,0)*VLOOKUP('Données projet'!$B$15,Paramètres!$A$1:$I$88,5,0)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projet'!$B$15,Paramètres!$A$1:$I$88,7,0))</f>
        <v>0</v>
      </c>
      <c r="ET96" s="17">
        <f>IF(ISNA(VLOOKUP(A96,'Données projet'!$A$191:$I$211,6,0)),0%,VLOOKUP(A96,'Données projet'!$A$191:$I$211,6,0)*VLOOKUP('Données projet'!$B$15,Paramètres!$A$1:$I$88,7,0))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projet'!$B$15,Paramètres!$A$1:$I$88,3,0)*0.475*44/12</f>
        <v>#N/A</v>
      </c>
      <c r="EW96" s="23" t="e">
        <f>EXP(-LN(2)/25)*EW95+(1-EXP(-LN(2)/25))/(LN(2)/25)*Calculateur!ER96*Calculateur!ET96*VLOOKUP('Données projet'!$B$15,Paramètres!$A$1:$I$88,3,0)*0.475*44/12</f>
        <v>#N/A</v>
      </c>
      <c r="EX96" s="23" t="e">
        <f>EXP(-LN(2)/2)*EX95+(1-EXP(-LN(2)/2))/(LN(2)/2)*ER96*EU96*VLOOKUP('Données projet'!$B$15,Paramètres!$A$1:$I$88,3,0)*0.475*44/12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projet'!$B$16,Paramètres!$A$1:$I$88,3,0)*VLOOKUP('Données projet'!$B$16,Paramètres!$A$1:$I$88,5,0)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projet'!$B$16,Paramètres!$A$1:$I$88,7,0))</f>
        <v>0</v>
      </c>
      <c r="FO96" s="17">
        <f>IF(ISNA(VLOOKUP(A96,'Données projet'!$A$217:$I$237,6,0)),0%,VLOOKUP(A96,'Données projet'!$A$217:$I$237,6,0)*VLOOKUP('Données projet'!$B$16,Paramètres!$A$1:$I$88,7,0))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projet'!$B$16,Paramètres!$A$1:$I$88,3,0)*0.475*44/12</f>
        <v>#N/A</v>
      </c>
      <c r="FR96" s="23" t="e">
        <f>EXP(-LN(2)/25)*FR95+(1-EXP(-LN(2)/25))/(LN(2)/25)*Calculateur!FM96*Calculateur!FO96*VLOOKUP('Données projet'!$B$16,Paramètres!$A$1:$I$88,3,0)*0.475*44/12</f>
        <v>#N/A</v>
      </c>
      <c r="FS96" s="23" t="e">
        <f>EXP(-LN(2)/2)*FS95+(1-EXP(-LN(2)/2))/(LN(2)/2)*FM96*FP96*VLOOKUP('Données projet'!$B$16,Paramètres!$A$1:$I$88,3,0)*0.475*44/12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projet'!$B$17,Paramètres!$A$1:$I$88,3,0)*VLOOKUP('Données projet'!$B$17,Paramètres!$A$1:$I$88,5,0)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projet'!$B$17,Paramètres!$A$1:$I$88,7,0))</f>
        <v>0</v>
      </c>
      <c r="GJ96" s="17">
        <f>IF(ISNA(VLOOKUP(A96,'Données projet'!$A$243:$I$263,6,0)),0%,VLOOKUP(A96,'Données projet'!$A$243:$I$263,6,0)*VLOOKUP('Données projet'!$B$17,Paramètres!$A$1:$I$88,7,0))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projet'!$B$17,Paramètres!$A$1:$I$88,3,0)*0.475*44/12</f>
        <v>#N/A</v>
      </c>
      <c r="GM96" s="23" t="e">
        <f>EXP(-LN(2)/25)*GM95+(1-EXP(-LN(2)/25))/(LN(2)/25)*Calculateur!GH96*Calculateur!GJ96*VLOOKUP('Données projet'!$B$17,Paramètres!$A$1:$I$88,3,0)*0.475*44/12</f>
        <v>#N/A</v>
      </c>
      <c r="GN96" s="23" t="e">
        <f>EXP(-LN(2)/2)*GN95+(1-EXP(-LN(2)/2))/(LN(2)/2)*GH96*GK96*VLOOKUP('Données projet'!$B$17,Paramètres!$A$1:$I$88,3,0)*0.475*44/12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projet'!$B$18,Paramètres!$A$1:$I$88,3,0)*VLOOKUP('Données projet'!$B$18,Paramètres!$A$1:$I$88,5,0)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projet'!$B$18,Paramètres!$A$1:$I$88,7,0))</f>
        <v>0</v>
      </c>
      <c r="HE96" s="17">
        <f>IF(ISNA(VLOOKUP(A96,'Données projet'!$A$269:$I$289,6,0)),0%,VLOOKUP(A96,'Données projet'!$A$269:$I$289,6,0)*VLOOKUP('Données projet'!$B$18,Paramètres!$A$1:$I$88,7,0))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projet'!$B$18,Paramètres!$A$1:$I$88,3,0)*0.475*44/12</f>
        <v>#N/A</v>
      </c>
      <c r="HH96" s="23" t="e">
        <f>EXP(-LN(2)/25)*HH95+(1-EXP(-LN(2)/25))/(LN(2)/25)*Calculateur!HC96*Calculateur!HE96*VLOOKUP('Données projet'!$B$18,Paramètres!$A$1:$I$88,3,0)*0.475*44/12</f>
        <v>#N/A</v>
      </c>
      <c r="HI96" s="23" t="e">
        <f>EXP(-LN(2)/2)*HI95+(1-EXP(-LN(2)/2))/(LN(2)/2)*HC96*HF96*VLOOKUP('Données projet'!$B$18,Paramètres!$A$1:$I$88,3,0)*0.475*44/12</f>
        <v>#N/A</v>
      </c>
      <c r="HJ96" s="24" t="e">
        <f t="shared" si="84"/>
        <v>#N/A</v>
      </c>
    </row>
    <row r="97" spans="1:218" s="5" customFormat="1" x14ac:dyDescent="0.3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4.5474735088646412E-13</v>
      </c>
      <c r="O97" s="14">
        <f>N97*VLOOKUP('Données projet'!$B$9,Paramètres!$A$1:$I$88,3,0)*VLOOKUP('Données projet'!$B$9,Paramètres!$A$1:$I$88,5,0)</f>
        <v>2.5420376914553347E-13</v>
      </c>
      <c r="P97" s="14">
        <f t="shared" si="87"/>
        <v>3.4258699088369875E-12</v>
      </c>
      <c r="Q97" s="22">
        <f t="shared" si="54"/>
        <v>6.4094616558195571E-12</v>
      </c>
      <c r="R97" s="62">
        <f t="shared" si="55"/>
        <v>275.64051507724491</v>
      </c>
      <c r="S97" s="62">
        <f ca="1">AVERAGE(OFFSET($R$3,0,0,'Données projet'!$E$9+1,1))-AVERAGE(OFFSET($H$3,0,0,'Données projet'!$E$9+1,1))</f>
        <v>367.03450586441784</v>
      </c>
      <c r="T97" s="62">
        <f t="shared" si="88"/>
        <v>413.14502442862897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projet'!$B$9,Paramètres!$A$1:$I$88,7,0))</f>
        <v>0</v>
      </c>
      <c r="X97" s="17">
        <f>IF(ISNA(VLOOKUP(A97,'Données projet'!$A$35:$I$55,6,0)),0%,VLOOKUP(A97,'Données projet'!$A$35:$I$55,6,0)*VLOOKUP('Données projet'!$B$9,Paramètres!$A$1:$I$88,7,0))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projet'!$B$9,Paramètres!$A$1:$I$88,3,0)*0.475*44/12</f>
        <v>122.12941564180279</v>
      </c>
      <c r="AA97" s="23">
        <f>EXP(-LN(2)/25)*AA96+(1-EXP(-LN(2)/25))/(LN(2)/25)*Calculateur!V97*Calculateur!X97*VLOOKUP('Données projet'!$B$9,Paramètres!$A$1:$I$88,3,0)*0.475*44/12</f>
        <v>51.502917774468955</v>
      </c>
      <c r="AB97" s="23">
        <f>EXP(-LN(2)/2)*AB96+(1-EXP(-LN(2)/2))/(LN(2)/2)*V97*Y97*VLOOKUP('Données projet'!$B$9,Paramètres!$A$1:$I$88,3,0)*0.475*44/12</f>
        <v>0</v>
      </c>
      <c r="AC97" s="24">
        <f t="shared" si="57"/>
        <v>173.63233341627176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projet'!$B$10,Paramètres!$A$1:$I$88,3,0)*VLOOKUP('Données projet'!$B$10,Paramètres!$A$1:$I$88,5,0)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projet'!$B$10,Paramètres!$A$1:$I$88,7,0))</f>
        <v>0</v>
      </c>
      <c r="AS97" s="17">
        <f>IF(ISNA(VLOOKUP(A97,'Données projet'!$A$61:$I$81,6,0)),0%,VLOOKUP(A97,'Données projet'!$A$61:$I$81,6,0)*VLOOKUP('Données projet'!$B$10,Paramètres!$A$1:$I$88,7,0))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projet'!$B$10,Paramètres!$A$1:$I$88,3,0)*0.475*44/12</f>
        <v>#N/A</v>
      </c>
      <c r="AV97" s="23" t="e">
        <f>EXP(-LN(2)/25)*AV96+(1-EXP(-LN(2)/25))/(LN(2)/25)*Calculateur!AQ97*Calculateur!AS97*VLOOKUP('Données projet'!$B$10,Paramètres!$A$1:$I$88,3,0)*0.475*44/12</f>
        <v>#N/A</v>
      </c>
      <c r="AW97" s="23" t="e">
        <f>EXP(-LN(2)/2)*AW96+(1-EXP(-LN(2)/2))/(LN(2)/2)*AQ97*AT97*VLOOKUP('Données projet'!$B$10,Paramètres!$A$1:$I$88,3,0)*0.475*44/12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projet'!$B$11,Paramètres!$A$1:$I$88,3,0)*VLOOKUP('Données projet'!$B$11,Paramètres!$A$1:$I$88,5,0)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projet'!$B$11,Paramètres!$A$1:$I$88,7,0))</f>
        <v>0</v>
      </c>
      <c r="BN97" s="17">
        <f>IF(ISNA(VLOOKUP(A97,'Données projet'!$A$87:$I$107,6,0)),0%,VLOOKUP(A97,'Données projet'!$A$87:$I$107,6,0)*VLOOKUP('Données projet'!$B$11,Paramètres!$A$1:$I$88,7,0))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projet'!$B$11,Paramètres!$A$1:$I$88,3,0)*0.475*44/12</f>
        <v>#N/A</v>
      </c>
      <c r="BQ97" s="23" t="e">
        <f>EXP(-LN(2)/25)*BQ96+(1-EXP(-LN(2)/25))/(LN(2)/25)*Calculateur!BL97*Calculateur!BN97*VLOOKUP('Données projet'!$B$11,Paramètres!$A$1:$I$88,3,0)*0.475*44/12</f>
        <v>#N/A</v>
      </c>
      <c r="BR97" s="23" t="e">
        <f>EXP(-LN(2)/2)*BR96+(1-EXP(-LN(2)/2))/(LN(2)/2)*BL97*BO97*VLOOKUP('Données projet'!$B$11,Paramètres!$A$1:$I$88,3,0)*0.475*44/12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projet'!$B$12,Paramètres!$A$1:$I$88,3,0)*VLOOKUP('Données projet'!$B$12,Paramètres!$A$1:$I$88,5,0)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projet'!$B$12,Paramètres!$A$1:$I$88,7,0))</f>
        <v>0</v>
      </c>
      <c r="CI97" s="17">
        <f>IF(ISNA(VLOOKUP(A97,'Données projet'!$A$113:$I$133,6,0)),0%,VLOOKUP(A97,'Données projet'!$A$113:$I$133,6,0)*VLOOKUP('Données projet'!$B$12,Paramètres!$A$1:$I$88,7,0))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projet'!$B$12,Paramètres!$A$1:$I$88,3,0)*0.475*44/12</f>
        <v>#N/A</v>
      </c>
      <c r="CL97" s="23" t="e">
        <f>EXP(-LN(2)/25)*CL96+(1-EXP(-LN(2)/25))/(LN(2)/25)*Calculateur!CG97*Calculateur!CI97*VLOOKUP('Données projet'!$B$12,Paramètres!$A$1:$I$88,3,0)*0.475*44/12</f>
        <v>#N/A</v>
      </c>
      <c r="CM97" s="23" t="e">
        <f>EXP(-LN(2)/2)*CM96+(1-EXP(-LN(2)/2))/(LN(2)/2)*CG97*CJ97*VLOOKUP('Données projet'!$B$12,Paramètres!$A$1:$I$88,3,0)*0.475*44/12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projet'!$B$13,Paramètres!$A$1:$I$88,3,0)*VLOOKUP('Données projet'!$B$13,Paramètres!$A$1:$I$88,5,0)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projet'!$B$13,Paramètres!$A$1:$I$88,7,0))</f>
        <v>0</v>
      </c>
      <c r="DD97" s="17">
        <f>IF(ISNA(VLOOKUP(A97,'Données projet'!$A$139:$I$159,6,0)),0%,VLOOKUP(A97,'Données projet'!$A$139:$I$159,6,0)*VLOOKUP('Données projet'!$B$13,Paramètres!$A$1:$I$88,7,0))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projet'!$B$13,Paramètres!$A$1:$I$88,3,0)*0.475*44/12</f>
        <v>#N/A</v>
      </c>
      <c r="DG97" s="23" t="e">
        <f>EXP(-LN(2)/25)*DG96+(1-EXP(-LN(2)/25))/(LN(2)/25)*Calculateur!DB97*Calculateur!DD97*VLOOKUP('Données projet'!$B$13,Paramètres!$A$1:$I$88,3,0)*0.475*44/12</f>
        <v>#N/A</v>
      </c>
      <c r="DH97" s="23" t="e">
        <f>EXP(-LN(2)/2)*DH96+(1-EXP(-LN(2)/2))/(LN(2)/2)*DB97*DE97*VLOOKUP('Données projet'!$B$13,Paramètres!$A$1:$I$88,3,0)*0.475*44/12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projet'!$B$14,Paramètres!$A$1:$I$88,3,0)*VLOOKUP('Données projet'!$B$14,Paramètres!$A$1:$I$88,5,0)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projet'!$B$14,Paramètres!$A$1:$I$88,7,0))</f>
        <v>0</v>
      </c>
      <c r="DY97" s="17">
        <f>IF(ISNA(VLOOKUP(A97,'Données projet'!$A$165:$I$185,6,0)),0%,VLOOKUP(A97,'Données projet'!$A$165:$I$185,6,0)*VLOOKUP('Données projet'!$B$14,Paramètres!$A$1:$I$88,7,0))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projet'!$B$14,Paramètres!$A$1:$I$88,3,0)*0.475*44/12</f>
        <v>#N/A</v>
      </c>
      <c r="EB97" s="23" t="e">
        <f>EXP(-LN(2)/25)*EB96+(1-EXP(-LN(2)/25))/(LN(2)/25)*Calculateur!DW97*Calculateur!DY97*VLOOKUP('Données projet'!$B$14,Paramètres!$A$1:$I$88,3,0)*0.475*44/12</f>
        <v>#N/A</v>
      </c>
      <c r="EC97" s="23" t="e">
        <f>EXP(-LN(2)/2)*EC96+(1-EXP(-LN(2)/2))/(LN(2)/2)*DW97*DZ97*VLOOKUP('Données projet'!$B$14,Paramètres!$A$1:$I$88,3,0)*0.475*44/12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projet'!$B$15,Paramètres!$A$1:$I$88,3,0)*VLOOKUP('Données projet'!$B$15,Paramètres!$A$1:$I$88,5,0)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projet'!$B$15,Paramètres!$A$1:$I$88,7,0))</f>
        <v>0</v>
      </c>
      <c r="ET97" s="17">
        <f>IF(ISNA(VLOOKUP(A97,'Données projet'!$A$191:$I$211,6,0)),0%,VLOOKUP(A97,'Données projet'!$A$191:$I$211,6,0)*VLOOKUP('Données projet'!$B$15,Paramètres!$A$1:$I$88,7,0))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projet'!$B$15,Paramètres!$A$1:$I$88,3,0)*0.475*44/12</f>
        <v>#N/A</v>
      </c>
      <c r="EW97" s="23" t="e">
        <f>EXP(-LN(2)/25)*EW96+(1-EXP(-LN(2)/25))/(LN(2)/25)*Calculateur!ER97*Calculateur!ET97*VLOOKUP('Données projet'!$B$15,Paramètres!$A$1:$I$88,3,0)*0.475*44/12</f>
        <v>#N/A</v>
      </c>
      <c r="EX97" s="23" t="e">
        <f>EXP(-LN(2)/2)*EX96+(1-EXP(-LN(2)/2))/(LN(2)/2)*ER97*EU97*VLOOKUP('Données projet'!$B$15,Paramètres!$A$1:$I$88,3,0)*0.475*44/12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projet'!$B$16,Paramètres!$A$1:$I$88,3,0)*VLOOKUP('Données projet'!$B$16,Paramètres!$A$1:$I$88,5,0)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projet'!$B$16,Paramètres!$A$1:$I$88,7,0))</f>
        <v>0</v>
      </c>
      <c r="FO97" s="17">
        <f>IF(ISNA(VLOOKUP(A97,'Données projet'!$A$217:$I$237,6,0)),0%,VLOOKUP(A97,'Données projet'!$A$217:$I$237,6,0)*VLOOKUP('Données projet'!$B$16,Paramètres!$A$1:$I$88,7,0))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projet'!$B$16,Paramètres!$A$1:$I$88,3,0)*0.475*44/12</f>
        <v>#N/A</v>
      </c>
      <c r="FR97" s="23" t="e">
        <f>EXP(-LN(2)/25)*FR96+(1-EXP(-LN(2)/25))/(LN(2)/25)*Calculateur!FM97*Calculateur!FO97*VLOOKUP('Données projet'!$B$16,Paramètres!$A$1:$I$88,3,0)*0.475*44/12</f>
        <v>#N/A</v>
      </c>
      <c r="FS97" s="23" t="e">
        <f>EXP(-LN(2)/2)*FS96+(1-EXP(-LN(2)/2))/(LN(2)/2)*FM97*FP97*VLOOKUP('Données projet'!$B$16,Paramètres!$A$1:$I$88,3,0)*0.475*44/12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projet'!$B$17,Paramètres!$A$1:$I$88,3,0)*VLOOKUP('Données projet'!$B$17,Paramètres!$A$1:$I$88,5,0)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projet'!$B$17,Paramètres!$A$1:$I$88,7,0))</f>
        <v>0</v>
      </c>
      <c r="GJ97" s="17">
        <f>IF(ISNA(VLOOKUP(A97,'Données projet'!$A$243:$I$263,6,0)),0%,VLOOKUP(A97,'Données projet'!$A$243:$I$263,6,0)*VLOOKUP('Données projet'!$B$17,Paramètres!$A$1:$I$88,7,0))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projet'!$B$17,Paramètres!$A$1:$I$88,3,0)*0.475*44/12</f>
        <v>#N/A</v>
      </c>
      <c r="GM97" s="23" t="e">
        <f>EXP(-LN(2)/25)*GM96+(1-EXP(-LN(2)/25))/(LN(2)/25)*Calculateur!GH97*Calculateur!GJ97*VLOOKUP('Données projet'!$B$17,Paramètres!$A$1:$I$88,3,0)*0.475*44/12</f>
        <v>#N/A</v>
      </c>
      <c r="GN97" s="23" t="e">
        <f>EXP(-LN(2)/2)*GN96+(1-EXP(-LN(2)/2))/(LN(2)/2)*GH97*GK97*VLOOKUP('Données projet'!$B$17,Paramètres!$A$1:$I$88,3,0)*0.475*44/12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projet'!$B$18,Paramètres!$A$1:$I$88,3,0)*VLOOKUP('Données projet'!$B$18,Paramètres!$A$1:$I$88,5,0)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projet'!$B$18,Paramètres!$A$1:$I$88,7,0))</f>
        <v>0</v>
      </c>
      <c r="HE97" s="17">
        <f>IF(ISNA(VLOOKUP(A97,'Données projet'!$A$269:$I$289,6,0)),0%,VLOOKUP(A97,'Données projet'!$A$269:$I$289,6,0)*VLOOKUP('Données projet'!$B$18,Paramètres!$A$1:$I$88,7,0))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projet'!$B$18,Paramètres!$A$1:$I$88,3,0)*0.475*44/12</f>
        <v>#N/A</v>
      </c>
      <c r="HH97" s="23" t="e">
        <f>EXP(-LN(2)/25)*HH96+(1-EXP(-LN(2)/25))/(LN(2)/25)*Calculateur!HC97*Calculateur!HE97*VLOOKUP('Données projet'!$B$18,Paramètres!$A$1:$I$88,3,0)*0.475*44/12</f>
        <v>#N/A</v>
      </c>
      <c r="HI97" s="23" t="e">
        <f>EXP(-LN(2)/2)*HI96+(1-EXP(-LN(2)/2))/(LN(2)/2)*HC97*HF97*VLOOKUP('Données projet'!$B$18,Paramètres!$A$1:$I$88,3,0)*0.475*44/12</f>
        <v>#N/A</v>
      </c>
      <c r="HJ97" s="24" t="e">
        <f t="shared" si="84"/>
        <v>#N/A</v>
      </c>
    </row>
    <row r="98" spans="1:218" s="5" customFormat="1" x14ac:dyDescent="0.3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4.5474735088646412E-13</v>
      </c>
      <c r="O98" s="14">
        <f>N98*VLOOKUP('Données projet'!$B$9,Paramètres!$A$1:$I$88,3,0)*VLOOKUP('Données projet'!$B$9,Paramètres!$A$1:$I$88,5,0)</f>
        <v>2.5420376914553347E-13</v>
      </c>
      <c r="P98" s="14">
        <f t="shared" si="87"/>
        <v>3.4258699088369875E-12</v>
      </c>
      <c r="Q98" s="22">
        <f t="shared" si="54"/>
        <v>6.4094616558195571E-12</v>
      </c>
      <c r="R98" s="62">
        <f t="shared" si="55"/>
        <v>275.94744591877236</v>
      </c>
      <c r="S98" s="62">
        <f ca="1">AVERAGE(OFFSET($R$3,0,0,'Données projet'!$E$9+1,1))-AVERAGE(OFFSET($H$3,0,0,'Données projet'!$E$9+1,1))</f>
        <v>367.03450586441784</v>
      </c>
      <c r="T98" s="62">
        <f t="shared" si="88"/>
        <v>413.14502442862897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projet'!$B$9,Paramètres!$A$1:$I$88,7,0))</f>
        <v>0</v>
      </c>
      <c r="X98" s="17">
        <f>IF(ISNA(VLOOKUP(A98,'Données projet'!$A$35:$I$55,6,0)),0%,VLOOKUP(A98,'Données projet'!$A$35:$I$55,6,0)*VLOOKUP('Données projet'!$B$9,Paramètres!$A$1:$I$88,7,0))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projet'!$B$9,Paramètres!$A$1:$I$88,3,0)*0.475*44/12</f>
        <v>119.73453229265515</v>
      </c>
      <c r="AA98" s="23">
        <f>EXP(-LN(2)/25)*AA97+(1-EXP(-LN(2)/25))/(LN(2)/25)*Calculateur!V98*Calculateur!X98*VLOOKUP('Données projet'!$B$9,Paramètres!$A$1:$I$88,3,0)*0.475*44/12</f>
        <v>50.094567779505368</v>
      </c>
      <c r="AB98" s="23">
        <f>EXP(-LN(2)/2)*AB97+(1-EXP(-LN(2)/2))/(LN(2)/2)*V98*Y98*VLOOKUP('Données projet'!$B$9,Paramètres!$A$1:$I$88,3,0)*0.475*44/12</f>
        <v>0</v>
      </c>
      <c r="AC98" s="24">
        <f t="shared" si="57"/>
        <v>169.82910007216051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projet'!$B$10,Paramètres!$A$1:$I$88,3,0)*VLOOKUP('Données projet'!$B$10,Paramètres!$A$1:$I$88,5,0)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projet'!$B$10,Paramètres!$A$1:$I$88,7,0))</f>
        <v>0</v>
      </c>
      <c r="AS98" s="17">
        <f>IF(ISNA(VLOOKUP(A98,'Données projet'!$A$61:$I$81,6,0)),0%,VLOOKUP(A98,'Données projet'!$A$61:$I$81,6,0)*VLOOKUP('Données projet'!$B$10,Paramètres!$A$1:$I$88,7,0))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projet'!$B$10,Paramètres!$A$1:$I$88,3,0)*0.475*44/12</f>
        <v>#N/A</v>
      </c>
      <c r="AV98" s="23" t="e">
        <f>EXP(-LN(2)/25)*AV97+(1-EXP(-LN(2)/25))/(LN(2)/25)*Calculateur!AQ98*Calculateur!AS98*VLOOKUP('Données projet'!$B$10,Paramètres!$A$1:$I$88,3,0)*0.475*44/12</f>
        <v>#N/A</v>
      </c>
      <c r="AW98" s="23" t="e">
        <f>EXP(-LN(2)/2)*AW97+(1-EXP(-LN(2)/2))/(LN(2)/2)*AQ98*AT98*VLOOKUP('Données projet'!$B$10,Paramètres!$A$1:$I$88,3,0)*0.475*44/12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projet'!$B$11,Paramètres!$A$1:$I$88,3,0)*VLOOKUP('Données projet'!$B$11,Paramètres!$A$1:$I$88,5,0)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projet'!$B$11,Paramètres!$A$1:$I$88,7,0))</f>
        <v>0</v>
      </c>
      <c r="BN98" s="17">
        <f>IF(ISNA(VLOOKUP(A98,'Données projet'!$A$87:$I$107,6,0)),0%,VLOOKUP(A98,'Données projet'!$A$87:$I$107,6,0)*VLOOKUP('Données projet'!$B$11,Paramètres!$A$1:$I$88,7,0))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projet'!$B$11,Paramètres!$A$1:$I$88,3,0)*0.475*44/12</f>
        <v>#N/A</v>
      </c>
      <c r="BQ98" s="23" t="e">
        <f>EXP(-LN(2)/25)*BQ97+(1-EXP(-LN(2)/25))/(LN(2)/25)*Calculateur!BL98*Calculateur!BN98*VLOOKUP('Données projet'!$B$11,Paramètres!$A$1:$I$88,3,0)*0.475*44/12</f>
        <v>#N/A</v>
      </c>
      <c r="BR98" s="23" t="e">
        <f>EXP(-LN(2)/2)*BR97+(1-EXP(-LN(2)/2))/(LN(2)/2)*BL98*BO98*VLOOKUP('Données projet'!$B$11,Paramètres!$A$1:$I$88,3,0)*0.475*44/12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projet'!$B$12,Paramètres!$A$1:$I$88,3,0)*VLOOKUP('Données projet'!$B$12,Paramètres!$A$1:$I$88,5,0)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projet'!$B$12,Paramètres!$A$1:$I$88,7,0))</f>
        <v>0</v>
      </c>
      <c r="CI98" s="17">
        <f>IF(ISNA(VLOOKUP(A98,'Données projet'!$A$113:$I$133,6,0)),0%,VLOOKUP(A98,'Données projet'!$A$113:$I$133,6,0)*VLOOKUP('Données projet'!$B$12,Paramètres!$A$1:$I$88,7,0))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projet'!$B$12,Paramètres!$A$1:$I$88,3,0)*0.475*44/12</f>
        <v>#N/A</v>
      </c>
      <c r="CL98" s="23" t="e">
        <f>EXP(-LN(2)/25)*CL97+(1-EXP(-LN(2)/25))/(LN(2)/25)*Calculateur!CG98*Calculateur!CI98*VLOOKUP('Données projet'!$B$12,Paramètres!$A$1:$I$88,3,0)*0.475*44/12</f>
        <v>#N/A</v>
      </c>
      <c r="CM98" s="23" t="e">
        <f>EXP(-LN(2)/2)*CM97+(1-EXP(-LN(2)/2))/(LN(2)/2)*CG98*CJ98*VLOOKUP('Données projet'!$B$12,Paramètres!$A$1:$I$88,3,0)*0.475*44/12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projet'!$B$13,Paramètres!$A$1:$I$88,3,0)*VLOOKUP('Données projet'!$B$13,Paramètres!$A$1:$I$88,5,0)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projet'!$B$13,Paramètres!$A$1:$I$88,7,0))</f>
        <v>0</v>
      </c>
      <c r="DD98" s="17">
        <f>IF(ISNA(VLOOKUP(A98,'Données projet'!$A$139:$I$159,6,0)),0%,VLOOKUP(A98,'Données projet'!$A$139:$I$159,6,0)*VLOOKUP('Données projet'!$B$13,Paramètres!$A$1:$I$88,7,0))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projet'!$B$13,Paramètres!$A$1:$I$88,3,0)*0.475*44/12</f>
        <v>#N/A</v>
      </c>
      <c r="DG98" s="23" t="e">
        <f>EXP(-LN(2)/25)*DG97+(1-EXP(-LN(2)/25))/(LN(2)/25)*Calculateur!DB98*Calculateur!DD98*VLOOKUP('Données projet'!$B$13,Paramètres!$A$1:$I$88,3,0)*0.475*44/12</f>
        <v>#N/A</v>
      </c>
      <c r="DH98" s="23" t="e">
        <f>EXP(-LN(2)/2)*DH97+(1-EXP(-LN(2)/2))/(LN(2)/2)*DB98*DE98*VLOOKUP('Données projet'!$B$13,Paramètres!$A$1:$I$88,3,0)*0.475*44/12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projet'!$B$14,Paramètres!$A$1:$I$88,3,0)*VLOOKUP('Données projet'!$B$14,Paramètres!$A$1:$I$88,5,0)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projet'!$B$14,Paramètres!$A$1:$I$88,7,0))</f>
        <v>0</v>
      </c>
      <c r="DY98" s="17">
        <f>IF(ISNA(VLOOKUP(A98,'Données projet'!$A$165:$I$185,6,0)),0%,VLOOKUP(A98,'Données projet'!$A$165:$I$185,6,0)*VLOOKUP('Données projet'!$B$14,Paramètres!$A$1:$I$88,7,0))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projet'!$B$14,Paramètres!$A$1:$I$88,3,0)*0.475*44/12</f>
        <v>#N/A</v>
      </c>
      <c r="EB98" s="23" t="e">
        <f>EXP(-LN(2)/25)*EB97+(1-EXP(-LN(2)/25))/(LN(2)/25)*Calculateur!DW98*Calculateur!DY98*VLOOKUP('Données projet'!$B$14,Paramètres!$A$1:$I$88,3,0)*0.475*44/12</f>
        <v>#N/A</v>
      </c>
      <c r="EC98" s="23" t="e">
        <f>EXP(-LN(2)/2)*EC97+(1-EXP(-LN(2)/2))/(LN(2)/2)*DW98*DZ98*VLOOKUP('Données projet'!$B$14,Paramètres!$A$1:$I$88,3,0)*0.475*44/12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projet'!$B$15,Paramètres!$A$1:$I$88,3,0)*VLOOKUP('Données projet'!$B$15,Paramètres!$A$1:$I$88,5,0)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projet'!$B$15,Paramètres!$A$1:$I$88,7,0))</f>
        <v>0</v>
      </c>
      <c r="ET98" s="17">
        <f>IF(ISNA(VLOOKUP(A98,'Données projet'!$A$191:$I$211,6,0)),0%,VLOOKUP(A98,'Données projet'!$A$191:$I$211,6,0)*VLOOKUP('Données projet'!$B$15,Paramètres!$A$1:$I$88,7,0))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projet'!$B$15,Paramètres!$A$1:$I$88,3,0)*0.475*44/12</f>
        <v>#N/A</v>
      </c>
      <c r="EW98" s="23" t="e">
        <f>EXP(-LN(2)/25)*EW97+(1-EXP(-LN(2)/25))/(LN(2)/25)*Calculateur!ER98*Calculateur!ET98*VLOOKUP('Données projet'!$B$15,Paramètres!$A$1:$I$88,3,0)*0.475*44/12</f>
        <v>#N/A</v>
      </c>
      <c r="EX98" s="23" t="e">
        <f>EXP(-LN(2)/2)*EX97+(1-EXP(-LN(2)/2))/(LN(2)/2)*ER98*EU98*VLOOKUP('Données projet'!$B$15,Paramètres!$A$1:$I$88,3,0)*0.475*44/12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projet'!$B$16,Paramètres!$A$1:$I$88,3,0)*VLOOKUP('Données projet'!$B$16,Paramètres!$A$1:$I$88,5,0)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projet'!$B$16,Paramètres!$A$1:$I$88,7,0))</f>
        <v>0</v>
      </c>
      <c r="FO98" s="17">
        <f>IF(ISNA(VLOOKUP(A98,'Données projet'!$A$217:$I$237,6,0)),0%,VLOOKUP(A98,'Données projet'!$A$217:$I$237,6,0)*VLOOKUP('Données projet'!$B$16,Paramètres!$A$1:$I$88,7,0))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projet'!$B$16,Paramètres!$A$1:$I$88,3,0)*0.475*44/12</f>
        <v>#N/A</v>
      </c>
      <c r="FR98" s="23" t="e">
        <f>EXP(-LN(2)/25)*FR97+(1-EXP(-LN(2)/25))/(LN(2)/25)*Calculateur!FM98*Calculateur!FO98*VLOOKUP('Données projet'!$B$16,Paramètres!$A$1:$I$88,3,0)*0.475*44/12</f>
        <v>#N/A</v>
      </c>
      <c r="FS98" s="23" t="e">
        <f>EXP(-LN(2)/2)*FS97+(1-EXP(-LN(2)/2))/(LN(2)/2)*FM98*FP98*VLOOKUP('Données projet'!$B$16,Paramètres!$A$1:$I$88,3,0)*0.475*44/12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projet'!$B$17,Paramètres!$A$1:$I$88,3,0)*VLOOKUP('Données projet'!$B$17,Paramètres!$A$1:$I$88,5,0)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projet'!$B$17,Paramètres!$A$1:$I$88,7,0))</f>
        <v>0</v>
      </c>
      <c r="GJ98" s="17">
        <f>IF(ISNA(VLOOKUP(A98,'Données projet'!$A$243:$I$263,6,0)),0%,VLOOKUP(A98,'Données projet'!$A$243:$I$263,6,0)*VLOOKUP('Données projet'!$B$17,Paramètres!$A$1:$I$88,7,0))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projet'!$B$17,Paramètres!$A$1:$I$88,3,0)*0.475*44/12</f>
        <v>#N/A</v>
      </c>
      <c r="GM98" s="23" t="e">
        <f>EXP(-LN(2)/25)*GM97+(1-EXP(-LN(2)/25))/(LN(2)/25)*Calculateur!GH98*Calculateur!GJ98*VLOOKUP('Données projet'!$B$17,Paramètres!$A$1:$I$88,3,0)*0.475*44/12</f>
        <v>#N/A</v>
      </c>
      <c r="GN98" s="23" t="e">
        <f>EXP(-LN(2)/2)*GN97+(1-EXP(-LN(2)/2))/(LN(2)/2)*GH98*GK98*VLOOKUP('Données projet'!$B$17,Paramètres!$A$1:$I$88,3,0)*0.475*44/12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projet'!$B$18,Paramètres!$A$1:$I$88,3,0)*VLOOKUP('Données projet'!$B$18,Paramètres!$A$1:$I$88,5,0)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projet'!$B$18,Paramètres!$A$1:$I$88,7,0))</f>
        <v>0</v>
      </c>
      <c r="HE98" s="17">
        <f>IF(ISNA(VLOOKUP(A98,'Données projet'!$A$269:$I$289,6,0)),0%,VLOOKUP(A98,'Données projet'!$A$269:$I$289,6,0)*VLOOKUP('Données projet'!$B$18,Paramètres!$A$1:$I$88,7,0))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projet'!$B$18,Paramètres!$A$1:$I$88,3,0)*0.475*44/12</f>
        <v>#N/A</v>
      </c>
      <c r="HH98" s="23" t="e">
        <f>EXP(-LN(2)/25)*HH97+(1-EXP(-LN(2)/25))/(LN(2)/25)*Calculateur!HC98*Calculateur!HE98*VLOOKUP('Données projet'!$B$18,Paramètres!$A$1:$I$88,3,0)*0.475*44/12</f>
        <v>#N/A</v>
      </c>
      <c r="HI98" s="23" t="e">
        <f>EXP(-LN(2)/2)*HI97+(1-EXP(-LN(2)/2))/(LN(2)/2)*HC98*HF98*VLOOKUP('Données projet'!$B$18,Paramètres!$A$1:$I$88,3,0)*0.475*44/12</f>
        <v>#N/A</v>
      </c>
      <c r="HJ98" s="24" t="e">
        <f t="shared" si="84"/>
        <v>#N/A</v>
      </c>
    </row>
    <row r="99" spans="1:218" s="5" customFormat="1" x14ac:dyDescent="0.3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4.5474735088646412E-13</v>
      </c>
      <c r="O99" s="14">
        <f>N99*VLOOKUP('Données projet'!$B$9,Paramètres!$A$1:$I$88,3,0)*VLOOKUP('Données projet'!$B$9,Paramètres!$A$1:$I$88,5,0)</f>
        <v>2.5420376914553347E-13</v>
      </c>
      <c r="P99" s="14">
        <f t="shared" si="87"/>
        <v>3.4258699088369875E-12</v>
      </c>
      <c r="Q99" s="22">
        <f t="shared" ref="Q99:Q130" si="107">(O99+P99)*0.475*44/12</f>
        <v>6.4094616558195571E-12</v>
      </c>
      <c r="R99" s="62">
        <f t="shared" si="55"/>
        <v>276.24905219639385</v>
      </c>
      <c r="S99" s="62">
        <f ca="1">AVERAGE(OFFSET($R$3,0,0,'Données projet'!$E$9+1,1))-AVERAGE(OFFSET($H$3,0,0,'Données projet'!$E$9+1,1))</f>
        <v>367.03450586441784</v>
      </c>
      <c r="T99" s="62">
        <f t="shared" si="88"/>
        <v>413.14502442862897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projet'!$B$9,Paramètres!$A$1:$I$88,7,0))</f>
        <v>0</v>
      </c>
      <c r="X99" s="17">
        <f>IF(ISNA(VLOOKUP(A99,'Données projet'!$A$35:$I$55,6,0)),0%,VLOOKUP(A99,'Données projet'!$A$35:$I$55,6,0)*VLOOKUP('Données projet'!$B$9,Paramètres!$A$1:$I$88,7,0))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projet'!$B$9,Paramètres!$A$1:$I$88,3,0)*0.475*44/12</f>
        <v>117.38661114524967</v>
      </c>
      <c r="AA99" s="23">
        <f>EXP(-LN(2)/25)*AA98+(1-EXP(-LN(2)/25))/(LN(2)/25)*Calculateur!V99*Calculateur!X99*VLOOKUP('Données projet'!$B$9,Paramètres!$A$1:$I$88,3,0)*0.475*44/12</f>
        <v>48.724729189215964</v>
      </c>
      <c r="AB99" s="23">
        <f>EXP(-LN(2)/2)*AB98+(1-EXP(-LN(2)/2))/(LN(2)/2)*V99*Y99*VLOOKUP('Données projet'!$B$9,Paramètres!$A$1:$I$88,3,0)*0.475*44/12</f>
        <v>0</v>
      </c>
      <c r="AC99" s="24">
        <f t="shared" si="57"/>
        <v>166.11134033446564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projet'!$B$10,Paramètres!$A$1:$I$88,3,0)*VLOOKUP('Données projet'!$B$10,Paramètres!$A$1:$I$88,5,0)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projet'!$B$10,Paramètres!$A$1:$I$88,7,0))</f>
        <v>0</v>
      </c>
      <c r="AS99" s="17">
        <f>IF(ISNA(VLOOKUP(A99,'Données projet'!$A$61:$I$81,6,0)),0%,VLOOKUP(A99,'Données projet'!$A$61:$I$81,6,0)*VLOOKUP('Données projet'!$B$10,Paramètres!$A$1:$I$88,7,0))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projet'!$B$10,Paramètres!$A$1:$I$88,3,0)*0.475*44/12</f>
        <v>#N/A</v>
      </c>
      <c r="AV99" s="23" t="e">
        <f>EXP(-LN(2)/25)*AV98+(1-EXP(-LN(2)/25))/(LN(2)/25)*Calculateur!AQ99*Calculateur!AS99*VLOOKUP('Données projet'!$B$10,Paramètres!$A$1:$I$88,3,0)*0.475*44/12</f>
        <v>#N/A</v>
      </c>
      <c r="AW99" s="23" t="e">
        <f>EXP(-LN(2)/2)*AW98+(1-EXP(-LN(2)/2))/(LN(2)/2)*AQ99*AT99*VLOOKUP('Données projet'!$B$10,Paramètres!$A$1:$I$88,3,0)*0.475*44/12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projet'!$B$11,Paramètres!$A$1:$I$88,3,0)*VLOOKUP('Données projet'!$B$11,Paramètres!$A$1:$I$88,5,0)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projet'!$B$11,Paramètres!$A$1:$I$88,7,0))</f>
        <v>0</v>
      </c>
      <c r="BN99" s="17">
        <f>IF(ISNA(VLOOKUP(A99,'Données projet'!$A$87:$I$107,6,0)),0%,VLOOKUP(A99,'Données projet'!$A$87:$I$107,6,0)*VLOOKUP('Données projet'!$B$11,Paramètres!$A$1:$I$88,7,0))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projet'!$B$11,Paramètres!$A$1:$I$88,3,0)*0.475*44/12</f>
        <v>#N/A</v>
      </c>
      <c r="BQ99" s="23" t="e">
        <f>EXP(-LN(2)/25)*BQ98+(1-EXP(-LN(2)/25))/(LN(2)/25)*Calculateur!BL99*Calculateur!BN99*VLOOKUP('Données projet'!$B$11,Paramètres!$A$1:$I$88,3,0)*0.475*44/12</f>
        <v>#N/A</v>
      </c>
      <c r="BR99" s="23" t="e">
        <f>EXP(-LN(2)/2)*BR98+(1-EXP(-LN(2)/2))/(LN(2)/2)*BL99*BO99*VLOOKUP('Données projet'!$B$11,Paramètres!$A$1:$I$88,3,0)*0.475*44/12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projet'!$B$12,Paramètres!$A$1:$I$88,3,0)*VLOOKUP('Données projet'!$B$12,Paramètres!$A$1:$I$88,5,0)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projet'!$B$12,Paramètres!$A$1:$I$88,7,0))</f>
        <v>0</v>
      </c>
      <c r="CI99" s="17">
        <f>IF(ISNA(VLOOKUP(A99,'Données projet'!$A$113:$I$133,6,0)),0%,VLOOKUP(A99,'Données projet'!$A$113:$I$133,6,0)*VLOOKUP('Données projet'!$B$12,Paramètres!$A$1:$I$88,7,0))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projet'!$B$12,Paramètres!$A$1:$I$88,3,0)*0.475*44/12</f>
        <v>#N/A</v>
      </c>
      <c r="CL99" s="23" t="e">
        <f>EXP(-LN(2)/25)*CL98+(1-EXP(-LN(2)/25))/(LN(2)/25)*Calculateur!CG99*Calculateur!CI99*VLOOKUP('Données projet'!$B$12,Paramètres!$A$1:$I$88,3,0)*0.475*44/12</f>
        <v>#N/A</v>
      </c>
      <c r="CM99" s="23" t="e">
        <f>EXP(-LN(2)/2)*CM98+(1-EXP(-LN(2)/2))/(LN(2)/2)*CG99*CJ99*VLOOKUP('Données projet'!$B$12,Paramètres!$A$1:$I$88,3,0)*0.475*44/12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projet'!$B$13,Paramètres!$A$1:$I$88,3,0)*VLOOKUP('Données projet'!$B$13,Paramètres!$A$1:$I$88,5,0)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projet'!$B$13,Paramètres!$A$1:$I$88,7,0))</f>
        <v>0</v>
      </c>
      <c r="DD99" s="17">
        <f>IF(ISNA(VLOOKUP(A99,'Données projet'!$A$139:$I$159,6,0)),0%,VLOOKUP(A99,'Données projet'!$A$139:$I$159,6,0)*VLOOKUP('Données projet'!$B$13,Paramètres!$A$1:$I$88,7,0))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projet'!$B$13,Paramètres!$A$1:$I$88,3,0)*0.475*44/12</f>
        <v>#N/A</v>
      </c>
      <c r="DG99" s="23" t="e">
        <f>EXP(-LN(2)/25)*DG98+(1-EXP(-LN(2)/25))/(LN(2)/25)*Calculateur!DB99*Calculateur!DD99*VLOOKUP('Données projet'!$B$13,Paramètres!$A$1:$I$88,3,0)*0.475*44/12</f>
        <v>#N/A</v>
      </c>
      <c r="DH99" s="23" t="e">
        <f>EXP(-LN(2)/2)*DH98+(1-EXP(-LN(2)/2))/(LN(2)/2)*DB99*DE99*VLOOKUP('Données projet'!$B$13,Paramètres!$A$1:$I$88,3,0)*0.475*44/12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projet'!$B$14,Paramètres!$A$1:$I$88,3,0)*VLOOKUP('Données projet'!$B$14,Paramètres!$A$1:$I$88,5,0)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projet'!$B$14,Paramètres!$A$1:$I$88,7,0))</f>
        <v>0</v>
      </c>
      <c r="DY99" s="17">
        <f>IF(ISNA(VLOOKUP(A99,'Données projet'!$A$165:$I$185,6,0)),0%,VLOOKUP(A99,'Données projet'!$A$165:$I$185,6,0)*VLOOKUP('Données projet'!$B$14,Paramètres!$A$1:$I$88,7,0))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projet'!$B$14,Paramètres!$A$1:$I$88,3,0)*0.475*44/12</f>
        <v>#N/A</v>
      </c>
      <c r="EB99" s="23" t="e">
        <f>EXP(-LN(2)/25)*EB98+(1-EXP(-LN(2)/25))/(LN(2)/25)*Calculateur!DW99*Calculateur!DY99*VLOOKUP('Données projet'!$B$14,Paramètres!$A$1:$I$88,3,0)*0.475*44/12</f>
        <v>#N/A</v>
      </c>
      <c r="EC99" s="23" t="e">
        <f>EXP(-LN(2)/2)*EC98+(1-EXP(-LN(2)/2))/(LN(2)/2)*DW99*DZ99*VLOOKUP('Données projet'!$B$14,Paramètres!$A$1:$I$88,3,0)*0.475*44/12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projet'!$B$15,Paramètres!$A$1:$I$88,3,0)*VLOOKUP('Données projet'!$B$15,Paramètres!$A$1:$I$88,5,0)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projet'!$B$15,Paramètres!$A$1:$I$88,7,0))</f>
        <v>0</v>
      </c>
      <c r="ET99" s="17">
        <f>IF(ISNA(VLOOKUP(A99,'Données projet'!$A$191:$I$211,6,0)),0%,VLOOKUP(A99,'Données projet'!$A$191:$I$211,6,0)*VLOOKUP('Données projet'!$B$15,Paramètres!$A$1:$I$88,7,0))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projet'!$B$15,Paramètres!$A$1:$I$88,3,0)*0.475*44/12</f>
        <v>#N/A</v>
      </c>
      <c r="EW99" s="23" t="e">
        <f>EXP(-LN(2)/25)*EW98+(1-EXP(-LN(2)/25))/(LN(2)/25)*Calculateur!ER99*Calculateur!ET99*VLOOKUP('Données projet'!$B$15,Paramètres!$A$1:$I$88,3,0)*0.475*44/12</f>
        <v>#N/A</v>
      </c>
      <c r="EX99" s="23" t="e">
        <f>EXP(-LN(2)/2)*EX98+(1-EXP(-LN(2)/2))/(LN(2)/2)*ER99*EU99*VLOOKUP('Données projet'!$B$15,Paramètres!$A$1:$I$88,3,0)*0.475*44/12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projet'!$B$16,Paramètres!$A$1:$I$88,3,0)*VLOOKUP('Données projet'!$B$16,Paramètres!$A$1:$I$88,5,0)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projet'!$B$16,Paramètres!$A$1:$I$88,7,0))</f>
        <v>0</v>
      </c>
      <c r="FO99" s="17">
        <f>IF(ISNA(VLOOKUP(A99,'Données projet'!$A$217:$I$237,6,0)),0%,VLOOKUP(A99,'Données projet'!$A$217:$I$237,6,0)*VLOOKUP('Données projet'!$B$16,Paramètres!$A$1:$I$88,7,0))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projet'!$B$16,Paramètres!$A$1:$I$88,3,0)*0.475*44/12</f>
        <v>#N/A</v>
      </c>
      <c r="FR99" s="23" t="e">
        <f>EXP(-LN(2)/25)*FR98+(1-EXP(-LN(2)/25))/(LN(2)/25)*Calculateur!FM99*Calculateur!FO99*VLOOKUP('Données projet'!$B$16,Paramètres!$A$1:$I$88,3,0)*0.475*44/12</f>
        <v>#N/A</v>
      </c>
      <c r="FS99" s="23" t="e">
        <f>EXP(-LN(2)/2)*FS98+(1-EXP(-LN(2)/2))/(LN(2)/2)*FM99*FP99*VLOOKUP('Données projet'!$B$16,Paramètres!$A$1:$I$88,3,0)*0.475*44/12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projet'!$B$17,Paramètres!$A$1:$I$88,3,0)*VLOOKUP('Données projet'!$B$17,Paramètres!$A$1:$I$88,5,0)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projet'!$B$17,Paramètres!$A$1:$I$88,7,0))</f>
        <v>0</v>
      </c>
      <c r="GJ99" s="17">
        <f>IF(ISNA(VLOOKUP(A99,'Données projet'!$A$243:$I$263,6,0)),0%,VLOOKUP(A99,'Données projet'!$A$243:$I$263,6,0)*VLOOKUP('Données projet'!$B$17,Paramètres!$A$1:$I$88,7,0))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projet'!$B$17,Paramètres!$A$1:$I$88,3,0)*0.475*44/12</f>
        <v>#N/A</v>
      </c>
      <c r="GM99" s="23" t="e">
        <f>EXP(-LN(2)/25)*GM98+(1-EXP(-LN(2)/25))/(LN(2)/25)*Calculateur!GH99*Calculateur!GJ99*VLOOKUP('Données projet'!$B$17,Paramètres!$A$1:$I$88,3,0)*0.475*44/12</f>
        <v>#N/A</v>
      </c>
      <c r="GN99" s="23" t="e">
        <f>EXP(-LN(2)/2)*GN98+(1-EXP(-LN(2)/2))/(LN(2)/2)*GH99*GK99*VLOOKUP('Données projet'!$B$17,Paramètres!$A$1:$I$88,3,0)*0.475*44/12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projet'!$B$18,Paramètres!$A$1:$I$88,3,0)*VLOOKUP('Données projet'!$B$18,Paramètres!$A$1:$I$88,5,0)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projet'!$B$18,Paramètres!$A$1:$I$88,7,0))</f>
        <v>0</v>
      </c>
      <c r="HE99" s="17">
        <f>IF(ISNA(VLOOKUP(A99,'Données projet'!$A$269:$I$289,6,0)),0%,VLOOKUP(A99,'Données projet'!$A$269:$I$289,6,0)*VLOOKUP('Données projet'!$B$18,Paramètres!$A$1:$I$88,7,0))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projet'!$B$18,Paramètres!$A$1:$I$88,3,0)*0.475*44/12</f>
        <v>#N/A</v>
      </c>
      <c r="HH99" s="23" t="e">
        <f>EXP(-LN(2)/25)*HH98+(1-EXP(-LN(2)/25))/(LN(2)/25)*Calculateur!HC99*Calculateur!HE99*VLOOKUP('Données projet'!$B$18,Paramètres!$A$1:$I$88,3,0)*0.475*44/12</f>
        <v>#N/A</v>
      </c>
      <c r="HI99" s="23" t="e">
        <f>EXP(-LN(2)/2)*HI98+(1-EXP(-LN(2)/2))/(LN(2)/2)*HC99*HF99*VLOOKUP('Données projet'!$B$18,Paramètres!$A$1:$I$88,3,0)*0.475*44/12</f>
        <v>#N/A</v>
      </c>
      <c r="HJ99" s="24" t="e">
        <f t="shared" si="84"/>
        <v>#N/A</v>
      </c>
    </row>
    <row r="100" spans="1:218" s="5" customFormat="1" x14ac:dyDescent="0.3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4.5474735088646412E-13</v>
      </c>
      <c r="O100" s="14">
        <f>N100*VLOOKUP('Données projet'!$B$9,Paramètres!$A$1:$I$88,3,0)*VLOOKUP('Données projet'!$B$9,Paramètres!$A$1:$I$88,5,0)</f>
        <v>2.5420376914553347E-13</v>
      </c>
      <c r="P100" s="14">
        <f t="shared" si="87"/>
        <v>3.4258699088369875E-12</v>
      </c>
      <c r="Q100" s="22">
        <f t="shared" si="107"/>
        <v>6.4094616558195571E-12</v>
      </c>
      <c r="R100" s="62">
        <f t="shared" si="55"/>
        <v>276.54542627938923</v>
      </c>
      <c r="S100" s="62">
        <f ca="1">AVERAGE(OFFSET($R$3,0,0,'Données projet'!$E$9+1,1))-AVERAGE(OFFSET($H$3,0,0,'Données projet'!$E$9+1,1))</f>
        <v>367.03450586441784</v>
      </c>
      <c r="T100" s="62">
        <f t="shared" si="88"/>
        <v>413.14502442862897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projet'!$B$9,Paramètres!$A$1:$I$88,7,0))</f>
        <v>0</v>
      </c>
      <c r="X100" s="17">
        <f>IF(ISNA(VLOOKUP(A100,'Données projet'!$A$35:$I$55,6,0)),0%,VLOOKUP(A100,'Données projet'!$A$35:$I$55,6,0)*VLOOKUP('Données projet'!$B$9,Paramètres!$A$1:$I$88,7,0))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projet'!$B$9,Paramètres!$A$1:$I$88,3,0)*0.475*44/12</f>
        <v>115.08473129945433</v>
      </c>
      <c r="AA100" s="23">
        <f>EXP(-LN(2)/25)*AA99+(1-EXP(-LN(2)/25))/(LN(2)/25)*Calculateur!V100*Calculateur!X100*VLOOKUP('Données projet'!$B$9,Paramètres!$A$1:$I$88,3,0)*0.475*44/12</f>
        <v>47.392348907214704</v>
      </c>
      <c r="AB100" s="23">
        <f>EXP(-LN(2)/2)*AB99+(1-EXP(-LN(2)/2))/(LN(2)/2)*V100*Y100*VLOOKUP('Données projet'!$B$9,Paramètres!$A$1:$I$88,3,0)*0.475*44/12</f>
        <v>0</v>
      </c>
      <c r="AC100" s="24">
        <f t="shared" si="57"/>
        <v>162.47708020666903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projet'!$B$10,Paramètres!$A$1:$I$88,3,0)*VLOOKUP('Données projet'!$B$10,Paramètres!$A$1:$I$88,5,0)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projet'!$B$10,Paramètres!$A$1:$I$88,7,0))</f>
        <v>0</v>
      </c>
      <c r="AS100" s="17">
        <f>IF(ISNA(VLOOKUP(A100,'Données projet'!$A$61:$I$81,6,0)),0%,VLOOKUP(A100,'Données projet'!$A$61:$I$81,6,0)*VLOOKUP('Données projet'!$B$10,Paramètres!$A$1:$I$88,7,0))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projet'!$B$10,Paramètres!$A$1:$I$88,3,0)*0.475*44/12</f>
        <v>#N/A</v>
      </c>
      <c r="AV100" s="23" t="e">
        <f>EXP(-LN(2)/25)*AV99+(1-EXP(-LN(2)/25))/(LN(2)/25)*Calculateur!AQ100*Calculateur!AS100*VLOOKUP('Données projet'!$B$10,Paramètres!$A$1:$I$88,3,0)*0.475*44/12</f>
        <v>#N/A</v>
      </c>
      <c r="AW100" s="23" t="e">
        <f>EXP(-LN(2)/2)*AW99+(1-EXP(-LN(2)/2))/(LN(2)/2)*AQ100*AT100*VLOOKUP('Données projet'!$B$10,Paramètres!$A$1:$I$88,3,0)*0.475*44/12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projet'!$B$11,Paramètres!$A$1:$I$88,3,0)*VLOOKUP('Données projet'!$B$11,Paramètres!$A$1:$I$88,5,0)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projet'!$B$11,Paramètres!$A$1:$I$88,7,0))</f>
        <v>0</v>
      </c>
      <c r="BN100" s="17">
        <f>IF(ISNA(VLOOKUP(A100,'Données projet'!$A$87:$I$107,6,0)),0%,VLOOKUP(A100,'Données projet'!$A$87:$I$107,6,0)*VLOOKUP('Données projet'!$B$11,Paramètres!$A$1:$I$88,7,0))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projet'!$B$11,Paramètres!$A$1:$I$88,3,0)*0.475*44/12</f>
        <v>#N/A</v>
      </c>
      <c r="BQ100" s="23" t="e">
        <f>EXP(-LN(2)/25)*BQ99+(1-EXP(-LN(2)/25))/(LN(2)/25)*Calculateur!BL100*Calculateur!BN100*VLOOKUP('Données projet'!$B$11,Paramètres!$A$1:$I$88,3,0)*0.475*44/12</f>
        <v>#N/A</v>
      </c>
      <c r="BR100" s="23" t="e">
        <f>EXP(-LN(2)/2)*BR99+(1-EXP(-LN(2)/2))/(LN(2)/2)*BL100*BO100*VLOOKUP('Données projet'!$B$11,Paramètres!$A$1:$I$88,3,0)*0.475*44/12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projet'!$B$12,Paramètres!$A$1:$I$88,3,0)*VLOOKUP('Données projet'!$B$12,Paramètres!$A$1:$I$88,5,0)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projet'!$B$12,Paramètres!$A$1:$I$88,7,0))</f>
        <v>0</v>
      </c>
      <c r="CI100" s="17">
        <f>IF(ISNA(VLOOKUP(A100,'Données projet'!$A$113:$I$133,6,0)),0%,VLOOKUP(A100,'Données projet'!$A$113:$I$133,6,0)*VLOOKUP('Données projet'!$B$12,Paramètres!$A$1:$I$88,7,0))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projet'!$B$12,Paramètres!$A$1:$I$88,3,0)*0.475*44/12</f>
        <v>#N/A</v>
      </c>
      <c r="CL100" s="23" t="e">
        <f>EXP(-LN(2)/25)*CL99+(1-EXP(-LN(2)/25))/(LN(2)/25)*Calculateur!CG100*Calculateur!CI100*VLOOKUP('Données projet'!$B$12,Paramètres!$A$1:$I$88,3,0)*0.475*44/12</f>
        <v>#N/A</v>
      </c>
      <c r="CM100" s="23" t="e">
        <f>EXP(-LN(2)/2)*CM99+(1-EXP(-LN(2)/2))/(LN(2)/2)*CG100*CJ100*VLOOKUP('Données projet'!$B$12,Paramètres!$A$1:$I$88,3,0)*0.475*44/12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projet'!$B$13,Paramètres!$A$1:$I$88,3,0)*VLOOKUP('Données projet'!$B$13,Paramètres!$A$1:$I$88,5,0)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projet'!$B$13,Paramètres!$A$1:$I$88,7,0))</f>
        <v>0</v>
      </c>
      <c r="DD100" s="17">
        <f>IF(ISNA(VLOOKUP(A100,'Données projet'!$A$139:$I$159,6,0)),0%,VLOOKUP(A100,'Données projet'!$A$139:$I$159,6,0)*VLOOKUP('Données projet'!$B$13,Paramètres!$A$1:$I$88,7,0))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projet'!$B$13,Paramètres!$A$1:$I$88,3,0)*0.475*44/12</f>
        <v>#N/A</v>
      </c>
      <c r="DG100" s="23" t="e">
        <f>EXP(-LN(2)/25)*DG99+(1-EXP(-LN(2)/25))/(LN(2)/25)*Calculateur!DB100*Calculateur!DD100*VLOOKUP('Données projet'!$B$13,Paramètres!$A$1:$I$88,3,0)*0.475*44/12</f>
        <v>#N/A</v>
      </c>
      <c r="DH100" s="23" t="e">
        <f>EXP(-LN(2)/2)*DH99+(1-EXP(-LN(2)/2))/(LN(2)/2)*DB100*DE100*VLOOKUP('Données projet'!$B$13,Paramètres!$A$1:$I$88,3,0)*0.475*44/12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projet'!$B$14,Paramètres!$A$1:$I$88,3,0)*VLOOKUP('Données projet'!$B$14,Paramètres!$A$1:$I$88,5,0)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projet'!$B$14,Paramètres!$A$1:$I$88,7,0))</f>
        <v>0</v>
      </c>
      <c r="DY100" s="17">
        <f>IF(ISNA(VLOOKUP(A100,'Données projet'!$A$165:$I$185,6,0)),0%,VLOOKUP(A100,'Données projet'!$A$165:$I$185,6,0)*VLOOKUP('Données projet'!$B$14,Paramètres!$A$1:$I$88,7,0))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projet'!$B$14,Paramètres!$A$1:$I$88,3,0)*0.475*44/12</f>
        <v>#N/A</v>
      </c>
      <c r="EB100" s="23" t="e">
        <f>EXP(-LN(2)/25)*EB99+(1-EXP(-LN(2)/25))/(LN(2)/25)*Calculateur!DW100*Calculateur!DY100*VLOOKUP('Données projet'!$B$14,Paramètres!$A$1:$I$88,3,0)*0.475*44/12</f>
        <v>#N/A</v>
      </c>
      <c r="EC100" s="23" t="e">
        <f>EXP(-LN(2)/2)*EC99+(1-EXP(-LN(2)/2))/(LN(2)/2)*DW100*DZ100*VLOOKUP('Données projet'!$B$14,Paramètres!$A$1:$I$88,3,0)*0.475*44/12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projet'!$B$15,Paramètres!$A$1:$I$88,3,0)*VLOOKUP('Données projet'!$B$15,Paramètres!$A$1:$I$88,5,0)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projet'!$B$15,Paramètres!$A$1:$I$88,7,0))</f>
        <v>0</v>
      </c>
      <c r="ET100" s="17">
        <f>IF(ISNA(VLOOKUP(A100,'Données projet'!$A$191:$I$211,6,0)),0%,VLOOKUP(A100,'Données projet'!$A$191:$I$211,6,0)*VLOOKUP('Données projet'!$B$15,Paramètres!$A$1:$I$88,7,0))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projet'!$B$15,Paramètres!$A$1:$I$88,3,0)*0.475*44/12</f>
        <v>#N/A</v>
      </c>
      <c r="EW100" s="23" t="e">
        <f>EXP(-LN(2)/25)*EW99+(1-EXP(-LN(2)/25))/(LN(2)/25)*Calculateur!ER100*Calculateur!ET100*VLOOKUP('Données projet'!$B$15,Paramètres!$A$1:$I$88,3,0)*0.475*44/12</f>
        <v>#N/A</v>
      </c>
      <c r="EX100" s="23" t="e">
        <f>EXP(-LN(2)/2)*EX99+(1-EXP(-LN(2)/2))/(LN(2)/2)*ER100*EU100*VLOOKUP('Données projet'!$B$15,Paramètres!$A$1:$I$88,3,0)*0.475*44/12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projet'!$B$16,Paramètres!$A$1:$I$88,3,0)*VLOOKUP('Données projet'!$B$16,Paramètres!$A$1:$I$88,5,0)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projet'!$B$16,Paramètres!$A$1:$I$88,7,0))</f>
        <v>0</v>
      </c>
      <c r="FO100" s="17">
        <f>IF(ISNA(VLOOKUP(A100,'Données projet'!$A$217:$I$237,6,0)),0%,VLOOKUP(A100,'Données projet'!$A$217:$I$237,6,0)*VLOOKUP('Données projet'!$B$16,Paramètres!$A$1:$I$88,7,0))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projet'!$B$16,Paramètres!$A$1:$I$88,3,0)*0.475*44/12</f>
        <v>#N/A</v>
      </c>
      <c r="FR100" s="23" t="e">
        <f>EXP(-LN(2)/25)*FR99+(1-EXP(-LN(2)/25))/(LN(2)/25)*Calculateur!FM100*Calculateur!FO100*VLOOKUP('Données projet'!$B$16,Paramètres!$A$1:$I$88,3,0)*0.475*44/12</f>
        <v>#N/A</v>
      </c>
      <c r="FS100" s="23" t="e">
        <f>EXP(-LN(2)/2)*FS99+(1-EXP(-LN(2)/2))/(LN(2)/2)*FM100*FP100*VLOOKUP('Données projet'!$B$16,Paramètres!$A$1:$I$88,3,0)*0.475*44/12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projet'!$B$17,Paramètres!$A$1:$I$88,3,0)*VLOOKUP('Données projet'!$B$17,Paramètres!$A$1:$I$88,5,0)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projet'!$B$17,Paramètres!$A$1:$I$88,7,0))</f>
        <v>0</v>
      </c>
      <c r="GJ100" s="17">
        <f>IF(ISNA(VLOOKUP(A100,'Données projet'!$A$243:$I$263,6,0)),0%,VLOOKUP(A100,'Données projet'!$A$243:$I$263,6,0)*VLOOKUP('Données projet'!$B$17,Paramètres!$A$1:$I$88,7,0))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projet'!$B$17,Paramètres!$A$1:$I$88,3,0)*0.475*44/12</f>
        <v>#N/A</v>
      </c>
      <c r="GM100" s="23" t="e">
        <f>EXP(-LN(2)/25)*GM99+(1-EXP(-LN(2)/25))/(LN(2)/25)*Calculateur!GH100*Calculateur!GJ100*VLOOKUP('Données projet'!$B$17,Paramètres!$A$1:$I$88,3,0)*0.475*44/12</f>
        <v>#N/A</v>
      </c>
      <c r="GN100" s="23" t="e">
        <f>EXP(-LN(2)/2)*GN99+(1-EXP(-LN(2)/2))/(LN(2)/2)*GH100*GK100*VLOOKUP('Données projet'!$B$17,Paramètres!$A$1:$I$88,3,0)*0.475*44/12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projet'!$B$18,Paramètres!$A$1:$I$88,3,0)*VLOOKUP('Données projet'!$B$18,Paramètres!$A$1:$I$88,5,0)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projet'!$B$18,Paramètres!$A$1:$I$88,7,0))</f>
        <v>0</v>
      </c>
      <c r="HE100" s="17">
        <f>IF(ISNA(VLOOKUP(A100,'Données projet'!$A$269:$I$289,6,0)),0%,VLOOKUP(A100,'Données projet'!$A$269:$I$289,6,0)*VLOOKUP('Données projet'!$B$18,Paramètres!$A$1:$I$88,7,0))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projet'!$B$18,Paramètres!$A$1:$I$88,3,0)*0.475*44/12</f>
        <v>#N/A</v>
      </c>
      <c r="HH100" s="23" t="e">
        <f>EXP(-LN(2)/25)*HH99+(1-EXP(-LN(2)/25))/(LN(2)/25)*Calculateur!HC100*Calculateur!HE100*VLOOKUP('Données projet'!$B$18,Paramètres!$A$1:$I$88,3,0)*0.475*44/12</f>
        <v>#N/A</v>
      </c>
      <c r="HI100" s="23" t="e">
        <f>EXP(-LN(2)/2)*HI99+(1-EXP(-LN(2)/2))/(LN(2)/2)*HC100*HF100*VLOOKUP('Données projet'!$B$18,Paramètres!$A$1:$I$88,3,0)*0.475*44/12</f>
        <v>#N/A</v>
      </c>
      <c r="HJ100" s="24" t="e">
        <f t="shared" si="84"/>
        <v>#N/A</v>
      </c>
    </row>
    <row r="101" spans="1:218" s="5" customFormat="1" x14ac:dyDescent="0.3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4.5474735088646412E-13</v>
      </c>
      <c r="O101" s="14">
        <f>N101*VLOOKUP('Données projet'!$B$9,Paramètres!$A$1:$I$88,3,0)*VLOOKUP('Données projet'!$B$9,Paramètres!$A$1:$I$88,5,0)</f>
        <v>2.5420376914553347E-13</v>
      </c>
      <c r="P101" s="14">
        <f t="shared" si="87"/>
        <v>3.4258699088369875E-12</v>
      </c>
      <c r="Q101" s="22">
        <f t="shared" si="107"/>
        <v>6.4094616558195571E-12</v>
      </c>
      <c r="R101" s="62">
        <f t="shared" si="55"/>
        <v>276.8366589346378</v>
      </c>
      <c r="S101" s="62">
        <f ca="1">AVERAGE(OFFSET($R$3,0,0,'Données projet'!$E$9+1,1))-AVERAGE(OFFSET($H$3,0,0,'Données projet'!$E$9+1,1))</f>
        <v>367.03450586441784</v>
      </c>
      <c r="T101" s="62">
        <f t="shared" si="88"/>
        <v>413.14502442862897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projet'!$B$9,Paramètres!$A$1:$I$88,7,0))</f>
        <v>0</v>
      </c>
      <c r="X101" s="17">
        <f>IF(ISNA(VLOOKUP(A101,'Données projet'!$A$35:$I$55,6,0)),0%,VLOOKUP(A101,'Données projet'!$A$35:$I$55,6,0)*VLOOKUP('Données projet'!$B$9,Paramètres!$A$1:$I$88,7,0))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projet'!$B$9,Paramètres!$A$1:$I$88,3,0)*0.475*44/12</f>
        <v>112.82798991342698</v>
      </c>
      <c r="AA101" s="23">
        <f>EXP(-LN(2)/25)*AA100+(1-EXP(-LN(2)/25))/(LN(2)/25)*Calculateur!V101*Calculateur!X101*VLOOKUP('Données projet'!$B$9,Paramètres!$A$1:$I$88,3,0)*0.475*44/12</f>
        <v>46.096402634091604</v>
      </c>
      <c r="AB101" s="23">
        <f>EXP(-LN(2)/2)*AB100+(1-EXP(-LN(2)/2))/(LN(2)/2)*V101*Y101*VLOOKUP('Données projet'!$B$9,Paramètres!$A$1:$I$88,3,0)*0.475*44/12</f>
        <v>0</v>
      </c>
      <c r="AC101" s="24">
        <f t="shared" si="57"/>
        <v>158.92439254751858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projet'!$B$10,Paramètres!$A$1:$I$88,3,0)*VLOOKUP('Données projet'!$B$10,Paramètres!$A$1:$I$88,5,0)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projet'!$B$10,Paramètres!$A$1:$I$88,7,0))</f>
        <v>0</v>
      </c>
      <c r="AS101" s="17">
        <f>IF(ISNA(VLOOKUP(A101,'Données projet'!$A$61:$I$81,6,0)),0%,VLOOKUP(A101,'Données projet'!$A$61:$I$81,6,0)*VLOOKUP('Données projet'!$B$10,Paramètres!$A$1:$I$88,7,0))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projet'!$B$10,Paramètres!$A$1:$I$88,3,0)*0.475*44/12</f>
        <v>#N/A</v>
      </c>
      <c r="AV101" s="23" t="e">
        <f>EXP(-LN(2)/25)*AV100+(1-EXP(-LN(2)/25))/(LN(2)/25)*Calculateur!AQ101*Calculateur!AS101*VLOOKUP('Données projet'!$B$10,Paramètres!$A$1:$I$88,3,0)*0.475*44/12</f>
        <v>#N/A</v>
      </c>
      <c r="AW101" s="23" t="e">
        <f>EXP(-LN(2)/2)*AW100+(1-EXP(-LN(2)/2))/(LN(2)/2)*AQ101*AT101*VLOOKUP('Données projet'!$B$10,Paramètres!$A$1:$I$88,3,0)*0.475*44/12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projet'!$B$11,Paramètres!$A$1:$I$88,3,0)*VLOOKUP('Données projet'!$B$11,Paramètres!$A$1:$I$88,5,0)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projet'!$B$11,Paramètres!$A$1:$I$88,7,0))</f>
        <v>0</v>
      </c>
      <c r="BN101" s="17">
        <f>IF(ISNA(VLOOKUP(A101,'Données projet'!$A$87:$I$107,6,0)),0%,VLOOKUP(A101,'Données projet'!$A$87:$I$107,6,0)*VLOOKUP('Données projet'!$B$11,Paramètres!$A$1:$I$88,7,0))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projet'!$B$11,Paramètres!$A$1:$I$88,3,0)*0.475*44/12</f>
        <v>#N/A</v>
      </c>
      <c r="BQ101" s="23" t="e">
        <f>EXP(-LN(2)/25)*BQ100+(1-EXP(-LN(2)/25))/(LN(2)/25)*Calculateur!BL101*Calculateur!BN101*VLOOKUP('Données projet'!$B$11,Paramètres!$A$1:$I$88,3,0)*0.475*44/12</f>
        <v>#N/A</v>
      </c>
      <c r="BR101" s="23" t="e">
        <f>EXP(-LN(2)/2)*BR100+(1-EXP(-LN(2)/2))/(LN(2)/2)*BL101*BO101*VLOOKUP('Données projet'!$B$11,Paramètres!$A$1:$I$88,3,0)*0.475*44/12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projet'!$B$12,Paramètres!$A$1:$I$88,3,0)*VLOOKUP('Données projet'!$B$12,Paramètres!$A$1:$I$88,5,0)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projet'!$B$12,Paramètres!$A$1:$I$88,7,0))</f>
        <v>0</v>
      </c>
      <c r="CI101" s="17">
        <f>IF(ISNA(VLOOKUP(A101,'Données projet'!$A$113:$I$133,6,0)),0%,VLOOKUP(A101,'Données projet'!$A$113:$I$133,6,0)*VLOOKUP('Données projet'!$B$12,Paramètres!$A$1:$I$88,7,0))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projet'!$B$12,Paramètres!$A$1:$I$88,3,0)*0.475*44/12</f>
        <v>#N/A</v>
      </c>
      <c r="CL101" s="23" t="e">
        <f>EXP(-LN(2)/25)*CL100+(1-EXP(-LN(2)/25))/(LN(2)/25)*Calculateur!CG101*Calculateur!CI101*VLOOKUP('Données projet'!$B$12,Paramètres!$A$1:$I$88,3,0)*0.475*44/12</f>
        <v>#N/A</v>
      </c>
      <c r="CM101" s="23" t="e">
        <f>EXP(-LN(2)/2)*CM100+(1-EXP(-LN(2)/2))/(LN(2)/2)*CG101*CJ101*VLOOKUP('Données projet'!$B$12,Paramètres!$A$1:$I$88,3,0)*0.475*44/12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projet'!$B$13,Paramètres!$A$1:$I$88,3,0)*VLOOKUP('Données projet'!$B$13,Paramètres!$A$1:$I$88,5,0)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projet'!$B$13,Paramètres!$A$1:$I$88,7,0))</f>
        <v>0</v>
      </c>
      <c r="DD101" s="17">
        <f>IF(ISNA(VLOOKUP(A101,'Données projet'!$A$139:$I$159,6,0)),0%,VLOOKUP(A101,'Données projet'!$A$139:$I$159,6,0)*VLOOKUP('Données projet'!$B$13,Paramètres!$A$1:$I$88,7,0))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projet'!$B$13,Paramètres!$A$1:$I$88,3,0)*0.475*44/12</f>
        <v>#N/A</v>
      </c>
      <c r="DG101" s="23" t="e">
        <f>EXP(-LN(2)/25)*DG100+(1-EXP(-LN(2)/25))/(LN(2)/25)*Calculateur!DB101*Calculateur!DD101*VLOOKUP('Données projet'!$B$13,Paramètres!$A$1:$I$88,3,0)*0.475*44/12</f>
        <v>#N/A</v>
      </c>
      <c r="DH101" s="23" t="e">
        <f>EXP(-LN(2)/2)*DH100+(1-EXP(-LN(2)/2))/(LN(2)/2)*DB101*DE101*VLOOKUP('Données projet'!$B$13,Paramètres!$A$1:$I$88,3,0)*0.475*44/12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projet'!$B$14,Paramètres!$A$1:$I$88,3,0)*VLOOKUP('Données projet'!$B$14,Paramètres!$A$1:$I$88,5,0)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projet'!$B$14,Paramètres!$A$1:$I$88,7,0))</f>
        <v>0</v>
      </c>
      <c r="DY101" s="17">
        <f>IF(ISNA(VLOOKUP(A101,'Données projet'!$A$165:$I$185,6,0)),0%,VLOOKUP(A101,'Données projet'!$A$165:$I$185,6,0)*VLOOKUP('Données projet'!$B$14,Paramètres!$A$1:$I$88,7,0))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projet'!$B$14,Paramètres!$A$1:$I$88,3,0)*0.475*44/12</f>
        <v>#N/A</v>
      </c>
      <c r="EB101" s="23" t="e">
        <f>EXP(-LN(2)/25)*EB100+(1-EXP(-LN(2)/25))/(LN(2)/25)*Calculateur!DW101*Calculateur!DY101*VLOOKUP('Données projet'!$B$14,Paramètres!$A$1:$I$88,3,0)*0.475*44/12</f>
        <v>#N/A</v>
      </c>
      <c r="EC101" s="23" t="e">
        <f>EXP(-LN(2)/2)*EC100+(1-EXP(-LN(2)/2))/(LN(2)/2)*DW101*DZ101*VLOOKUP('Données projet'!$B$14,Paramètres!$A$1:$I$88,3,0)*0.475*44/12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projet'!$B$15,Paramètres!$A$1:$I$88,3,0)*VLOOKUP('Données projet'!$B$15,Paramètres!$A$1:$I$88,5,0)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projet'!$B$15,Paramètres!$A$1:$I$88,7,0))</f>
        <v>0</v>
      </c>
      <c r="ET101" s="17">
        <f>IF(ISNA(VLOOKUP(A101,'Données projet'!$A$191:$I$211,6,0)),0%,VLOOKUP(A101,'Données projet'!$A$191:$I$211,6,0)*VLOOKUP('Données projet'!$B$15,Paramètres!$A$1:$I$88,7,0))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projet'!$B$15,Paramètres!$A$1:$I$88,3,0)*0.475*44/12</f>
        <v>#N/A</v>
      </c>
      <c r="EW101" s="23" t="e">
        <f>EXP(-LN(2)/25)*EW100+(1-EXP(-LN(2)/25))/(LN(2)/25)*Calculateur!ER101*Calculateur!ET101*VLOOKUP('Données projet'!$B$15,Paramètres!$A$1:$I$88,3,0)*0.475*44/12</f>
        <v>#N/A</v>
      </c>
      <c r="EX101" s="23" t="e">
        <f>EXP(-LN(2)/2)*EX100+(1-EXP(-LN(2)/2))/(LN(2)/2)*ER101*EU101*VLOOKUP('Données projet'!$B$15,Paramètres!$A$1:$I$88,3,0)*0.475*44/12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projet'!$B$16,Paramètres!$A$1:$I$88,3,0)*VLOOKUP('Données projet'!$B$16,Paramètres!$A$1:$I$88,5,0)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projet'!$B$16,Paramètres!$A$1:$I$88,7,0))</f>
        <v>0</v>
      </c>
      <c r="FO101" s="17">
        <f>IF(ISNA(VLOOKUP(A101,'Données projet'!$A$217:$I$237,6,0)),0%,VLOOKUP(A101,'Données projet'!$A$217:$I$237,6,0)*VLOOKUP('Données projet'!$B$16,Paramètres!$A$1:$I$88,7,0))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projet'!$B$16,Paramètres!$A$1:$I$88,3,0)*0.475*44/12</f>
        <v>#N/A</v>
      </c>
      <c r="FR101" s="23" t="e">
        <f>EXP(-LN(2)/25)*FR100+(1-EXP(-LN(2)/25))/(LN(2)/25)*Calculateur!FM101*Calculateur!FO101*VLOOKUP('Données projet'!$B$16,Paramètres!$A$1:$I$88,3,0)*0.475*44/12</f>
        <v>#N/A</v>
      </c>
      <c r="FS101" s="23" t="e">
        <f>EXP(-LN(2)/2)*FS100+(1-EXP(-LN(2)/2))/(LN(2)/2)*FM101*FP101*VLOOKUP('Données projet'!$B$16,Paramètres!$A$1:$I$88,3,0)*0.475*44/12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projet'!$B$17,Paramètres!$A$1:$I$88,3,0)*VLOOKUP('Données projet'!$B$17,Paramètres!$A$1:$I$88,5,0)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projet'!$B$17,Paramètres!$A$1:$I$88,7,0))</f>
        <v>0</v>
      </c>
      <c r="GJ101" s="17">
        <f>IF(ISNA(VLOOKUP(A101,'Données projet'!$A$243:$I$263,6,0)),0%,VLOOKUP(A101,'Données projet'!$A$243:$I$263,6,0)*VLOOKUP('Données projet'!$B$17,Paramètres!$A$1:$I$88,7,0))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projet'!$B$17,Paramètres!$A$1:$I$88,3,0)*0.475*44/12</f>
        <v>#N/A</v>
      </c>
      <c r="GM101" s="23" t="e">
        <f>EXP(-LN(2)/25)*GM100+(1-EXP(-LN(2)/25))/(LN(2)/25)*Calculateur!GH101*Calculateur!GJ101*VLOOKUP('Données projet'!$B$17,Paramètres!$A$1:$I$88,3,0)*0.475*44/12</f>
        <v>#N/A</v>
      </c>
      <c r="GN101" s="23" t="e">
        <f>EXP(-LN(2)/2)*GN100+(1-EXP(-LN(2)/2))/(LN(2)/2)*GH101*GK101*VLOOKUP('Données projet'!$B$17,Paramètres!$A$1:$I$88,3,0)*0.475*44/12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projet'!$B$18,Paramètres!$A$1:$I$88,3,0)*VLOOKUP('Données projet'!$B$18,Paramètres!$A$1:$I$88,5,0)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projet'!$B$18,Paramètres!$A$1:$I$88,7,0))</f>
        <v>0</v>
      </c>
      <c r="HE101" s="17">
        <f>IF(ISNA(VLOOKUP(A101,'Données projet'!$A$269:$I$289,6,0)),0%,VLOOKUP(A101,'Données projet'!$A$269:$I$289,6,0)*VLOOKUP('Données projet'!$B$18,Paramètres!$A$1:$I$88,7,0))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projet'!$B$18,Paramètres!$A$1:$I$88,3,0)*0.475*44/12</f>
        <v>#N/A</v>
      </c>
      <c r="HH101" s="23" t="e">
        <f>EXP(-LN(2)/25)*HH100+(1-EXP(-LN(2)/25))/(LN(2)/25)*Calculateur!HC101*Calculateur!HE101*VLOOKUP('Données projet'!$B$18,Paramètres!$A$1:$I$88,3,0)*0.475*44/12</f>
        <v>#N/A</v>
      </c>
      <c r="HI101" s="23" t="e">
        <f>EXP(-LN(2)/2)*HI100+(1-EXP(-LN(2)/2))/(LN(2)/2)*HC101*HF101*VLOOKUP('Données projet'!$B$18,Paramètres!$A$1:$I$88,3,0)*0.475*44/12</f>
        <v>#N/A</v>
      </c>
      <c r="HJ101" s="24" t="e">
        <f t="shared" si="84"/>
        <v>#N/A</v>
      </c>
    </row>
    <row r="102" spans="1:218" s="5" customFormat="1" x14ac:dyDescent="0.3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4.5474735088646412E-13</v>
      </c>
      <c r="O102" s="14">
        <f>N102*VLOOKUP('Données projet'!$B$9,Paramètres!$A$1:$I$88,3,0)*VLOOKUP('Données projet'!$B$9,Paramètres!$A$1:$I$88,5,0)</f>
        <v>2.5420376914553347E-13</v>
      </c>
      <c r="P102" s="14">
        <f t="shared" si="87"/>
        <v>3.4258699088369875E-12</v>
      </c>
      <c r="Q102" s="22">
        <f t="shared" si="107"/>
        <v>6.4094616558195571E-12</v>
      </c>
      <c r="R102" s="62">
        <f t="shared" si="55"/>
        <v>277.12283935441656</v>
      </c>
      <c r="S102" s="62">
        <f ca="1">AVERAGE(OFFSET($R$3,0,0,'Données projet'!$E$9+1,1))-AVERAGE(OFFSET($H$3,0,0,'Données projet'!$E$9+1,1))</f>
        <v>367.03450586441784</v>
      </c>
      <c r="T102" s="62">
        <f t="shared" si="88"/>
        <v>413.14502442862897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projet'!$B$9,Paramètres!$A$1:$I$88,7,0))</f>
        <v>0</v>
      </c>
      <c r="X102" s="17">
        <f>IF(ISNA(VLOOKUP(A102,'Données projet'!$A$35:$I$55,6,0)),0%,VLOOKUP(A102,'Données projet'!$A$35:$I$55,6,0)*VLOOKUP('Données projet'!$B$9,Paramètres!$A$1:$I$88,7,0))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projet'!$B$9,Paramètres!$A$1:$I$88,3,0)*0.475*44/12</f>
        <v>110.61550184950327</v>
      </c>
      <c r="AA102" s="23">
        <f>EXP(-LN(2)/25)*AA101+(1-EXP(-LN(2)/25))/(LN(2)/25)*Calculateur!V102*Calculateur!X102*VLOOKUP('Données projet'!$B$9,Paramètres!$A$1:$I$88,3,0)*0.475*44/12</f>
        <v>44.83589407995791</v>
      </c>
      <c r="AB102" s="23">
        <f>EXP(-LN(2)/2)*AB101+(1-EXP(-LN(2)/2))/(LN(2)/2)*V102*Y102*VLOOKUP('Données projet'!$B$9,Paramètres!$A$1:$I$88,3,0)*0.475*44/12</f>
        <v>0</v>
      </c>
      <c r="AC102" s="24">
        <f t="shared" si="57"/>
        <v>155.45139592946117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projet'!$B$10,Paramètres!$A$1:$I$88,3,0)*VLOOKUP('Données projet'!$B$10,Paramètres!$A$1:$I$88,5,0)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projet'!$B$10,Paramètres!$A$1:$I$88,7,0))</f>
        <v>0</v>
      </c>
      <c r="AS102" s="17">
        <f>IF(ISNA(VLOOKUP(A102,'Données projet'!$A$61:$I$81,6,0)),0%,VLOOKUP(A102,'Données projet'!$A$61:$I$81,6,0)*VLOOKUP('Données projet'!$B$10,Paramètres!$A$1:$I$88,7,0))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projet'!$B$10,Paramètres!$A$1:$I$88,3,0)*0.475*44/12</f>
        <v>#N/A</v>
      </c>
      <c r="AV102" s="23" t="e">
        <f>EXP(-LN(2)/25)*AV101+(1-EXP(-LN(2)/25))/(LN(2)/25)*Calculateur!AQ102*Calculateur!AS102*VLOOKUP('Données projet'!$B$10,Paramètres!$A$1:$I$88,3,0)*0.475*44/12</f>
        <v>#N/A</v>
      </c>
      <c r="AW102" s="23" t="e">
        <f>EXP(-LN(2)/2)*AW101+(1-EXP(-LN(2)/2))/(LN(2)/2)*AQ102*AT102*VLOOKUP('Données projet'!$B$10,Paramètres!$A$1:$I$88,3,0)*0.475*44/12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projet'!$B$11,Paramètres!$A$1:$I$88,3,0)*VLOOKUP('Données projet'!$B$11,Paramètres!$A$1:$I$88,5,0)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projet'!$B$11,Paramètres!$A$1:$I$88,7,0))</f>
        <v>0</v>
      </c>
      <c r="BN102" s="17">
        <f>IF(ISNA(VLOOKUP(A102,'Données projet'!$A$87:$I$107,6,0)),0%,VLOOKUP(A102,'Données projet'!$A$87:$I$107,6,0)*VLOOKUP('Données projet'!$B$11,Paramètres!$A$1:$I$88,7,0))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projet'!$B$11,Paramètres!$A$1:$I$88,3,0)*0.475*44/12</f>
        <v>#N/A</v>
      </c>
      <c r="BQ102" s="23" t="e">
        <f>EXP(-LN(2)/25)*BQ101+(1-EXP(-LN(2)/25))/(LN(2)/25)*Calculateur!BL102*Calculateur!BN102*VLOOKUP('Données projet'!$B$11,Paramètres!$A$1:$I$88,3,0)*0.475*44/12</f>
        <v>#N/A</v>
      </c>
      <c r="BR102" s="23" t="e">
        <f>EXP(-LN(2)/2)*BR101+(1-EXP(-LN(2)/2))/(LN(2)/2)*BL102*BO102*VLOOKUP('Données projet'!$B$11,Paramètres!$A$1:$I$88,3,0)*0.475*44/12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projet'!$B$12,Paramètres!$A$1:$I$88,3,0)*VLOOKUP('Données projet'!$B$12,Paramètres!$A$1:$I$88,5,0)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projet'!$B$12,Paramètres!$A$1:$I$88,7,0))</f>
        <v>0</v>
      </c>
      <c r="CI102" s="17">
        <f>IF(ISNA(VLOOKUP(A102,'Données projet'!$A$113:$I$133,6,0)),0%,VLOOKUP(A102,'Données projet'!$A$113:$I$133,6,0)*VLOOKUP('Données projet'!$B$12,Paramètres!$A$1:$I$88,7,0))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projet'!$B$12,Paramètres!$A$1:$I$88,3,0)*0.475*44/12</f>
        <v>#N/A</v>
      </c>
      <c r="CL102" s="23" t="e">
        <f>EXP(-LN(2)/25)*CL101+(1-EXP(-LN(2)/25))/(LN(2)/25)*Calculateur!CG102*Calculateur!CI102*VLOOKUP('Données projet'!$B$12,Paramètres!$A$1:$I$88,3,0)*0.475*44/12</f>
        <v>#N/A</v>
      </c>
      <c r="CM102" s="23" t="e">
        <f>EXP(-LN(2)/2)*CM101+(1-EXP(-LN(2)/2))/(LN(2)/2)*CG102*CJ102*VLOOKUP('Données projet'!$B$12,Paramètres!$A$1:$I$88,3,0)*0.475*44/12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projet'!$B$13,Paramètres!$A$1:$I$88,3,0)*VLOOKUP('Données projet'!$B$13,Paramètres!$A$1:$I$88,5,0)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projet'!$B$13,Paramètres!$A$1:$I$88,7,0))</f>
        <v>0</v>
      </c>
      <c r="DD102" s="17">
        <f>IF(ISNA(VLOOKUP(A102,'Données projet'!$A$139:$I$159,6,0)),0%,VLOOKUP(A102,'Données projet'!$A$139:$I$159,6,0)*VLOOKUP('Données projet'!$B$13,Paramètres!$A$1:$I$88,7,0))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projet'!$B$13,Paramètres!$A$1:$I$88,3,0)*0.475*44/12</f>
        <v>#N/A</v>
      </c>
      <c r="DG102" s="23" t="e">
        <f>EXP(-LN(2)/25)*DG101+(1-EXP(-LN(2)/25))/(LN(2)/25)*Calculateur!DB102*Calculateur!DD102*VLOOKUP('Données projet'!$B$13,Paramètres!$A$1:$I$88,3,0)*0.475*44/12</f>
        <v>#N/A</v>
      </c>
      <c r="DH102" s="23" t="e">
        <f>EXP(-LN(2)/2)*DH101+(1-EXP(-LN(2)/2))/(LN(2)/2)*DB102*DE102*VLOOKUP('Données projet'!$B$13,Paramètres!$A$1:$I$88,3,0)*0.475*44/12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projet'!$B$14,Paramètres!$A$1:$I$88,3,0)*VLOOKUP('Données projet'!$B$14,Paramètres!$A$1:$I$88,5,0)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projet'!$B$14,Paramètres!$A$1:$I$88,7,0))</f>
        <v>0</v>
      </c>
      <c r="DY102" s="17">
        <f>IF(ISNA(VLOOKUP(A102,'Données projet'!$A$165:$I$185,6,0)),0%,VLOOKUP(A102,'Données projet'!$A$165:$I$185,6,0)*VLOOKUP('Données projet'!$B$14,Paramètres!$A$1:$I$88,7,0))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projet'!$B$14,Paramètres!$A$1:$I$88,3,0)*0.475*44/12</f>
        <v>#N/A</v>
      </c>
      <c r="EB102" s="23" t="e">
        <f>EXP(-LN(2)/25)*EB101+(1-EXP(-LN(2)/25))/(LN(2)/25)*Calculateur!DW102*Calculateur!DY102*VLOOKUP('Données projet'!$B$14,Paramètres!$A$1:$I$88,3,0)*0.475*44/12</f>
        <v>#N/A</v>
      </c>
      <c r="EC102" s="23" t="e">
        <f>EXP(-LN(2)/2)*EC101+(1-EXP(-LN(2)/2))/(LN(2)/2)*DW102*DZ102*VLOOKUP('Données projet'!$B$14,Paramètres!$A$1:$I$88,3,0)*0.475*44/12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projet'!$B$15,Paramètres!$A$1:$I$88,3,0)*VLOOKUP('Données projet'!$B$15,Paramètres!$A$1:$I$88,5,0)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projet'!$B$15,Paramètres!$A$1:$I$88,7,0))</f>
        <v>0</v>
      </c>
      <c r="ET102" s="17">
        <f>IF(ISNA(VLOOKUP(A102,'Données projet'!$A$191:$I$211,6,0)),0%,VLOOKUP(A102,'Données projet'!$A$191:$I$211,6,0)*VLOOKUP('Données projet'!$B$15,Paramètres!$A$1:$I$88,7,0))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projet'!$B$15,Paramètres!$A$1:$I$88,3,0)*0.475*44/12</f>
        <v>#N/A</v>
      </c>
      <c r="EW102" s="23" t="e">
        <f>EXP(-LN(2)/25)*EW101+(1-EXP(-LN(2)/25))/(LN(2)/25)*Calculateur!ER102*Calculateur!ET102*VLOOKUP('Données projet'!$B$15,Paramètres!$A$1:$I$88,3,0)*0.475*44/12</f>
        <v>#N/A</v>
      </c>
      <c r="EX102" s="23" t="e">
        <f>EXP(-LN(2)/2)*EX101+(1-EXP(-LN(2)/2))/(LN(2)/2)*ER102*EU102*VLOOKUP('Données projet'!$B$15,Paramètres!$A$1:$I$88,3,0)*0.475*44/12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projet'!$B$16,Paramètres!$A$1:$I$88,3,0)*VLOOKUP('Données projet'!$B$16,Paramètres!$A$1:$I$88,5,0)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projet'!$B$16,Paramètres!$A$1:$I$88,7,0))</f>
        <v>0</v>
      </c>
      <c r="FO102" s="17">
        <f>IF(ISNA(VLOOKUP(A102,'Données projet'!$A$217:$I$237,6,0)),0%,VLOOKUP(A102,'Données projet'!$A$217:$I$237,6,0)*VLOOKUP('Données projet'!$B$16,Paramètres!$A$1:$I$88,7,0))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projet'!$B$16,Paramètres!$A$1:$I$88,3,0)*0.475*44/12</f>
        <v>#N/A</v>
      </c>
      <c r="FR102" s="23" t="e">
        <f>EXP(-LN(2)/25)*FR101+(1-EXP(-LN(2)/25))/(LN(2)/25)*Calculateur!FM102*Calculateur!FO102*VLOOKUP('Données projet'!$B$16,Paramètres!$A$1:$I$88,3,0)*0.475*44/12</f>
        <v>#N/A</v>
      </c>
      <c r="FS102" s="23" t="e">
        <f>EXP(-LN(2)/2)*FS101+(1-EXP(-LN(2)/2))/(LN(2)/2)*FM102*FP102*VLOOKUP('Données projet'!$B$16,Paramètres!$A$1:$I$88,3,0)*0.475*44/12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projet'!$B$17,Paramètres!$A$1:$I$88,3,0)*VLOOKUP('Données projet'!$B$17,Paramètres!$A$1:$I$88,5,0)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projet'!$B$17,Paramètres!$A$1:$I$88,7,0))</f>
        <v>0</v>
      </c>
      <c r="GJ102" s="17">
        <f>IF(ISNA(VLOOKUP(A102,'Données projet'!$A$243:$I$263,6,0)),0%,VLOOKUP(A102,'Données projet'!$A$243:$I$263,6,0)*VLOOKUP('Données projet'!$B$17,Paramètres!$A$1:$I$88,7,0))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projet'!$B$17,Paramètres!$A$1:$I$88,3,0)*0.475*44/12</f>
        <v>#N/A</v>
      </c>
      <c r="GM102" s="23" t="e">
        <f>EXP(-LN(2)/25)*GM101+(1-EXP(-LN(2)/25))/(LN(2)/25)*Calculateur!GH102*Calculateur!GJ102*VLOOKUP('Données projet'!$B$17,Paramètres!$A$1:$I$88,3,0)*0.475*44/12</f>
        <v>#N/A</v>
      </c>
      <c r="GN102" s="23" t="e">
        <f>EXP(-LN(2)/2)*GN101+(1-EXP(-LN(2)/2))/(LN(2)/2)*GH102*GK102*VLOOKUP('Données projet'!$B$17,Paramètres!$A$1:$I$88,3,0)*0.475*44/12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projet'!$B$18,Paramètres!$A$1:$I$88,3,0)*VLOOKUP('Données projet'!$B$18,Paramètres!$A$1:$I$88,5,0)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projet'!$B$18,Paramètres!$A$1:$I$88,7,0))</f>
        <v>0</v>
      </c>
      <c r="HE102" s="17">
        <f>IF(ISNA(VLOOKUP(A102,'Données projet'!$A$269:$I$289,6,0)),0%,VLOOKUP(A102,'Données projet'!$A$269:$I$289,6,0)*VLOOKUP('Données projet'!$B$18,Paramètres!$A$1:$I$88,7,0))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projet'!$B$18,Paramètres!$A$1:$I$88,3,0)*0.475*44/12</f>
        <v>#N/A</v>
      </c>
      <c r="HH102" s="23" t="e">
        <f>EXP(-LN(2)/25)*HH101+(1-EXP(-LN(2)/25))/(LN(2)/25)*Calculateur!HC102*Calculateur!HE102*VLOOKUP('Données projet'!$B$18,Paramètres!$A$1:$I$88,3,0)*0.475*44/12</f>
        <v>#N/A</v>
      </c>
      <c r="HI102" s="23" t="e">
        <f>EXP(-LN(2)/2)*HI101+(1-EXP(-LN(2)/2))/(LN(2)/2)*HC102*HF102*VLOOKUP('Données projet'!$B$18,Paramètres!$A$1:$I$88,3,0)*0.475*44/12</f>
        <v>#N/A</v>
      </c>
      <c r="HJ102" s="24" t="e">
        <f t="shared" si="84"/>
        <v>#N/A</v>
      </c>
    </row>
    <row r="103" spans="1:218" s="5" customFormat="1" x14ac:dyDescent="0.3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4.5474735088646412E-13</v>
      </c>
      <c r="O103" s="14">
        <f>N103*VLOOKUP('Données projet'!$B$9,Paramètres!$A$1:$I$88,3,0)*VLOOKUP('Données projet'!$B$9,Paramètres!$A$1:$I$88,5,0)</f>
        <v>2.5420376914553347E-13</v>
      </c>
      <c r="P103" s="14">
        <f t="shared" si="87"/>
        <v>3.4258699088369875E-12</v>
      </c>
      <c r="Q103" s="22">
        <f t="shared" si="107"/>
        <v>6.4094616558195571E-12</v>
      </c>
      <c r="R103" s="62">
        <f t="shared" si="55"/>
        <v>277.40405518371563</v>
      </c>
      <c r="S103" s="62">
        <f ca="1">AVERAGE(OFFSET($R$3,0,0,'Données projet'!$E$9+1,1))-AVERAGE(OFFSET($H$3,0,0,'Données projet'!$E$9+1,1))</f>
        <v>367.03450586441784</v>
      </c>
      <c r="T103" s="62">
        <f t="shared" si="88"/>
        <v>413.14502442862897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projet'!$B$9,Paramètres!$A$1:$I$88,7,0))</f>
        <v>0</v>
      </c>
      <c r="X103" s="17">
        <f>IF(ISNA(VLOOKUP(A103,'Données projet'!$A$35:$I$55,6,0)),0%,VLOOKUP(A103,'Données projet'!$A$35:$I$55,6,0)*VLOOKUP('Données projet'!$B$9,Paramètres!$A$1:$I$88,7,0))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projet'!$B$9,Paramètres!$A$1:$I$88,3,0)*0.475*44/12</f>
        <v>108.44639932702866</v>
      </c>
      <c r="AA103" s="23">
        <f>EXP(-LN(2)/25)*AA102+(1-EXP(-LN(2)/25))/(LN(2)/25)*Calculateur!V103*Calculateur!X103*VLOOKUP('Données projet'!$B$9,Paramètres!$A$1:$I$88,3,0)*0.475*44/12</f>
        <v>43.609854198524268</v>
      </c>
      <c r="AB103" s="23">
        <f>EXP(-LN(2)/2)*AB102+(1-EXP(-LN(2)/2))/(LN(2)/2)*V103*Y103*VLOOKUP('Données projet'!$B$9,Paramètres!$A$1:$I$88,3,0)*0.475*44/12</f>
        <v>0</v>
      </c>
      <c r="AC103" s="24">
        <f t="shared" si="57"/>
        <v>152.05625352555293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projet'!$B$10,Paramètres!$A$1:$I$88,3,0)*VLOOKUP('Données projet'!$B$10,Paramètres!$A$1:$I$88,5,0)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projet'!$B$10,Paramètres!$A$1:$I$88,7,0))</f>
        <v>0</v>
      </c>
      <c r="AS103" s="17">
        <f>IF(ISNA(VLOOKUP(A103,'Données projet'!$A$61:$I$81,6,0)),0%,VLOOKUP(A103,'Données projet'!$A$61:$I$81,6,0)*VLOOKUP('Données projet'!$B$10,Paramètres!$A$1:$I$88,7,0))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projet'!$B$10,Paramètres!$A$1:$I$88,3,0)*0.475*44/12</f>
        <v>#N/A</v>
      </c>
      <c r="AV103" s="23" t="e">
        <f>EXP(-LN(2)/25)*AV102+(1-EXP(-LN(2)/25))/(LN(2)/25)*Calculateur!AQ103*Calculateur!AS103*VLOOKUP('Données projet'!$B$10,Paramètres!$A$1:$I$88,3,0)*0.475*44/12</f>
        <v>#N/A</v>
      </c>
      <c r="AW103" s="23" t="e">
        <f>EXP(-LN(2)/2)*AW102+(1-EXP(-LN(2)/2))/(LN(2)/2)*AQ103*AT103*VLOOKUP('Données projet'!$B$10,Paramètres!$A$1:$I$88,3,0)*0.475*44/12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projet'!$B$11,Paramètres!$A$1:$I$88,3,0)*VLOOKUP('Données projet'!$B$11,Paramètres!$A$1:$I$88,5,0)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projet'!$B$11,Paramètres!$A$1:$I$88,7,0))</f>
        <v>0</v>
      </c>
      <c r="BN103" s="17">
        <f>IF(ISNA(VLOOKUP(A103,'Données projet'!$A$87:$I$107,6,0)),0%,VLOOKUP(A103,'Données projet'!$A$87:$I$107,6,0)*VLOOKUP('Données projet'!$B$11,Paramètres!$A$1:$I$88,7,0))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projet'!$B$11,Paramètres!$A$1:$I$88,3,0)*0.475*44/12</f>
        <v>#N/A</v>
      </c>
      <c r="BQ103" s="23" t="e">
        <f>EXP(-LN(2)/25)*BQ102+(1-EXP(-LN(2)/25))/(LN(2)/25)*Calculateur!BL103*Calculateur!BN103*VLOOKUP('Données projet'!$B$11,Paramètres!$A$1:$I$88,3,0)*0.475*44/12</f>
        <v>#N/A</v>
      </c>
      <c r="BR103" s="23" t="e">
        <f>EXP(-LN(2)/2)*BR102+(1-EXP(-LN(2)/2))/(LN(2)/2)*BL103*BO103*VLOOKUP('Données projet'!$B$11,Paramètres!$A$1:$I$88,3,0)*0.475*44/12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projet'!$B$12,Paramètres!$A$1:$I$88,3,0)*VLOOKUP('Données projet'!$B$12,Paramètres!$A$1:$I$88,5,0)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projet'!$B$12,Paramètres!$A$1:$I$88,7,0))</f>
        <v>0</v>
      </c>
      <c r="CI103" s="17">
        <f>IF(ISNA(VLOOKUP(A103,'Données projet'!$A$113:$I$133,6,0)),0%,VLOOKUP(A103,'Données projet'!$A$113:$I$133,6,0)*VLOOKUP('Données projet'!$B$12,Paramètres!$A$1:$I$88,7,0))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projet'!$B$12,Paramètres!$A$1:$I$88,3,0)*0.475*44/12</f>
        <v>#N/A</v>
      </c>
      <c r="CL103" s="23" t="e">
        <f>EXP(-LN(2)/25)*CL102+(1-EXP(-LN(2)/25))/(LN(2)/25)*Calculateur!CG103*Calculateur!CI103*VLOOKUP('Données projet'!$B$12,Paramètres!$A$1:$I$88,3,0)*0.475*44/12</f>
        <v>#N/A</v>
      </c>
      <c r="CM103" s="23" t="e">
        <f>EXP(-LN(2)/2)*CM102+(1-EXP(-LN(2)/2))/(LN(2)/2)*CG103*CJ103*VLOOKUP('Données projet'!$B$12,Paramètres!$A$1:$I$88,3,0)*0.475*44/12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projet'!$B$13,Paramètres!$A$1:$I$88,3,0)*VLOOKUP('Données projet'!$B$13,Paramètres!$A$1:$I$88,5,0)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projet'!$B$13,Paramètres!$A$1:$I$88,7,0))</f>
        <v>0</v>
      </c>
      <c r="DD103" s="17">
        <f>IF(ISNA(VLOOKUP(A103,'Données projet'!$A$139:$I$159,6,0)),0%,VLOOKUP(A103,'Données projet'!$A$139:$I$159,6,0)*VLOOKUP('Données projet'!$B$13,Paramètres!$A$1:$I$88,7,0))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projet'!$B$13,Paramètres!$A$1:$I$88,3,0)*0.475*44/12</f>
        <v>#N/A</v>
      </c>
      <c r="DG103" s="23" t="e">
        <f>EXP(-LN(2)/25)*DG102+(1-EXP(-LN(2)/25))/(LN(2)/25)*Calculateur!DB103*Calculateur!DD103*VLOOKUP('Données projet'!$B$13,Paramètres!$A$1:$I$88,3,0)*0.475*44/12</f>
        <v>#N/A</v>
      </c>
      <c r="DH103" s="23" t="e">
        <f>EXP(-LN(2)/2)*DH102+(1-EXP(-LN(2)/2))/(LN(2)/2)*DB103*DE103*VLOOKUP('Données projet'!$B$13,Paramètres!$A$1:$I$88,3,0)*0.475*44/12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projet'!$B$14,Paramètres!$A$1:$I$88,3,0)*VLOOKUP('Données projet'!$B$14,Paramètres!$A$1:$I$88,5,0)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projet'!$B$14,Paramètres!$A$1:$I$88,7,0))</f>
        <v>0</v>
      </c>
      <c r="DY103" s="17">
        <f>IF(ISNA(VLOOKUP(A103,'Données projet'!$A$165:$I$185,6,0)),0%,VLOOKUP(A103,'Données projet'!$A$165:$I$185,6,0)*VLOOKUP('Données projet'!$B$14,Paramètres!$A$1:$I$88,7,0))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projet'!$B$14,Paramètres!$A$1:$I$88,3,0)*0.475*44/12</f>
        <v>#N/A</v>
      </c>
      <c r="EB103" s="23" t="e">
        <f>EXP(-LN(2)/25)*EB102+(1-EXP(-LN(2)/25))/(LN(2)/25)*Calculateur!DW103*Calculateur!DY103*VLOOKUP('Données projet'!$B$14,Paramètres!$A$1:$I$88,3,0)*0.475*44/12</f>
        <v>#N/A</v>
      </c>
      <c r="EC103" s="23" t="e">
        <f>EXP(-LN(2)/2)*EC102+(1-EXP(-LN(2)/2))/(LN(2)/2)*DW103*DZ103*VLOOKUP('Données projet'!$B$14,Paramètres!$A$1:$I$88,3,0)*0.475*44/12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projet'!$B$15,Paramètres!$A$1:$I$88,3,0)*VLOOKUP('Données projet'!$B$15,Paramètres!$A$1:$I$88,5,0)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projet'!$B$15,Paramètres!$A$1:$I$88,7,0))</f>
        <v>0</v>
      </c>
      <c r="ET103" s="17">
        <f>IF(ISNA(VLOOKUP(A103,'Données projet'!$A$191:$I$211,6,0)),0%,VLOOKUP(A103,'Données projet'!$A$191:$I$211,6,0)*VLOOKUP('Données projet'!$B$15,Paramètres!$A$1:$I$88,7,0))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projet'!$B$15,Paramètres!$A$1:$I$88,3,0)*0.475*44/12</f>
        <v>#N/A</v>
      </c>
      <c r="EW103" s="23" t="e">
        <f>EXP(-LN(2)/25)*EW102+(1-EXP(-LN(2)/25))/(LN(2)/25)*Calculateur!ER103*Calculateur!ET103*VLOOKUP('Données projet'!$B$15,Paramètres!$A$1:$I$88,3,0)*0.475*44/12</f>
        <v>#N/A</v>
      </c>
      <c r="EX103" s="23" t="e">
        <f>EXP(-LN(2)/2)*EX102+(1-EXP(-LN(2)/2))/(LN(2)/2)*ER103*EU103*VLOOKUP('Données projet'!$B$15,Paramètres!$A$1:$I$88,3,0)*0.475*44/12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projet'!$B$16,Paramètres!$A$1:$I$88,3,0)*VLOOKUP('Données projet'!$B$16,Paramètres!$A$1:$I$88,5,0)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projet'!$B$16,Paramètres!$A$1:$I$88,7,0))</f>
        <v>0</v>
      </c>
      <c r="FO103" s="17">
        <f>IF(ISNA(VLOOKUP(A103,'Données projet'!$A$217:$I$237,6,0)),0%,VLOOKUP(A103,'Données projet'!$A$217:$I$237,6,0)*VLOOKUP('Données projet'!$B$16,Paramètres!$A$1:$I$88,7,0))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projet'!$B$16,Paramètres!$A$1:$I$88,3,0)*0.475*44/12</f>
        <v>#N/A</v>
      </c>
      <c r="FR103" s="23" t="e">
        <f>EXP(-LN(2)/25)*FR102+(1-EXP(-LN(2)/25))/(LN(2)/25)*Calculateur!FM103*Calculateur!FO103*VLOOKUP('Données projet'!$B$16,Paramètres!$A$1:$I$88,3,0)*0.475*44/12</f>
        <v>#N/A</v>
      </c>
      <c r="FS103" s="23" t="e">
        <f>EXP(-LN(2)/2)*FS102+(1-EXP(-LN(2)/2))/(LN(2)/2)*FM103*FP103*VLOOKUP('Données projet'!$B$16,Paramètres!$A$1:$I$88,3,0)*0.475*44/12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projet'!$B$17,Paramètres!$A$1:$I$88,3,0)*VLOOKUP('Données projet'!$B$17,Paramètres!$A$1:$I$88,5,0)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projet'!$B$17,Paramètres!$A$1:$I$88,7,0))</f>
        <v>0</v>
      </c>
      <c r="GJ103" s="17">
        <f>IF(ISNA(VLOOKUP(A103,'Données projet'!$A$243:$I$263,6,0)),0%,VLOOKUP(A103,'Données projet'!$A$243:$I$263,6,0)*VLOOKUP('Données projet'!$B$17,Paramètres!$A$1:$I$88,7,0))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projet'!$B$17,Paramètres!$A$1:$I$88,3,0)*0.475*44/12</f>
        <v>#N/A</v>
      </c>
      <c r="GM103" s="23" t="e">
        <f>EXP(-LN(2)/25)*GM102+(1-EXP(-LN(2)/25))/(LN(2)/25)*Calculateur!GH103*Calculateur!GJ103*VLOOKUP('Données projet'!$B$17,Paramètres!$A$1:$I$88,3,0)*0.475*44/12</f>
        <v>#N/A</v>
      </c>
      <c r="GN103" s="23" t="e">
        <f>EXP(-LN(2)/2)*GN102+(1-EXP(-LN(2)/2))/(LN(2)/2)*GH103*GK103*VLOOKUP('Données projet'!$B$17,Paramètres!$A$1:$I$88,3,0)*0.475*44/12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projet'!$B$18,Paramètres!$A$1:$I$88,3,0)*VLOOKUP('Données projet'!$B$18,Paramètres!$A$1:$I$88,5,0)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projet'!$B$18,Paramètres!$A$1:$I$88,7,0))</f>
        <v>0</v>
      </c>
      <c r="HE103" s="17">
        <f>IF(ISNA(VLOOKUP(A103,'Données projet'!$A$269:$I$289,6,0)),0%,VLOOKUP(A103,'Données projet'!$A$269:$I$289,6,0)*VLOOKUP('Données projet'!$B$18,Paramètres!$A$1:$I$88,7,0))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projet'!$B$18,Paramètres!$A$1:$I$88,3,0)*0.475*44/12</f>
        <v>#N/A</v>
      </c>
      <c r="HH103" s="23" t="e">
        <f>EXP(-LN(2)/25)*HH102+(1-EXP(-LN(2)/25))/(LN(2)/25)*Calculateur!HC103*Calculateur!HE103*VLOOKUP('Données projet'!$B$18,Paramètres!$A$1:$I$88,3,0)*0.475*44/12</f>
        <v>#N/A</v>
      </c>
      <c r="HI103" s="23" t="e">
        <f>EXP(-LN(2)/2)*HI102+(1-EXP(-LN(2)/2))/(LN(2)/2)*HC103*HF103*VLOOKUP('Données projet'!$B$18,Paramètres!$A$1:$I$88,3,0)*0.475*44/12</f>
        <v>#N/A</v>
      </c>
      <c r="HJ103" s="24" t="e">
        <f t="shared" si="84"/>
        <v>#N/A</v>
      </c>
    </row>
    <row r="104" spans="1:218" s="5" customFormat="1" x14ac:dyDescent="0.3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4.5474735088646412E-13</v>
      </c>
      <c r="O104" s="14">
        <f>N104*VLOOKUP('Données projet'!$B$9,Paramètres!$A$1:$I$88,3,0)*VLOOKUP('Données projet'!$B$9,Paramètres!$A$1:$I$88,5,0)</f>
        <v>2.5420376914553347E-13</v>
      </c>
      <c r="P104" s="14">
        <f t="shared" si="87"/>
        <v>3.4258699088369875E-12</v>
      </c>
      <c r="Q104" s="22">
        <f t="shared" si="107"/>
        <v>6.4094616558195571E-12</v>
      </c>
      <c r="R104" s="62">
        <f t="shared" si="55"/>
        <v>277.68039254708083</v>
      </c>
      <c r="S104" s="62">
        <f ca="1">AVERAGE(OFFSET($R$3,0,0,'Données projet'!$E$9+1,1))-AVERAGE(OFFSET($H$3,0,0,'Données projet'!$E$9+1,1))</f>
        <v>367.03450586441784</v>
      </c>
      <c r="T104" s="62">
        <f t="shared" si="88"/>
        <v>413.14502442862897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projet'!$B$9,Paramètres!$A$1:$I$88,7,0))</f>
        <v>0</v>
      </c>
      <c r="X104" s="17">
        <f>IF(ISNA(VLOOKUP(A104,'Données projet'!$A$35:$I$55,6,0)),0%,VLOOKUP(A104,'Données projet'!$A$35:$I$55,6,0)*VLOOKUP('Données projet'!$B$9,Paramètres!$A$1:$I$88,7,0))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projet'!$B$9,Paramètres!$A$1:$I$88,3,0)*0.475*44/12</f>
        <v>106.31983158199786</v>
      </c>
      <c r="AA104" s="23">
        <f>EXP(-LN(2)/25)*AA103+(1-EXP(-LN(2)/25))/(LN(2)/25)*Calculateur!V104*Calculateur!X104*VLOOKUP('Données projet'!$B$9,Paramètres!$A$1:$I$88,3,0)*0.475*44/12</f>
        <v>42.417340442123063</v>
      </c>
      <c r="AB104" s="23">
        <f>EXP(-LN(2)/2)*AB103+(1-EXP(-LN(2)/2))/(LN(2)/2)*V104*Y104*VLOOKUP('Données projet'!$B$9,Paramètres!$A$1:$I$88,3,0)*0.475*44/12</f>
        <v>0</v>
      </c>
      <c r="AC104" s="24">
        <f t="shared" si="57"/>
        <v>148.73717202412092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projet'!$B$10,Paramètres!$A$1:$I$88,3,0)*VLOOKUP('Données projet'!$B$10,Paramètres!$A$1:$I$88,5,0)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projet'!$B$10,Paramètres!$A$1:$I$88,7,0))</f>
        <v>0</v>
      </c>
      <c r="AS104" s="17">
        <f>IF(ISNA(VLOOKUP(A104,'Données projet'!$A$61:$I$81,6,0)),0%,VLOOKUP(A104,'Données projet'!$A$61:$I$81,6,0)*VLOOKUP('Données projet'!$B$10,Paramètres!$A$1:$I$88,7,0))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projet'!$B$10,Paramètres!$A$1:$I$88,3,0)*0.475*44/12</f>
        <v>#N/A</v>
      </c>
      <c r="AV104" s="23" t="e">
        <f>EXP(-LN(2)/25)*AV103+(1-EXP(-LN(2)/25))/(LN(2)/25)*Calculateur!AQ104*Calculateur!AS104*VLOOKUP('Données projet'!$B$10,Paramètres!$A$1:$I$88,3,0)*0.475*44/12</f>
        <v>#N/A</v>
      </c>
      <c r="AW104" s="23" t="e">
        <f>EXP(-LN(2)/2)*AW103+(1-EXP(-LN(2)/2))/(LN(2)/2)*AQ104*AT104*VLOOKUP('Données projet'!$B$10,Paramètres!$A$1:$I$88,3,0)*0.475*44/12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projet'!$B$11,Paramètres!$A$1:$I$88,3,0)*VLOOKUP('Données projet'!$B$11,Paramètres!$A$1:$I$88,5,0)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projet'!$B$11,Paramètres!$A$1:$I$88,7,0))</f>
        <v>0</v>
      </c>
      <c r="BN104" s="17">
        <f>IF(ISNA(VLOOKUP(A104,'Données projet'!$A$87:$I$107,6,0)),0%,VLOOKUP(A104,'Données projet'!$A$87:$I$107,6,0)*VLOOKUP('Données projet'!$B$11,Paramètres!$A$1:$I$88,7,0))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projet'!$B$11,Paramètres!$A$1:$I$88,3,0)*0.475*44/12</f>
        <v>#N/A</v>
      </c>
      <c r="BQ104" s="23" t="e">
        <f>EXP(-LN(2)/25)*BQ103+(1-EXP(-LN(2)/25))/(LN(2)/25)*Calculateur!BL104*Calculateur!BN104*VLOOKUP('Données projet'!$B$11,Paramètres!$A$1:$I$88,3,0)*0.475*44/12</f>
        <v>#N/A</v>
      </c>
      <c r="BR104" s="23" t="e">
        <f>EXP(-LN(2)/2)*BR103+(1-EXP(-LN(2)/2))/(LN(2)/2)*BL104*BO104*VLOOKUP('Données projet'!$B$11,Paramètres!$A$1:$I$88,3,0)*0.475*44/12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projet'!$B$12,Paramètres!$A$1:$I$88,3,0)*VLOOKUP('Données projet'!$B$12,Paramètres!$A$1:$I$88,5,0)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projet'!$B$12,Paramètres!$A$1:$I$88,7,0))</f>
        <v>0</v>
      </c>
      <c r="CI104" s="17">
        <f>IF(ISNA(VLOOKUP(A104,'Données projet'!$A$113:$I$133,6,0)),0%,VLOOKUP(A104,'Données projet'!$A$113:$I$133,6,0)*VLOOKUP('Données projet'!$B$12,Paramètres!$A$1:$I$88,7,0))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projet'!$B$12,Paramètres!$A$1:$I$88,3,0)*0.475*44/12</f>
        <v>#N/A</v>
      </c>
      <c r="CL104" s="23" t="e">
        <f>EXP(-LN(2)/25)*CL103+(1-EXP(-LN(2)/25))/(LN(2)/25)*Calculateur!CG104*Calculateur!CI104*VLOOKUP('Données projet'!$B$12,Paramètres!$A$1:$I$88,3,0)*0.475*44/12</f>
        <v>#N/A</v>
      </c>
      <c r="CM104" s="23" t="e">
        <f>EXP(-LN(2)/2)*CM103+(1-EXP(-LN(2)/2))/(LN(2)/2)*CG104*CJ104*VLOOKUP('Données projet'!$B$12,Paramètres!$A$1:$I$88,3,0)*0.475*44/12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projet'!$B$13,Paramètres!$A$1:$I$88,3,0)*VLOOKUP('Données projet'!$B$13,Paramètres!$A$1:$I$88,5,0)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projet'!$B$13,Paramètres!$A$1:$I$88,7,0))</f>
        <v>0</v>
      </c>
      <c r="DD104" s="17">
        <f>IF(ISNA(VLOOKUP(A104,'Données projet'!$A$139:$I$159,6,0)),0%,VLOOKUP(A104,'Données projet'!$A$139:$I$159,6,0)*VLOOKUP('Données projet'!$B$13,Paramètres!$A$1:$I$88,7,0))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projet'!$B$13,Paramètres!$A$1:$I$88,3,0)*0.475*44/12</f>
        <v>#N/A</v>
      </c>
      <c r="DG104" s="23" t="e">
        <f>EXP(-LN(2)/25)*DG103+(1-EXP(-LN(2)/25))/(LN(2)/25)*Calculateur!DB104*Calculateur!DD104*VLOOKUP('Données projet'!$B$13,Paramètres!$A$1:$I$88,3,0)*0.475*44/12</f>
        <v>#N/A</v>
      </c>
      <c r="DH104" s="23" t="e">
        <f>EXP(-LN(2)/2)*DH103+(1-EXP(-LN(2)/2))/(LN(2)/2)*DB104*DE104*VLOOKUP('Données projet'!$B$13,Paramètres!$A$1:$I$88,3,0)*0.475*44/12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projet'!$B$14,Paramètres!$A$1:$I$88,3,0)*VLOOKUP('Données projet'!$B$14,Paramètres!$A$1:$I$88,5,0)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projet'!$B$14,Paramètres!$A$1:$I$88,7,0))</f>
        <v>0</v>
      </c>
      <c r="DY104" s="17">
        <f>IF(ISNA(VLOOKUP(A104,'Données projet'!$A$165:$I$185,6,0)),0%,VLOOKUP(A104,'Données projet'!$A$165:$I$185,6,0)*VLOOKUP('Données projet'!$B$14,Paramètres!$A$1:$I$88,7,0))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projet'!$B$14,Paramètres!$A$1:$I$88,3,0)*0.475*44/12</f>
        <v>#N/A</v>
      </c>
      <c r="EB104" s="23" t="e">
        <f>EXP(-LN(2)/25)*EB103+(1-EXP(-LN(2)/25))/(LN(2)/25)*Calculateur!DW104*Calculateur!DY104*VLOOKUP('Données projet'!$B$14,Paramètres!$A$1:$I$88,3,0)*0.475*44/12</f>
        <v>#N/A</v>
      </c>
      <c r="EC104" s="23" t="e">
        <f>EXP(-LN(2)/2)*EC103+(1-EXP(-LN(2)/2))/(LN(2)/2)*DW104*DZ104*VLOOKUP('Données projet'!$B$14,Paramètres!$A$1:$I$88,3,0)*0.475*44/12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projet'!$B$15,Paramètres!$A$1:$I$88,3,0)*VLOOKUP('Données projet'!$B$15,Paramètres!$A$1:$I$88,5,0)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projet'!$B$15,Paramètres!$A$1:$I$88,7,0))</f>
        <v>0</v>
      </c>
      <c r="ET104" s="17">
        <f>IF(ISNA(VLOOKUP(A104,'Données projet'!$A$191:$I$211,6,0)),0%,VLOOKUP(A104,'Données projet'!$A$191:$I$211,6,0)*VLOOKUP('Données projet'!$B$15,Paramètres!$A$1:$I$88,7,0))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projet'!$B$15,Paramètres!$A$1:$I$88,3,0)*0.475*44/12</f>
        <v>#N/A</v>
      </c>
      <c r="EW104" s="23" t="e">
        <f>EXP(-LN(2)/25)*EW103+(1-EXP(-LN(2)/25))/(LN(2)/25)*Calculateur!ER104*Calculateur!ET104*VLOOKUP('Données projet'!$B$15,Paramètres!$A$1:$I$88,3,0)*0.475*44/12</f>
        <v>#N/A</v>
      </c>
      <c r="EX104" s="23" t="e">
        <f>EXP(-LN(2)/2)*EX103+(1-EXP(-LN(2)/2))/(LN(2)/2)*ER104*EU104*VLOOKUP('Données projet'!$B$15,Paramètres!$A$1:$I$88,3,0)*0.475*44/12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projet'!$B$16,Paramètres!$A$1:$I$88,3,0)*VLOOKUP('Données projet'!$B$16,Paramètres!$A$1:$I$88,5,0)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projet'!$B$16,Paramètres!$A$1:$I$88,7,0))</f>
        <v>0</v>
      </c>
      <c r="FO104" s="17">
        <f>IF(ISNA(VLOOKUP(A104,'Données projet'!$A$217:$I$237,6,0)),0%,VLOOKUP(A104,'Données projet'!$A$217:$I$237,6,0)*VLOOKUP('Données projet'!$B$16,Paramètres!$A$1:$I$88,7,0))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projet'!$B$16,Paramètres!$A$1:$I$88,3,0)*0.475*44/12</f>
        <v>#N/A</v>
      </c>
      <c r="FR104" s="23" t="e">
        <f>EXP(-LN(2)/25)*FR103+(1-EXP(-LN(2)/25))/(LN(2)/25)*Calculateur!FM104*Calculateur!FO104*VLOOKUP('Données projet'!$B$16,Paramètres!$A$1:$I$88,3,0)*0.475*44/12</f>
        <v>#N/A</v>
      </c>
      <c r="FS104" s="23" t="e">
        <f>EXP(-LN(2)/2)*FS103+(1-EXP(-LN(2)/2))/(LN(2)/2)*FM104*FP104*VLOOKUP('Données projet'!$B$16,Paramètres!$A$1:$I$88,3,0)*0.475*44/12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projet'!$B$17,Paramètres!$A$1:$I$88,3,0)*VLOOKUP('Données projet'!$B$17,Paramètres!$A$1:$I$88,5,0)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projet'!$B$17,Paramètres!$A$1:$I$88,7,0))</f>
        <v>0</v>
      </c>
      <c r="GJ104" s="17">
        <f>IF(ISNA(VLOOKUP(A104,'Données projet'!$A$243:$I$263,6,0)),0%,VLOOKUP(A104,'Données projet'!$A$243:$I$263,6,0)*VLOOKUP('Données projet'!$B$17,Paramètres!$A$1:$I$88,7,0))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projet'!$B$17,Paramètres!$A$1:$I$88,3,0)*0.475*44/12</f>
        <v>#N/A</v>
      </c>
      <c r="GM104" s="23" t="e">
        <f>EXP(-LN(2)/25)*GM103+(1-EXP(-LN(2)/25))/(LN(2)/25)*Calculateur!GH104*Calculateur!GJ104*VLOOKUP('Données projet'!$B$17,Paramètres!$A$1:$I$88,3,0)*0.475*44/12</f>
        <v>#N/A</v>
      </c>
      <c r="GN104" s="23" t="e">
        <f>EXP(-LN(2)/2)*GN103+(1-EXP(-LN(2)/2))/(LN(2)/2)*GH104*GK104*VLOOKUP('Données projet'!$B$17,Paramètres!$A$1:$I$88,3,0)*0.475*44/12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projet'!$B$18,Paramètres!$A$1:$I$88,3,0)*VLOOKUP('Données projet'!$B$18,Paramètres!$A$1:$I$88,5,0)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projet'!$B$18,Paramètres!$A$1:$I$88,7,0))</f>
        <v>0</v>
      </c>
      <c r="HE104" s="17">
        <f>IF(ISNA(VLOOKUP(A104,'Données projet'!$A$269:$I$289,6,0)),0%,VLOOKUP(A104,'Données projet'!$A$269:$I$289,6,0)*VLOOKUP('Données projet'!$B$18,Paramètres!$A$1:$I$88,7,0))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projet'!$B$18,Paramètres!$A$1:$I$88,3,0)*0.475*44/12</f>
        <v>#N/A</v>
      </c>
      <c r="HH104" s="23" t="e">
        <f>EXP(-LN(2)/25)*HH103+(1-EXP(-LN(2)/25))/(LN(2)/25)*Calculateur!HC104*Calculateur!HE104*VLOOKUP('Données projet'!$B$18,Paramètres!$A$1:$I$88,3,0)*0.475*44/12</f>
        <v>#N/A</v>
      </c>
      <c r="HI104" s="23" t="e">
        <f>EXP(-LN(2)/2)*HI103+(1-EXP(-LN(2)/2))/(LN(2)/2)*HC104*HF104*VLOOKUP('Données projet'!$B$18,Paramètres!$A$1:$I$88,3,0)*0.475*44/12</f>
        <v>#N/A</v>
      </c>
      <c r="HJ104" s="24" t="e">
        <f t="shared" si="84"/>
        <v>#N/A</v>
      </c>
    </row>
    <row r="105" spans="1:218" s="5" customFormat="1" x14ac:dyDescent="0.3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4.5474735088646412E-13</v>
      </c>
      <c r="O105" s="14">
        <f>N105*VLOOKUP('Données projet'!$B$9,Paramètres!$A$1:$I$88,3,0)*VLOOKUP('Données projet'!$B$9,Paramètres!$A$1:$I$88,5,0)</f>
        <v>2.5420376914553347E-13</v>
      </c>
      <c r="P105" s="14">
        <f t="shared" si="87"/>
        <v>3.4258699088369875E-12</v>
      </c>
      <c r="Q105" s="22">
        <f t="shared" si="107"/>
        <v>6.4094616558195571E-12</v>
      </c>
      <c r="R105" s="62">
        <f t="shared" si="55"/>
        <v>277.95193607498936</v>
      </c>
      <c r="S105" s="62">
        <f ca="1">AVERAGE(OFFSET($R$3,0,0,'Données projet'!$E$9+1,1))-AVERAGE(OFFSET($H$3,0,0,'Données projet'!$E$9+1,1))</f>
        <v>367.03450586441784</v>
      </c>
      <c r="T105" s="62">
        <f t="shared" si="88"/>
        <v>413.14502442862897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projet'!$B$9,Paramètres!$A$1:$I$88,7,0))</f>
        <v>0</v>
      </c>
      <c r="X105" s="17">
        <f>IF(ISNA(VLOOKUP(A105,'Données projet'!$A$35:$I$55,6,0)),0%,VLOOKUP(A105,'Données projet'!$A$35:$I$55,6,0)*VLOOKUP('Données projet'!$B$9,Paramètres!$A$1:$I$88,7,0))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projet'!$B$9,Paramètres!$A$1:$I$88,3,0)*0.475*44/12</f>
        <v>104.23496453336887</v>
      </c>
      <c r="AA105" s="23">
        <f>EXP(-LN(2)/25)*AA104+(1-EXP(-LN(2)/25))/(LN(2)/25)*Calculateur!V105*Calculateur!X105*VLOOKUP('Données projet'!$B$9,Paramètres!$A$1:$I$88,3,0)*0.475*44/12</f>
        <v>41.257436037102217</v>
      </c>
      <c r="AB105" s="23">
        <f>EXP(-LN(2)/2)*AB104+(1-EXP(-LN(2)/2))/(LN(2)/2)*V105*Y105*VLOOKUP('Données projet'!$B$9,Paramètres!$A$1:$I$88,3,0)*0.475*44/12</f>
        <v>0</v>
      </c>
      <c r="AC105" s="24">
        <f t="shared" si="57"/>
        <v>145.49240057047109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projet'!$B$10,Paramètres!$A$1:$I$88,3,0)*VLOOKUP('Données projet'!$B$10,Paramètres!$A$1:$I$88,5,0)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projet'!$B$10,Paramètres!$A$1:$I$88,7,0))</f>
        <v>0</v>
      </c>
      <c r="AS105" s="17">
        <f>IF(ISNA(VLOOKUP(A105,'Données projet'!$A$61:$I$81,6,0)),0%,VLOOKUP(A105,'Données projet'!$A$61:$I$81,6,0)*VLOOKUP('Données projet'!$B$10,Paramètres!$A$1:$I$88,7,0))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projet'!$B$10,Paramètres!$A$1:$I$88,3,0)*0.475*44/12</f>
        <v>#N/A</v>
      </c>
      <c r="AV105" s="23" t="e">
        <f>EXP(-LN(2)/25)*AV104+(1-EXP(-LN(2)/25))/(LN(2)/25)*Calculateur!AQ105*Calculateur!AS105*VLOOKUP('Données projet'!$B$10,Paramètres!$A$1:$I$88,3,0)*0.475*44/12</f>
        <v>#N/A</v>
      </c>
      <c r="AW105" s="23" t="e">
        <f>EXP(-LN(2)/2)*AW104+(1-EXP(-LN(2)/2))/(LN(2)/2)*AQ105*AT105*VLOOKUP('Données projet'!$B$10,Paramètres!$A$1:$I$88,3,0)*0.475*44/12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projet'!$B$11,Paramètres!$A$1:$I$88,3,0)*VLOOKUP('Données projet'!$B$11,Paramètres!$A$1:$I$88,5,0)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projet'!$B$11,Paramètres!$A$1:$I$88,7,0))</f>
        <v>0</v>
      </c>
      <c r="BN105" s="17">
        <f>IF(ISNA(VLOOKUP(A105,'Données projet'!$A$87:$I$107,6,0)),0%,VLOOKUP(A105,'Données projet'!$A$87:$I$107,6,0)*VLOOKUP('Données projet'!$B$11,Paramètres!$A$1:$I$88,7,0))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projet'!$B$11,Paramètres!$A$1:$I$88,3,0)*0.475*44/12</f>
        <v>#N/A</v>
      </c>
      <c r="BQ105" s="23" t="e">
        <f>EXP(-LN(2)/25)*BQ104+(1-EXP(-LN(2)/25))/(LN(2)/25)*Calculateur!BL105*Calculateur!BN105*VLOOKUP('Données projet'!$B$11,Paramètres!$A$1:$I$88,3,0)*0.475*44/12</f>
        <v>#N/A</v>
      </c>
      <c r="BR105" s="23" t="e">
        <f>EXP(-LN(2)/2)*BR104+(1-EXP(-LN(2)/2))/(LN(2)/2)*BL105*BO105*VLOOKUP('Données projet'!$B$11,Paramètres!$A$1:$I$88,3,0)*0.475*44/12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projet'!$B$12,Paramètres!$A$1:$I$88,3,0)*VLOOKUP('Données projet'!$B$12,Paramètres!$A$1:$I$88,5,0)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projet'!$B$12,Paramètres!$A$1:$I$88,7,0))</f>
        <v>0</v>
      </c>
      <c r="CI105" s="17">
        <f>IF(ISNA(VLOOKUP(A105,'Données projet'!$A$113:$I$133,6,0)),0%,VLOOKUP(A105,'Données projet'!$A$113:$I$133,6,0)*VLOOKUP('Données projet'!$B$12,Paramètres!$A$1:$I$88,7,0))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projet'!$B$12,Paramètres!$A$1:$I$88,3,0)*0.475*44/12</f>
        <v>#N/A</v>
      </c>
      <c r="CL105" s="23" t="e">
        <f>EXP(-LN(2)/25)*CL104+(1-EXP(-LN(2)/25))/(LN(2)/25)*Calculateur!CG105*Calculateur!CI105*VLOOKUP('Données projet'!$B$12,Paramètres!$A$1:$I$88,3,0)*0.475*44/12</f>
        <v>#N/A</v>
      </c>
      <c r="CM105" s="23" t="e">
        <f>EXP(-LN(2)/2)*CM104+(1-EXP(-LN(2)/2))/(LN(2)/2)*CG105*CJ105*VLOOKUP('Données projet'!$B$12,Paramètres!$A$1:$I$88,3,0)*0.475*44/12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projet'!$B$13,Paramètres!$A$1:$I$88,3,0)*VLOOKUP('Données projet'!$B$13,Paramètres!$A$1:$I$88,5,0)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projet'!$B$13,Paramètres!$A$1:$I$88,7,0))</f>
        <v>0</v>
      </c>
      <c r="DD105" s="17">
        <f>IF(ISNA(VLOOKUP(A105,'Données projet'!$A$139:$I$159,6,0)),0%,VLOOKUP(A105,'Données projet'!$A$139:$I$159,6,0)*VLOOKUP('Données projet'!$B$13,Paramètres!$A$1:$I$88,7,0))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projet'!$B$13,Paramètres!$A$1:$I$88,3,0)*0.475*44/12</f>
        <v>#N/A</v>
      </c>
      <c r="DG105" s="23" t="e">
        <f>EXP(-LN(2)/25)*DG104+(1-EXP(-LN(2)/25))/(LN(2)/25)*Calculateur!DB105*Calculateur!DD105*VLOOKUP('Données projet'!$B$13,Paramètres!$A$1:$I$88,3,0)*0.475*44/12</f>
        <v>#N/A</v>
      </c>
      <c r="DH105" s="23" t="e">
        <f>EXP(-LN(2)/2)*DH104+(1-EXP(-LN(2)/2))/(LN(2)/2)*DB105*DE105*VLOOKUP('Données projet'!$B$13,Paramètres!$A$1:$I$88,3,0)*0.475*44/12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projet'!$B$14,Paramètres!$A$1:$I$88,3,0)*VLOOKUP('Données projet'!$B$14,Paramètres!$A$1:$I$88,5,0)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projet'!$B$14,Paramètres!$A$1:$I$88,7,0))</f>
        <v>0</v>
      </c>
      <c r="DY105" s="17">
        <f>IF(ISNA(VLOOKUP(A105,'Données projet'!$A$165:$I$185,6,0)),0%,VLOOKUP(A105,'Données projet'!$A$165:$I$185,6,0)*VLOOKUP('Données projet'!$B$14,Paramètres!$A$1:$I$88,7,0))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projet'!$B$14,Paramètres!$A$1:$I$88,3,0)*0.475*44/12</f>
        <v>#N/A</v>
      </c>
      <c r="EB105" s="23" t="e">
        <f>EXP(-LN(2)/25)*EB104+(1-EXP(-LN(2)/25))/(LN(2)/25)*Calculateur!DW105*Calculateur!DY105*VLOOKUP('Données projet'!$B$14,Paramètres!$A$1:$I$88,3,0)*0.475*44/12</f>
        <v>#N/A</v>
      </c>
      <c r="EC105" s="23" t="e">
        <f>EXP(-LN(2)/2)*EC104+(1-EXP(-LN(2)/2))/(LN(2)/2)*DW105*DZ105*VLOOKUP('Données projet'!$B$14,Paramètres!$A$1:$I$88,3,0)*0.475*44/12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projet'!$B$15,Paramètres!$A$1:$I$88,3,0)*VLOOKUP('Données projet'!$B$15,Paramètres!$A$1:$I$88,5,0)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projet'!$B$15,Paramètres!$A$1:$I$88,7,0))</f>
        <v>0</v>
      </c>
      <c r="ET105" s="17">
        <f>IF(ISNA(VLOOKUP(A105,'Données projet'!$A$191:$I$211,6,0)),0%,VLOOKUP(A105,'Données projet'!$A$191:$I$211,6,0)*VLOOKUP('Données projet'!$B$15,Paramètres!$A$1:$I$88,7,0))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projet'!$B$15,Paramètres!$A$1:$I$88,3,0)*0.475*44/12</f>
        <v>#N/A</v>
      </c>
      <c r="EW105" s="23" t="e">
        <f>EXP(-LN(2)/25)*EW104+(1-EXP(-LN(2)/25))/(LN(2)/25)*Calculateur!ER105*Calculateur!ET105*VLOOKUP('Données projet'!$B$15,Paramètres!$A$1:$I$88,3,0)*0.475*44/12</f>
        <v>#N/A</v>
      </c>
      <c r="EX105" s="23" t="e">
        <f>EXP(-LN(2)/2)*EX104+(1-EXP(-LN(2)/2))/(LN(2)/2)*ER105*EU105*VLOOKUP('Données projet'!$B$15,Paramètres!$A$1:$I$88,3,0)*0.475*44/12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projet'!$B$16,Paramètres!$A$1:$I$88,3,0)*VLOOKUP('Données projet'!$B$16,Paramètres!$A$1:$I$88,5,0)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projet'!$B$16,Paramètres!$A$1:$I$88,7,0))</f>
        <v>0</v>
      </c>
      <c r="FO105" s="17">
        <f>IF(ISNA(VLOOKUP(A105,'Données projet'!$A$217:$I$237,6,0)),0%,VLOOKUP(A105,'Données projet'!$A$217:$I$237,6,0)*VLOOKUP('Données projet'!$B$16,Paramètres!$A$1:$I$88,7,0))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projet'!$B$16,Paramètres!$A$1:$I$88,3,0)*0.475*44/12</f>
        <v>#N/A</v>
      </c>
      <c r="FR105" s="23" t="e">
        <f>EXP(-LN(2)/25)*FR104+(1-EXP(-LN(2)/25))/(LN(2)/25)*Calculateur!FM105*Calculateur!FO105*VLOOKUP('Données projet'!$B$16,Paramètres!$A$1:$I$88,3,0)*0.475*44/12</f>
        <v>#N/A</v>
      </c>
      <c r="FS105" s="23" t="e">
        <f>EXP(-LN(2)/2)*FS104+(1-EXP(-LN(2)/2))/(LN(2)/2)*FM105*FP105*VLOOKUP('Données projet'!$B$16,Paramètres!$A$1:$I$88,3,0)*0.475*44/12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projet'!$B$17,Paramètres!$A$1:$I$88,3,0)*VLOOKUP('Données projet'!$B$17,Paramètres!$A$1:$I$88,5,0)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projet'!$B$17,Paramètres!$A$1:$I$88,7,0))</f>
        <v>0</v>
      </c>
      <c r="GJ105" s="17">
        <f>IF(ISNA(VLOOKUP(A105,'Données projet'!$A$243:$I$263,6,0)),0%,VLOOKUP(A105,'Données projet'!$A$243:$I$263,6,0)*VLOOKUP('Données projet'!$B$17,Paramètres!$A$1:$I$88,7,0))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projet'!$B$17,Paramètres!$A$1:$I$88,3,0)*0.475*44/12</f>
        <v>#N/A</v>
      </c>
      <c r="GM105" s="23" t="e">
        <f>EXP(-LN(2)/25)*GM104+(1-EXP(-LN(2)/25))/(LN(2)/25)*Calculateur!GH105*Calculateur!GJ105*VLOOKUP('Données projet'!$B$17,Paramètres!$A$1:$I$88,3,0)*0.475*44/12</f>
        <v>#N/A</v>
      </c>
      <c r="GN105" s="23" t="e">
        <f>EXP(-LN(2)/2)*GN104+(1-EXP(-LN(2)/2))/(LN(2)/2)*GH105*GK105*VLOOKUP('Données projet'!$B$17,Paramètres!$A$1:$I$88,3,0)*0.475*44/12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projet'!$B$18,Paramètres!$A$1:$I$88,3,0)*VLOOKUP('Données projet'!$B$18,Paramètres!$A$1:$I$88,5,0)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projet'!$B$18,Paramètres!$A$1:$I$88,7,0))</f>
        <v>0</v>
      </c>
      <c r="HE105" s="17">
        <f>IF(ISNA(VLOOKUP(A105,'Données projet'!$A$269:$I$289,6,0)),0%,VLOOKUP(A105,'Données projet'!$A$269:$I$289,6,0)*VLOOKUP('Données projet'!$B$18,Paramètres!$A$1:$I$88,7,0))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projet'!$B$18,Paramètres!$A$1:$I$88,3,0)*0.475*44/12</f>
        <v>#N/A</v>
      </c>
      <c r="HH105" s="23" t="e">
        <f>EXP(-LN(2)/25)*HH104+(1-EXP(-LN(2)/25))/(LN(2)/25)*Calculateur!HC105*Calculateur!HE105*VLOOKUP('Données projet'!$B$18,Paramètres!$A$1:$I$88,3,0)*0.475*44/12</f>
        <v>#N/A</v>
      </c>
      <c r="HI105" s="23" t="e">
        <f>EXP(-LN(2)/2)*HI104+(1-EXP(-LN(2)/2))/(LN(2)/2)*HC105*HF105*VLOOKUP('Données projet'!$B$18,Paramètres!$A$1:$I$88,3,0)*0.475*44/12</f>
        <v>#N/A</v>
      </c>
      <c r="HJ105" s="24" t="e">
        <f t="shared" si="84"/>
        <v>#N/A</v>
      </c>
    </row>
    <row r="106" spans="1:218" s="5" customFormat="1" x14ac:dyDescent="0.3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4.5474735088646412E-13</v>
      </c>
      <c r="O106" s="14">
        <f>N106*VLOOKUP('Données projet'!$B$9,Paramètres!$A$1:$I$88,3,0)*VLOOKUP('Données projet'!$B$9,Paramètres!$A$1:$I$88,5,0)</f>
        <v>2.5420376914553347E-13</v>
      </c>
      <c r="P106" s="14">
        <f t="shared" si="87"/>
        <v>3.4258699088369875E-12</v>
      </c>
      <c r="Q106" s="22">
        <f t="shared" si="107"/>
        <v>6.4094616558195571E-12</v>
      </c>
      <c r="R106" s="62">
        <f t="shared" si="55"/>
        <v>278.21876892976911</v>
      </c>
      <c r="S106" s="62">
        <f ca="1">AVERAGE(OFFSET($R$3,0,0,'Données projet'!$E$9+1,1))-AVERAGE(OFFSET($H$3,0,0,'Données projet'!$E$9+1,1))</f>
        <v>367.03450586441784</v>
      </c>
      <c r="T106" s="62">
        <f t="shared" si="88"/>
        <v>413.14502442862897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projet'!$B$9,Paramètres!$A$1:$I$88,7,0))</f>
        <v>0</v>
      </c>
      <c r="X106" s="17">
        <f>IF(ISNA(VLOOKUP(A106,'Données projet'!$A$35:$I$55,6,0)),0%,VLOOKUP(A106,'Données projet'!$A$35:$I$55,6,0)*VLOOKUP('Données projet'!$B$9,Paramètres!$A$1:$I$88,7,0))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projet'!$B$9,Paramètres!$A$1:$I$88,3,0)*0.475*44/12</f>
        <v>102.19098045592015</v>
      </c>
      <c r="AA106" s="23">
        <f>EXP(-LN(2)/25)*AA105+(1-EXP(-LN(2)/25))/(LN(2)/25)*Calculateur!V106*Calculateur!X106*VLOOKUP('Données projet'!$B$9,Paramètres!$A$1:$I$88,3,0)*0.475*44/12</f>
        <v>40.129249279033388</v>
      </c>
      <c r="AB106" s="23">
        <f>EXP(-LN(2)/2)*AB105+(1-EXP(-LN(2)/2))/(LN(2)/2)*V106*Y106*VLOOKUP('Données projet'!$B$9,Paramètres!$A$1:$I$88,3,0)*0.475*44/12</f>
        <v>0</v>
      </c>
      <c r="AC106" s="24">
        <f t="shared" si="57"/>
        <v>142.32022973495356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projet'!$B$10,Paramètres!$A$1:$I$88,3,0)*VLOOKUP('Données projet'!$B$10,Paramètres!$A$1:$I$88,5,0)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projet'!$B$10,Paramètres!$A$1:$I$88,7,0))</f>
        <v>0</v>
      </c>
      <c r="AS106" s="17">
        <f>IF(ISNA(VLOOKUP(A106,'Données projet'!$A$61:$I$81,6,0)),0%,VLOOKUP(A106,'Données projet'!$A$61:$I$81,6,0)*VLOOKUP('Données projet'!$B$10,Paramètres!$A$1:$I$88,7,0))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projet'!$B$10,Paramètres!$A$1:$I$88,3,0)*0.475*44/12</f>
        <v>#N/A</v>
      </c>
      <c r="AV106" s="23" t="e">
        <f>EXP(-LN(2)/25)*AV105+(1-EXP(-LN(2)/25))/(LN(2)/25)*Calculateur!AQ106*Calculateur!AS106*VLOOKUP('Données projet'!$B$10,Paramètres!$A$1:$I$88,3,0)*0.475*44/12</f>
        <v>#N/A</v>
      </c>
      <c r="AW106" s="23" t="e">
        <f>EXP(-LN(2)/2)*AW105+(1-EXP(-LN(2)/2))/(LN(2)/2)*AQ106*AT106*VLOOKUP('Données projet'!$B$10,Paramètres!$A$1:$I$88,3,0)*0.475*44/12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projet'!$B$11,Paramètres!$A$1:$I$88,3,0)*VLOOKUP('Données projet'!$B$11,Paramètres!$A$1:$I$88,5,0)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projet'!$B$11,Paramètres!$A$1:$I$88,7,0))</f>
        <v>0</v>
      </c>
      <c r="BN106" s="17">
        <f>IF(ISNA(VLOOKUP(A106,'Données projet'!$A$87:$I$107,6,0)),0%,VLOOKUP(A106,'Données projet'!$A$87:$I$107,6,0)*VLOOKUP('Données projet'!$B$11,Paramètres!$A$1:$I$88,7,0))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projet'!$B$11,Paramètres!$A$1:$I$88,3,0)*0.475*44/12</f>
        <v>#N/A</v>
      </c>
      <c r="BQ106" s="23" t="e">
        <f>EXP(-LN(2)/25)*BQ105+(1-EXP(-LN(2)/25))/(LN(2)/25)*Calculateur!BL106*Calculateur!BN106*VLOOKUP('Données projet'!$B$11,Paramètres!$A$1:$I$88,3,0)*0.475*44/12</f>
        <v>#N/A</v>
      </c>
      <c r="BR106" s="23" t="e">
        <f>EXP(-LN(2)/2)*BR105+(1-EXP(-LN(2)/2))/(LN(2)/2)*BL106*BO106*VLOOKUP('Données projet'!$B$11,Paramètres!$A$1:$I$88,3,0)*0.475*44/12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projet'!$B$12,Paramètres!$A$1:$I$88,3,0)*VLOOKUP('Données projet'!$B$12,Paramètres!$A$1:$I$88,5,0)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projet'!$B$12,Paramètres!$A$1:$I$88,7,0))</f>
        <v>0</v>
      </c>
      <c r="CI106" s="17">
        <f>IF(ISNA(VLOOKUP(A106,'Données projet'!$A$113:$I$133,6,0)),0%,VLOOKUP(A106,'Données projet'!$A$113:$I$133,6,0)*VLOOKUP('Données projet'!$B$12,Paramètres!$A$1:$I$88,7,0))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projet'!$B$12,Paramètres!$A$1:$I$88,3,0)*0.475*44/12</f>
        <v>#N/A</v>
      </c>
      <c r="CL106" s="23" t="e">
        <f>EXP(-LN(2)/25)*CL105+(1-EXP(-LN(2)/25))/(LN(2)/25)*Calculateur!CG106*Calculateur!CI106*VLOOKUP('Données projet'!$B$12,Paramètres!$A$1:$I$88,3,0)*0.475*44/12</f>
        <v>#N/A</v>
      </c>
      <c r="CM106" s="23" t="e">
        <f>EXP(-LN(2)/2)*CM105+(1-EXP(-LN(2)/2))/(LN(2)/2)*CG106*CJ106*VLOOKUP('Données projet'!$B$12,Paramètres!$A$1:$I$88,3,0)*0.475*44/12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projet'!$B$13,Paramètres!$A$1:$I$88,3,0)*VLOOKUP('Données projet'!$B$13,Paramètres!$A$1:$I$88,5,0)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projet'!$B$13,Paramètres!$A$1:$I$88,7,0))</f>
        <v>0</v>
      </c>
      <c r="DD106" s="17">
        <f>IF(ISNA(VLOOKUP(A106,'Données projet'!$A$139:$I$159,6,0)),0%,VLOOKUP(A106,'Données projet'!$A$139:$I$159,6,0)*VLOOKUP('Données projet'!$B$13,Paramètres!$A$1:$I$88,7,0))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projet'!$B$13,Paramètres!$A$1:$I$88,3,0)*0.475*44/12</f>
        <v>#N/A</v>
      </c>
      <c r="DG106" s="23" t="e">
        <f>EXP(-LN(2)/25)*DG105+(1-EXP(-LN(2)/25))/(LN(2)/25)*Calculateur!DB106*Calculateur!DD106*VLOOKUP('Données projet'!$B$13,Paramètres!$A$1:$I$88,3,0)*0.475*44/12</f>
        <v>#N/A</v>
      </c>
      <c r="DH106" s="23" t="e">
        <f>EXP(-LN(2)/2)*DH105+(1-EXP(-LN(2)/2))/(LN(2)/2)*DB106*DE106*VLOOKUP('Données projet'!$B$13,Paramètres!$A$1:$I$88,3,0)*0.475*44/12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projet'!$B$14,Paramètres!$A$1:$I$88,3,0)*VLOOKUP('Données projet'!$B$14,Paramètres!$A$1:$I$88,5,0)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projet'!$B$14,Paramètres!$A$1:$I$88,7,0))</f>
        <v>0</v>
      </c>
      <c r="DY106" s="17">
        <f>IF(ISNA(VLOOKUP(A106,'Données projet'!$A$165:$I$185,6,0)),0%,VLOOKUP(A106,'Données projet'!$A$165:$I$185,6,0)*VLOOKUP('Données projet'!$B$14,Paramètres!$A$1:$I$88,7,0))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projet'!$B$14,Paramètres!$A$1:$I$88,3,0)*0.475*44/12</f>
        <v>#N/A</v>
      </c>
      <c r="EB106" s="23" t="e">
        <f>EXP(-LN(2)/25)*EB105+(1-EXP(-LN(2)/25))/(LN(2)/25)*Calculateur!DW106*Calculateur!DY106*VLOOKUP('Données projet'!$B$14,Paramètres!$A$1:$I$88,3,0)*0.475*44/12</f>
        <v>#N/A</v>
      </c>
      <c r="EC106" s="23" t="e">
        <f>EXP(-LN(2)/2)*EC105+(1-EXP(-LN(2)/2))/(LN(2)/2)*DW106*DZ106*VLOOKUP('Données projet'!$B$14,Paramètres!$A$1:$I$88,3,0)*0.475*44/12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projet'!$B$15,Paramètres!$A$1:$I$88,3,0)*VLOOKUP('Données projet'!$B$15,Paramètres!$A$1:$I$88,5,0)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projet'!$B$15,Paramètres!$A$1:$I$88,7,0))</f>
        <v>0</v>
      </c>
      <c r="ET106" s="17">
        <f>IF(ISNA(VLOOKUP(A106,'Données projet'!$A$191:$I$211,6,0)),0%,VLOOKUP(A106,'Données projet'!$A$191:$I$211,6,0)*VLOOKUP('Données projet'!$B$15,Paramètres!$A$1:$I$88,7,0))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projet'!$B$15,Paramètres!$A$1:$I$88,3,0)*0.475*44/12</f>
        <v>#N/A</v>
      </c>
      <c r="EW106" s="23" t="e">
        <f>EXP(-LN(2)/25)*EW105+(1-EXP(-LN(2)/25))/(LN(2)/25)*Calculateur!ER106*Calculateur!ET106*VLOOKUP('Données projet'!$B$15,Paramètres!$A$1:$I$88,3,0)*0.475*44/12</f>
        <v>#N/A</v>
      </c>
      <c r="EX106" s="23" t="e">
        <f>EXP(-LN(2)/2)*EX105+(1-EXP(-LN(2)/2))/(LN(2)/2)*ER106*EU106*VLOOKUP('Données projet'!$B$15,Paramètres!$A$1:$I$88,3,0)*0.475*44/12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projet'!$B$16,Paramètres!$A$1:$I$88,3,0)*VLOOKUP('Données projet'!$B$16,Paramètres!$A$1:$I$88,5,0)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projet'!$B$16,Paramètres!$A$1:$I$88,7,0))</f>
        <v>0</v>
      </c>
      <c r="FO106" s="17">
        <f>IF(ISNA(VLOOKUP(A106,'Données projet'!$A$217:$I$237,6,0)),0%,VLOOKUP(A106,'Données projet'!$A$217:$I$237,6,0)*VLOOKUP('Données projet'!$B$16,Paramètres!$A$1:$I$88,7,0))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projet'!$B$16,Paramètres!$A$1:$I$88,3,0)*0.475*44/12</f>
        <v>#N/A</v>
      </c>
      <c r="FR106" s="23" t="e">
        <f>EXP(-LN(2)/25)*FR105+(1-EXP(-LN(2)/25))/(LN(2)/25)*Calculateur!FM106*Calculateur!FO106*VLOOKUP('Données projet'!$B$16,Paramètres!$A$1:$I$88,3,0)*0.475*44/12</f>
        <v>#N/A</v>
      </c>
      <c r="FS106" s="23" t="e">
        <f>EXP(-LN(2)/2)*FS105+(1-EXP(-LN(2)/2))/(LN(2)/2)*FM106*FP106*VLOOKUP('Données projet'!$B$16,Paramètres!$A$1:$I$88,3,0)*0.475*44/12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projet'!$B$17,Paramètres!$A$1:$I$88,3,0)*VLOOKUP('Données projet'!$B$17,Paramètres!$A$1:$I$88,5,0)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projet'!$B$17,Paramètres!$A$1:$I$88,7,0))</f>
        <v>0</v>
      </c>
      <c r="GJ106" s="17">
        <f>IF(ISNA(VLOOKUP(A106,'Données projet'!$A$243:$I$263,6,0)),0%,VLOOKUP(A106,'Données projet'!$A$243:$I$263,6,0)*VLOOKUP('Données projet'!$B$17,Paramètres!$A$1:$I$88,7,0))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projet'!$B$17,Paramètres!$A$1:$I$88,3,0)*0.475*44/12</f>
        <v>#N/A</v>
      </c>
      <c r="GM106" s="23" t="e">
        <f>EXP(-LN(2)/25)*GM105+(1-EXP(-LN(2)/25))/(LN(2)/25)*Calculateur!GH106*Calculateur!GJ106*VLOOKUP('Données projet'!$B$17,Paramètres!$A$1:$I$88,3,0)*0.475*44/12</f>
        <v>#N/A</v>
      </c>
      <c r="GN106" s="23" t="e">
        <f>EXP(-LN(2)/2)*GN105+(1-EXP(-LN(2)/2))/(LN(2)/2)*GH106*GK106*VLOOKUP('Données projet'!$B$17,Paramètres!$A$1:$I$88,3,0)*0.475*44/12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projet'!$B$18,Paramètres!$A$1:$I$88,3,0)*VLOOKUP('Données projet'!$B$18,Paramètres!$A$1:$I$88,5,0)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projet'!$B$18,Paramètres!$A$1:$I$88,7,0))</f>
        <v>0</v>
      </c>
      <c r="HE106" s="17">
        <f>IF(ISNA(VLOOKUP(A106,'Données projet'!$A$269:$I$289,6,0)),0%,VLOOKUP(A106,'Données projet'!$A$269:$I$289,6,0)*VLOOKUP('Données projet'!$B$18,Paramètres!$A$1:$I$88,7,0))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projet'!$B$18,Paramètres!$A$1:$I$88,3,0)*0.475*44/12</f>
        <v>#N/A</v>
      </c>
      <c r="HH106" s="23" t="e">
        <f>EXP(-LN(2)/25)*HH105+(1-EXP(-LN(2)/25))/(LN(2)/25)*Calculateur!HC106*Calculateur!HE106*VLOOKUP('Données projet'!$B$18,Paramètres!$A$1:$I$88,3,0)*0.475*44/12</f>
        <v>#N/A</v>
      </c>
      <c r="HI106" s="23" t="e">
        <f>EXP(-LN(2)/2)*HI105+(1-EXP(-LN(2)/2))/(LN(2)/2)*HC106*HF106*VLOOKUP('Données projet'!$B$18,Paramètres!$A$1:$I$88,3,0)*0.475*44/12</f>
        <v>#N/A</v>
      </c>
      <c r="HJ106" s="24" t="e">
        <f t="shared" si="84"/>
        <v>#N/A</v>
      </c>
    </row>
    <row r="107" spans="1:218" s="5" customFormat="1" x14ac:dyDescent="0.3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4.5474735088646412E-13</v>
      </c>
      <c r="O107" s="14">
        <f>N107*VLOOKUP('Données projet'!$B$9,Paramètres!$A$1:$I$88,3,0)*VLOOKUP('Données projet'!$B$9,Paramètres!$A$1:$I$88,5,0)</f>
        <v>2.5420376914553347E-13</v>
      </c>
      <c r="P107" s="14">
        <f t="shared" si="87"/>
        <v>3.4258699088369875E-12</v>
      </c>
      <c r="Q107" s="22">
        <f t="shared" si="107"/>
        <v>6.4094616558195571E-12</v>
      </c>
      <c r="R107" s="62">
        <f t="shared" si="55"/>
        <v>278.48097283106733</v>
      </c>
      <c r="S107" s="62">
        <f ca="1">AVERAGE(OFFSET($R$3,0,0,'Données projet'!$E$9+1,1))-AVERAGE(OFFSET($H$3,0,0,'Données projet'!$E$9+1,1))</f>
        <v>367.03450586441784</v>
      </c>
      <c r="T107" s="62">
        <f t="shared" si="88"/>
        <v>413.14502442862897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projet'!$B$9,Paramètres!$A$1:$I$88,7,0))</f>
        <v>0</v>
      </c>
      <c r="X107" s="17">
        <f>IF(ISNA(VLOOKUP(A107,'Données projet'!$A$35:$I$55,6,0)),0%,VLOOKUP(A107,'Données projet'!$A$35:$I$55,6,0)*VLOOKUP('Données projet'!$B$9,Paramètres!$A$1:$I$88,7,0))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projet'!$B$9,Paramètres!$A$1:$I$88,3,0)*0.475*44/12</f>
        <v>100.18707765952303</v>
      </c>
      <c r="AA107" s="23">
        <f>EXP(-LN(2)/25)*AA106+(1-EXP(-LN(2)/25))/(LN(2)/25)*Calculateur!V107*Calculateur!X107*VLOOKUP('Données projet'!$B$9,Paramètres!$A$1:$I$88,3,0)*0.475*44/12</f>
        <v>39.031912847192714</v>
      </c>
      <c r="AB107" s="23">
        <f>EXP(-LN(2)/2)*AB106+(1-EXP(-LN(2)/2))/(LN(2)/2)*V107*Y107*VLOOKUP('Données projet'!$B$9,Paramètres!$A$1:$I$88,3,0)*0.475*44/12</f>
        <v>0</v>
      </c>
      <c r="AC107" s="24">
        <f t="shared" si="57"/>
        <v>139.21899050671573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projet'!$B$10,Paramètres!$A$1:$I$88,3,0)*VLOOKUP('Données projet'!$B$10,Paramètres!$A$1:$I$88,5,0)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projet'!$B$10,Paramètres!$A$1:$I$88,7,0))</f>
        <v>0</v>
      </c>
      <c r="AS107" s="17">
        <f>IF(ISNA(VLOOKUP(A107,'Données projet'!$A$61:$I$81,6,0)),0%,VLOOKUP(A107,'Données projet'!$A$61:$I$81,6,0)*VLOOKUP('Données projet'!$B$10,Paramètres!$A$1:$I$88,7,0))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projet'!$B$10,Paramètres!$A$1:$I$88,3,0)*0.475*44/12</f>
        <v>#N/A</v>
      </c>
      <c r="AV107" s="23" t="e">
        <f>EXP(-LN(2)/25)*AV106+(1-EXP(-LN(2)/25))/(LN(2)/25)*Calculateur!AQ107*Calculateur!AS107*VLOOKUP('Données projet'!$B$10,Paramètres!$A$1:$I$88,3,0)*0.475*44/12</f>
        <v>#N/A</v>
      </c>
      <c r="AW107" s="23" t="e">
        <f>EXP(-LN(2)/2)*AW106+(1-EXP(-LN(2)/2))/(LN(2)/2)*AQ107*AT107*VLOOKUP('Données projet'!$B$10,Paramètres!$A$1:$I$88,3,0)*0.475*44/12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projet'!$B$11,Paramètres!$A$1:$I$88,3,0)*VLOOKUP('Données projet'!$B$11,Paramètres!$A$1:$I$88,5,0)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projet'!$B$11,Paramètres!$A$1:$I$88,7,0))</f>
        <v>0</v>
      </c>
      <c r="BN107" s="17">
        <f>IF(ISNA(VLOOKUP(A107,'Données projet'!$A$87:$I$107,6,0)),0%,VLOOKUP(A107,'Données projet'!$A$87:$I$107,6,0)*VLOOKUP('Données projet'!$B$11,Paramètres!$A$1:$I$88,7,0))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projet'!$B$11,Paramètres!$A$1:$I$88,3,0)*0.475*44/12</f>
        <v>#N/A</v>
      </c>
      <c r="BQ107" s="23" t="e">
        <f>EXP(-LN(2)/25)*BQ106+(1-EXP(-LN(2)/25))/(LN(2)/25)*Calculateur!BL107*Calculateur!BN107*VLOOKUP('Données projet'!$B$11,Paramètres!$A$1:$I$88,3,0)*0.475*44/12</f>
        <v>#N/A</v>
      </c>
      <c r="BR107" s="23" t="e">
        <f>EXP(-LN(2)/2)*BR106+(1-EXP(-LN(2)/2))/(LN(2)/2)*BL107*BO107*VLOOKUP('Données projet'!$B$11,Paramètres!$A$1:$I$88,3,0)*0.475*44/12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projet'!$B$12,Paramètres!$A$1:$I$88,3,0)*VLOOKUP('Données projet'!$B$12,Paramètres!$A$1:$I$88,5,0)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projet'!$B$12,Paramètres!$A$1:$I$88,7,0))</f>
        <v>0</v>
      </c>
      <c r="CI107" s="17">
        <f>IF(ISNA(VLOOKUP(A107,'Données projet'!$A$113:$I$133,6,0)),0%,VLOOKUP(A107,'Données projet'!$A$113:$I$133,6,0)*VLOOKUP('Données projet'!$B$12,Paramètres!$A$1:$I$88,7,0))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projet'!$B$12,Paramètres!$A$1:$I$88,3,0)*0.475*44/12</f>
        <v>#N/A</v>
      </c>
      <c r="CL107" s="23" t="e">
        <f>EXP(-LN(2)/25)*CL106+(1-EXP(-LN(2)/25))/(LN(2)/25)*Calculateur!CG107*Calculateur!CI107*VLOOKUP('Données projet'!$B$12,Paramètres!$A$1:$I$88,3,0)*0.475*44/12</f>
        <v>#N/A</v>
      </c>
      <c r="CM107" s="23" t="e">
        <f>EXP(-LN(2)/2)*CM106+(1-EXP(-LN(2)/2))/(LN(2)/2)*CG107*CJ107*VLOOKUP('Données projet'!$B$12,Paramètres!$A$1:$I$88,3,0)*0.475*44/12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projet'!$B$13,Paramètres!$A$1:$I$88,3,0)*VLOOKUP('Données projet'!$B$13,Paramètres!$A$1:$I$88,5,0)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projet'!$B$13,Paramètres!$A$1:$I$88,7,0))</f>
        <v>0</v>
      </c>
      <c r="DD107" s="17">
        <f>IF(ISNA(VLOOKUP(A107,'Données projet'!$A$139:$I$159,6,0)),0%,VLOOKUP(A107,'Données projet'!$A$139:$I$159,6,0)*VLOOKUP('Données projet'!$B$13,Paramètres!$A$1:$I$88,7,0))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projet'!$B$13,Paramètres!$A$1:$I$88,3,0)*0.475*44/12</f>
        <v>#N/A</v>
      </c>
      <c r="DG107" s="23" t="e">
        <f>EXP(-LN(2)/25)*DG106+(1-EXP(-LN(2)/25))/(LN(2)/25)*Calculateur!DB107*Calculateur!DD107*VLOOKUP('Données projet'!$B$13,Paramètres!$A$1:$I$88,3,0)*0.475*44/12</f>
        <v>#N/A</v>
      </c>
      <c r="DH107" s="23" t="e">
        <f>EXP(-LN(2)/2)*DH106+(1-EXP(-LN(2)/2))/(LN(2)/2)*DB107*DE107*VLOOKUP('Données projet'!$B$13,Paramètres!$A$1:$I$88,3,0)*0.475*44/12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projet'!$B$14,Paramètres!$A$1:$I$88,3,0)*VLOOKUP('Données projet'!$B$14,Paramètres!$A$1:$I$88,5,0)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projet'!$B$14,Paramètres!$A$1:$I$88,7,0))</f>
        <v>0</v>
      </c>
      <c r="DY107" s="17">
        <f>IF(ISNA(VLOOKUP(A107,'Données projet'!$A$165:$I$185,6,0)),0%,VLOOKUP(A107,'Données projet'!$A$165:$I$185,6,0)*VLOOKUP('Données projet'!$B$14,Paramètres!$A$1:$I$88,7,0))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projet'!$B$14,Paramètres!$A$1:$I$88,3,0)*0.475*44/12</f>
        <v>#N/A</v>
      </c>
      <c r="EB107" s="23" t="e">
        <f>EXP(-LN(2)/25)*EB106+(1-EXP(-LN(2)/25))/(LN(2)/25)*Calculateur!DW107*Calculateur!DY107*VLOOKUP('Données projet'!$B$14,Paramètres!$A$1:$I$88,3,0)*0.475*44/12</f>
        <v>#N/A</v>
      </c>
      <c r="EC107" s="23" t="e">
        <f>EXP(-LN(2)/2)*EC106+(1-EXP(-LN(2)/2))/(LN(2)/2)*DW107*DZ107*VLOOKUP('Données projet'!$B$14,Paramètres!$A$1:$I$88,3,0)*0.475*44/12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projet'!$B$15,Paramètres!$A$1:$I$88,3,0)*VLOOKUP('Données projet'!$B$15,Paramètres!$A$1:$I$88,5,0)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projet'!$B$15,Paramètres!$A$1:$I$88,7,0))</f>
        <v>0</v>
      </c>
      <c r="ET107" s="17">
        <f>IF(ISNA(VLOOKUP(A107,'Données projet'!$A$191:$I$211,6,0)),0%,VLOOKUP(A107,'Données projet'!$A$191:$I$211,6,0)*VLOOKUP('Données projet'!$B$15,Paramètres!$A$1:$I$88,7,0))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projet'!$B$15,Paramètres!$A$1:$I$88,3,0)*0.475*44/12</f>
        <v>#N/A</v>
      </c>
      <c r="EW107" s="23" t="e">
        <f>EXP(-LN(2)/25)*EW106+(1-EXP(-LN(2)/25))/(LN(2)/25)*Calculateur!ER107*Calculateur!ET107*VLOOKUP('Données projet'!$B$15,Paramètres!$A$1:$I$88,3,0)*0.475*44/12</f>
        <v>#N/A</v>
      </c>
      <c r="EX107" s="23" t="e">
        <f>EXP(-LN(2)/2)*EX106+(1-EXP(-LN(2)/2))/(LN(2)/2)*ER107*EU107*VLOOKUP('Données projet'!$B$15,Paramètres!$A$1:$I$88,3,0)*0.475*44/12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projet'!$B$16,Paramètres!$A$1:$I$88,3,0)*VLOOKUP('Données projet'!$B$16,Paramètres!$A$1:$I$88,5,0)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projet'!$B$16,Paramètres!$A$1:$I$88,7,0))</f>
        <v>0</v>
      </c>
      <c r="FO107" s="17">
        <f>IF(ISNA(VLOOKUP(A107,'Données projet'!$A$217:$I$237,6,0)),0%,VLOOKUP(A107,'Données projet'!$A$217:$I$237,6,0)*VLOOKUP('Données projet'!$B$16,Paramètres!$A$1:$I$88,7,0))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projet'!$B$16,Paramètres!$A$1:$I$88,3,0)*0.475*44/12</f>
        <v>#N/A</v>
      </c>
      <c r="FR107" s="23" t="e">
        <f>EXP(-LN(2)/25)*FR106+(1-EXP(-LN(2)/25))/(LN(2)/25)*Calculateur!FM107*Calculateur!FO107*VLOOKUP('Données projet'!$B$16,Paramètres!$A$1:$I$88,3,0)*0.475*44/12</f>
        <v>#N/A</v>
      </c>
      <c r="FS107" s="23" t="e">
        <f>EXP(-LN(2)/2)*FS106+(1-EXP(-LN(2)/2))/(LN(2)/2)*FM107*FP107*VLOOKUP('Données projet'!$B$16,Paramètres!$A$1:$I$88,3,0)*0.475*44/12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projet'!$B$17,Paramètres!$A$1:$I$88,3,0)*VLOOKUP('Données projet'!$B$17,Paramètres!$A$1:$I$88,5,0)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projet'!$B$17,Paramètres!$A$1:$I$88,7,0))</f>
        <v>0</v>
      </c>
      <c r="GJ107" s="17">
        <f>IF(ISNA(VLOOKUP(A107,'Données projet'!$A$243:$I$263,6,0)),0%,VLOOKUP(A107,'Données projet'!$A$243:$I$263,6,0)*VLOOKUP('Données projet'!$B$17,Paramètres!$A$1:$I$88,7,0))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projet'!$B$17,Paramètres!$A$1:$I$88,3,0)*0.475*44/12</f>
        <v>#N/A</v>
      </c>
      <c r="GM107" s="23" t="e">
        <f>EXP(-LN(2)/25)*GM106+(1-EXP(-LN(2)/25))/(LN(2)/25)*Calculateur!GH107*Calculateur!GJ107*VLOOKUP('Données projet'!$B$17,Paramètres!$A$1:$I$88,3,0)*0.475*44/12</f>
        <v>#N/A</v>
      </c>
      <c r="GN107" s="23" t="e">
        <f>EXP(-LN(2)/2)*GN106+(1-EXP(-LN(2)/2))/(LN(2)/2)*GH107*GK107*VLOOKUP('Données projet'!$B$17,Paramètres!$A$1:$I$88,3,0)*0.475*44/12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projet'!$B$18,Paramètres!$A$1:$I$88,3,0)*VLOOKUP('Données projet'!$B$18,Paramètres!$A$1:$I$88,5,0)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projet'!$B$18,Paramètres!$A$1:$I$88,7,0))</f>
        <v>0</v>
      </c>
      <c r="HE107" s="17">
        <f>IF(ISNA(VLOOKUP(A107,'Données projet'!$A$269:$I$289,6,0)),0%,VLOOKUP(A107,'Données projet'!$A$269:$I$289,6,0)*VLOOKUP('Données projet'!$B$18,Paramètres!$A$1:$I$88,7,0))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projet'!$B$18,Paramètres!$A$1:$I$88,3,0)*0.475*44/12</f>
        <v>#N/A</v>
      </c>
      <c r="HH107" s="23" t="e">
        <f>EXP(-LN(2)/25)*HH106+(1-EXP(-LN(2)/25))/(LN(2)/25)*Calculateur!HC107*Calculateur!HE107*VLOOKUP('Données projet'!$B$18,Paramètres!$A$1:$I$88,3,0)*0.475*44/12</f>
        <v>#N/A</v>
      </c>
      <c r="HI107" s="23" t="e">
        <f>EXP(-LN(2)/2)*HI106+(1-EXP(-LN(2)/2))/(LN(2)/2)*HC107*HF107*VLOOKUP('Données projet'!$B$18,Paramètres!$A$1:$I$88,3,0)*0.475*44/12</f>
        <v>#N/A</v>
      </c>
      <c r="HJ107" s="24" t="e">
        <f t="shared" si="84"/>
        <v>#N/A</v>
      </c>
    </row>
    <row r="108" spans="1:218" s="5" customFormat="1" x14ac:dyDescent="0.3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4.5474735088646412E-13</v>
      </c>
      <c r="O108" s="14">
        <f>N108*VLOOKUP('Données projet'!$B$9,Paramètres!$A$1:$I$88,3,0)*VLOOKUP('Données projet'!$B$9,Paramètres!$A$1:$I$88,5,0)</f>
        <v>2.5420376914553347E-13</v>
      </c>
      <c r="P108" s="14">
        <f t="shared" si="87"/>
        <v>3.4258699088369875E-12</v>
      </c>
      <c r="Q108" s="22">
        <f t="shared" si="107"/>
        <v>6.4094616558195571E-12</v>
      </c>
      <c r="R108" s="62">
        <f t="shared" si="55"/>
        <v>278.73862808087819</v>
      </c>
      <c r="S108" s="62">
        <f ca="1">AVERAGE(OFFSET($R$3,0,0,'Données projet'!$E$9+1,1))-AVERAGE(OFFSET($H$3,0,0,'Données projet'!$E$9+1,1))</f>
        <v>367.03450586441784</v>
      </c>
      <c r="T108" s="62">
        <f t="shared" si="88"/>
        <v>413.14502442862897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projet'!$B$9,Paramètres!$A$1:$I$88,7,0))</f>
        <v>0</v>
      </c>
      <c r="X108" s="17">
        <f>IF(ISNA(VLOOKUP(A108,'Données projet'!$A$35:$I$55,6,0)),0%,VLOOKUP(A108,'Données projet'!$A$35:$I$55,6,0)*VLOOKUP('Données projet'!$B$9,Paramètres!$A$1:$I$88,7,0))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projet'!$B$9,Paramètres!$A$1:$I$88,3,0)*0.475*44/12</f>
        <v>98.222470174703233</v>
      </c>
      <c r="AA108" s="23">
        <f>EXP(-LN(2)/25)*AA107+(1-EXP(-LN(2)/25))/(LN(2)/25)*Calculateur!V108*Calculateur!X108*VLOOKUP('Données projet'!$B$9,Paramètres!$A$1:$I$88,3,0)*0.475*44/12</f>
        <v>37.964583137787145</v>
      </c>
      <c r="AB108" s="23">
        <f>EXP(-LN(2)/2)*AB107+(1-EXP(-LN(2)/2))/(LN(2)/2)*V108*Y108*VLOOKUP('Données projet'!$B$9,Paramètres!$A$1:$I$88,3,0)*0.475*44/12</f>
        <v>0</v>
      </c>
      <c r="AC108" s="24">
        <f t="shared" si="57"/>
        <v>136.18705331249038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projet'!$B$10,Paramètres!$A$1:$I$88,3,0)*VLOOKUP('Données projet'!$B$10,Paramètres!$A$1:$I$88,5,0)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projet'!$B$10,Paramètres!$A$1:$I$88,7,0))</f>
        <v>0</v>
      </c>
      <c r="AS108" s="17">
        <f>IF(ISNA(VLOOKUP(A108,'Données projet'!$A$61:$I$81,6,0)),0%,VLOOKUP(A108,'Données projet'!$A$61:$I$81,6,0)*VLOOKUP('Données projet'!$B$10,Paramètres!$A$1:$I$88,7,0))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projet'!$B$10,Paramètres!$A$1:$I$88,3,0)*0.475*44/12</f>
        <v>#N/A</v>
      </c>
      <c r="AV108" s="23" t="e">
        <f>EXP(-LN(2)/25)*AV107+(1-EXP(-LN(2)/25))/(LN(2)/25)*Calculateur!AQ108*Calculateur!AS108*VLOOKUP('Données projet'!$B$10,Paramètres!$A$1:$I$88,3,0)*0.475*44/12</f>
        <v>#N/A</v>
      </c>
      <c r="AW108" s="23" t="e">
        <f>EXP(-LN(2)/2)*AW107+(1-EXP(-LN(2)/2))/(LN(2)/2)*AQ108*AT108*VLOOKUP('Données projet'!$B$10,Paramètres!$A$1:$I$88,3,0)*0.475*44/12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projet'!$B$11,Paramètres!$A$1:$I$88,3,0)*VLOOKUP('Données projet'!$B$11,Paramètres!$A$1:$I$88,5,0)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projet'!$B$11,Paramètres!$A$1:$I$88,7,0))</f>
        <v>0</v>
      </c>
      <c r="BN108" s="17">
        <f>IF(ISNA(VLOOKUP(A108,'Données projet'!$A$87:$I$107,6,0)),0%,VLOOKUP(A108,'Données projet'!$A$87:$I$107,6,0)*VLOOKUP('Données projet'!$B$11,Paramètres!$A$1:$I$88,7,0))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projet'!$B$11,Paramètres!$A$1:$I$88,3,0)*0.475*44/12</f>
        <v>#N/A</v>
      </c>
      <c r="BQ108" s="23" t="e">
        <f>EXP(-LN(2)/25)*BQ107+(1-EXP(-LN(2)/25))/(LN(2)/25)*Calculateur!BL108*Calculateur!BN108*VLOOKUP('Données projet'!$B$11,Paramètres!$A$1:$I$88,3,0)*0.475*44/12</f>
        <v>#N/A</v>
      </c>
      <c r="BR108" s="23" t="e">
        <f>EXP(-LN(2)/2)*BR107+(1-EXP(-LN(2)/2))/(LN(2)/2)*BL108*BO108*VLOOKUP('Données projet'!$B$11,Paramètres!$A$1:$I$88,3,0)*0.475*44/12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projet'!$B$12,Paramètres!$A$1:$I$88,3,0)*VLOOKUP('Données projet'!$B$12,Paramètres!$A$1:$I$88,5,0)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projet'!$B$12,Paramètres!$A$1:$I$88,7,0))</f>
        <v>0</v>
      </c>
      <c r="CI108" s="17">
        <f>IF(ISNA(VLOOKUP(A108,'Données projet'!$A$113:$I$133,6,0)),0%,VLOOKUP(A108,'Données projet'!$A$113:$I$133,6,0)*VLOOKUP('Données projet'!$B$12,Paramètres!$A$1:$I$88,7,0))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projet'!$B$12,Paramètres!$A$1:$I$88,3,0)*0.475*44/12</f>
        <v>#N/A</v>
      </c>
      <c r="CL108" s="23" t="e">
        <f>EXP(-LN(2)/25)*CL107+(1-EXP(-LN(2)/25))/(LN(2)/25)*Calculateur!CG108*Calculateur!CI108*VLOOKUP('Données projet'!$B$12,Paramètres!$A$1:$I$88,3,0)*0.475*44/12</f>
        <v>#N/A</v>
      </c>
      <c r="CM108" s="23" t="e">
        <f>EXP(-LN(2)/2)*CM107+(1-EXP(-LN(2)/2))/(LN(2)/2)*CG108*CJ108*VLOOKUP('Données projet'!$B$12,Paramètres!$A$1:$I$88,3,0)*0.475*44/12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projet'!$B$13,Paramètres!$A$1:$I$88,3,0)*VLOOKUP('Données projet'!$B$13,Paramètres!$A$1:$I$88,5,0)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projet'!$B$13,Paramètres!$A$1:$I$88,7,0))</f>
        <v>0</v>
      </c>
      <c r="DD108" s="17">
        <f>IF(ISNA(VLOOKUP(A108,'Données projet'!$A$139:$I$159,6,0)),0%,VLOOKUP(A108,'Données projet'!$A$139:$I$159,6,0)*VLOOKUP('Données projet'!$B$13,Paramètres!$A$1:$I$88,7,0))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projet'!$B$13,Paramètres!$A$1:$I$88,3,0)*0.475*44/12</f>
        <v>#N/A</v>
      </c>
      <c r="DG108" s="23" t="e">
        <f>EXP(-LN(2)/25)*DG107+(1-EXP(-LN(2)/25))/(LN(2)/25)*Calculateur!DB108*Calculateur!DD108*VLOOKUP('Données projet'!$B$13,Paramètres!$A$1:$I$88,3,0)*0.475*44/12</f>
        <v>#N/A</v>
      </c>
      <c r="DH108" s="23" t="e">
        <f>EXP(-LN(2)/2)*DH107+(1-EXP(-LN(2)/2))/(LN(2)/2)*DB108*DE108*VLOOKUP('Données projet'!$B$13,Paramètres!$A$1:$I$88,3,0)*0.475*44/12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projet'!$B$14,Paramètres!$A$1:$I$88,3,0)*VLOOKUP('Données projet'!$B$14,Paramètres!$A$1:$I$88,5,0)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projet'!$B$14,Paramètres!$A$1:$I$88,7,0))</f>
        <v>0</v>
      </c>
      <c r="DY108" s="17">
        <f>IF(ISNA(VLOOKUP(A108,'Données projet'!$A$165:$I$185,6,0)),0%,VLOOKUP(A108,'Données projet'!$A$165:$I$185,6,0)*VLOOKUP('Données projet'!$B$14,Paramètres!$A$1:$I$88,7,0))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projet'!$B$14,Paramètres!$A$1:$I$88,3,0)*0.475*44/12</f>
        <v>#N/A</v>
      </c>
      <c r="EB108" s="23" t="e">
        <f>EXP(-LN(2)/25)*EB107+(1-EXP(-LN(2)/25))/(LN(2)/25)*Calculateur!DW108*Calculateur!DY108*VLOOKUP('Données projet'!$B$14,Paramètres!$A$1:$I$88,3,0)*0.475*44/12</f>
        <v>#N/A</v>
      </c>
      <c r="EC108" s="23" t="e">
        <f>EXP(-LN(2)/2)*EC107+(1-EXP(-LN(2)/2))/(LN(2)/2)*DW108*DZ108*VLOOKUP('Données projet'!$B$14,Paramètres!$A$1:$I$88,3,0)*0.475*44/12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projet'!$B$15,Paramètres!$A$1:$I$88,3,0)*VLOOKUP('Données projet'!$B$15,Paramètres!$A$1:$I$88,5,0)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projet'!$B$15,Paramètres!$A$1:$I$88,7,0))</f>
        <v>0</v>
      </c>
      <c r="ET108" s="17">
        <f>IF(ISNA(VLOOKUP(A108,'Données projet'!$A$191:$I$211,6,0)),0%,VLOOKUP(A108,'Données projet'!$A$191:$I$211,6,0)*VLOOKUP('Données projet'!$B$15,Paramètres!$A$1:$I$88,7,0))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projet'!$B$15,Paramètres!$A$1:$I$88,3,0)*0.475*44/12</f>
        <v>#N/A</v>
      </c>
      <c r="EW108" s="23" t="e">
        <f>EXP(-LN(2)/25)*EW107+(1-EXP(-LN(2)/25))/(LN(2)/25)*Calculateur!ER108*Calculateur!ET108*VLOOKUP('Données projet'!$B$15,Paramètres!$A$1:$I$88,3,0)*0.475*44/12</f>
        <v>#N/A</v>
      </c>
      <c r="EX108" s="23" t="e">
        <f>EXP(-LN(2)/2)*EX107+(1-EXP(-LN(2)/2))/(LN(2)/2)*ER108*EU108*VLOOKUP('Données projet'!$B$15,Paramètres!$A$1:$I$88,3,0)*0.475*44/12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projet'!$B$16,Paramètres!$A$1:$I$88,3,0)*VLOOKUP('Données projet'!$B$16,Paramètres!$A$1:$I$88,5,0)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projet'!$B$16,Paramètres!$A$1:$I$88,7,0))</f>
        <v>0</v>
      </c>
      <c r="FO108" s="17">
        <f>IF(ISNA(VLOOKUP(A108,'Données projet'!$A$217:$I$237,6,0)),0%,VLOOKUP(A108,'Données projet'!$A$217:$I$237,6,0)*VLOOKUP('Données projet'!$B$16,Paramètres!$A$1:$I$88,7,0))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projet'!$B$16,Paramètres!$A$1:$I$88,3,0)*0.475*44/12</f>
        <v>#N/A</v>
      </c>
      <c r="FR108" s="23" t="e">
        <f>EXP(-LN(2)/25)*FR107+(1-EXP(-LN(2)/25))/(LN(2)/25)*Calculateur!FM108*Calculateur!FO108*VLOOKUP('Données projet'!$B$16,Paramètres!$A$1:$I$88,3,0)*0.475*44/12</f>
        <v>#N/A</v>
      </c>
      <c r="FS108" s="23" t="e">
        <f>EXP(-LN(2)/2)*FS107+(1-EXP(-LN(2)/2))/(LN(2)/2)*FM108*FP108*VLOOKUP('Données projet'!$B$16,Paramètres!$A$1:$I$88,3,0)*0.475*44/12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projet'!$B$17,Paramètres!$A$1:$I$88,3,0)*VLOOKUP('Données projet'!$B$17,Paramètres!$A$1:$I$88,5,0)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projet'!$B$17,Paramètres!$A$1:$I$88,7,0))</f>
        <v>0</v>
      </c>
      <c r="GJ108" s="17">
        <f>IF(ISNA(VLOOKUP(A108,'Données projet'!$A$243:$I$263,6,0)),0%,VLOOKUP(A108,'Données projet'!$A$243:$I$263,6,0)*VLOOKUP('Données projet'!$B$17,Paramètres!$A$1:$I$88,7,0))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projet'!$B$17,Paramètres!$A$1:$I$88,3,0)*0.475*44/12</f>
        <v>#N/A</v>
      </c>
      <c r="GM108" s="23" t="e">
        <f>EXP(-LN(2)/25)*GM107+(1-EXP(-LN(2)/25))/(LN(2)/25)*Calculateur!GH108*Calculateur!GJ108*VLOOKUP('Données projet'!$B$17,Paramètres!$A$1:$I$88,3,0)*0.475*44/12</f>
        <v>#N/A</v>
      </c>
      <c r="GN108" s="23" t="e">
        <f>EXP(-LN(2)/2)*GN107+(1-EXP(-LN(2)/2))/(LN(2)/2)*GH108*GK108*VLOOKUP('Données projet'!$B$17,Paramètres!$A$1:$I$88,3,0)*0.475*44/12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projet'!$B$18,Paramètres!$A$1:$I$88,3,0)*VLOOKUP('Données projet'!$B$18,Paramètres!$A$1:$I$88,5,0)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projet'!$B$18,Paramètres!$A$1:$I$88,7,0))</f>
        <v>0</v>
      </c>
      <c r="HE108" s="17">
        <f>IF(ISNA(VLOOKUP(A108,'Données projet'!$A$269:$I$289,6,0)),0%,VLOOKUP(A108,'Données projet'!$A$269:$I$289,6,0)*VLOOKUP('Données projet'!$B$18,Paramètres!$A$1:$I$88,7,0))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projet'!$B$18,Paramètres!$A$1:$I$88,3,0)*0.475*44/12</f>
        <v>#N/A</v>
      </c>
      <c r="HH108" s="23" t="e">
        <f>EXP(-LN(2)/25)*HH107+(1-EXP(-LN(2)/25))/(LN(2)/25)*Calculateur!HC108*Calculateur!HE108*VLOOKUP('Données projet'!$B$18,Paramètres!$A$1:$I$88,3,0)*0.475*44/12</f>
        <v>#N/A</v>
      </c>
      <c r="HI108" s="23" t="e">
        <f>EXP(-LN(2)/2)*HI107+(1-EXP(-LN(2)/2))/(LN(2)/2)*HC108*HF108*VLOOKUP('Données projet'!$B$18,Paramètres!$A$1:$I$88,3,0)*0.475*44/12</f>
        <v>#N/A</v>
      </c>
      <c r="HJ108" s="24" t="e">
        <f t="shared" si="84"/>
        <v>#N/A</v>
      </c>
    </row>
    <row r="109" spans="1:218" s="5" customFormat="1" x14ac:dyDescent="0.3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4.5474735088646412E-13</v>
      </c>
      <c r="O109" s="14">
        <f>N109*VLOOKUP('Données projet'!$B$9,Paramètres!$A$1:$I$88,3,0)*VLOOKUP('Données projet'!$B$9,Paramètres!$A$1:$I$88,5,0)</f>
        <v>2.5420376914553347E-13</v>
      </c>
      <c r="P109" s="14">
        <f t="shared" si="87"/>
        <v>3.4258699088369875E-12</v>
      </c>
      <c r="Q109" s="22">
        <f t="shared" si="107"/>
        <v>6.4094616558195571E-12</v>
      </c>
      <c r="R109" s="62">
        <f t="shared" si="55"/>
        <v>278.99181358813553</v>
      </c>
      <c r="S109" s="62">
        <f ca="1">AVERAGE(OFFSET($R$3,0,0,'Données projet'!$E$9+1,1))-AVERAGE(OFFSET($H$3,0,0,'Données projet'!$E$9+1,1))</f>
        <v>367.03450586441784</v>
      </c>
      <c r="T109" s="62">
        <f t="shared" si="88"/>
        <v>413.14502442862897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projet'!$B$9,Paramètres!$A$1:$I$88,7,0))</f>
        <v>0</v>
      </c>
      <c r="X109" s="17">
        <f>IF(ISNA(VLOOKUP(A109,'Données projet'!$A$35:$I$55,6,0)),0%,VLOOKUP(A109,'Données projet'!$A$35:$I$55,6,0)*VLOOKUP('Données projet'!$B$9,Paramètres!$A$1:$I$88,7,0))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projet'!$B$9,Paramètres!$A$1:$I$88,3,0)*0.475*44/12</f>
        <v>96.296387444368506</v>
      </c>
      <c r="AA109" s="23">
        <f>EXP(-LN(2)/25)*AA108+(1-EXP(-LN(2)/25))/(LN(2)/25)*Calculateur!V109*Calculateur!X109*VLOOKUP('Données projet'!$B$9,Paramètres!$A$1:$I$88,3,0)*0.475*44/12</f>
        <v>36.926439615413699</v>
      </c>
      <c r="AB109" s="23">
        <f>EXP(-LN(2)/2)*AB108+(1-EXP(-LN(2)/2))/(LN(2)/2)*V109*Y109*VLOOKUP('Données projet'!$B$9,Paramètres!$A$1:$I$88,3,0)*0.475*44/12</f>
        <v>0</v>
      </c>
      <c r="AC109" s="24">
        <f t="shared" si="57"/>
        <v>133.22282705978222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projet'!$B$10,Paramètres!$A$1:$I$88,3,0)*VLOOKUP('Données projet'!$B$10,Paramètres!$A$1:$I$88,5,0)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projet'!$B$10,Paramètres!$A$1:$I$88,7,0))</f>
        <v>0</v>
      </c>
      <c r="AS109" s="17">
        <f>IF(ISNA(VLOOKUP(A109,'Données projet'!$A$61:$I$81,6,0)),0%,VLOOKUP(A109,'Données projet'!$A$61:$I$81,6,0)*VLOOKUP('Données projet'!$B$10,Paramètres!$A$1:$I$88,7,0))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projet'!$B$10,Paramètres!$A$1:$I$88,3,0)*0.475*44/12</f>
        <v>#N/A</v>
      </c>
      <c r="AV109" s="23" t="e">
        <f>EXP(-LN(2)/25)*AV108+(1-EXP(-LN(2)/25))/(LN(2)/25)*Calculateur!AQ109*Calculateur!AS109*VLOOKUP('Données projet'!$B$10,Paramètres!$A$1:$I$88,3,0)*0.475*44/12</f>
        <v>#N/A</v>
      </c>
      <c r="AW109" s="23" t="e">
        <f>EXP(-LN(2)/2)*AW108+(1-EXP(-LN(2)/2))/(LN(2)/2)*AQ109*AT109*VLOOKUP('Données projet'!$B$10,Paramètres!$A$1:$I$88,3,0)*0.475*44/12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projet'!$B$11,Paramètres!$A$1:$I$88,3,0)*VLOOKUP('Données projet'!$B$11,Paramètres!$A$1:$I$88,5,0)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projet'!$B$11,Paramètres!$A$1:$I$88,7,0))</f>
        <v>0</v>
      </c>
      <c r="BN109" s="17">
        <f>IF(ISNA(VLOOKUP(A109,'Données projet'!$A$87:$I$107,6,0)),0%,VLOOKUP(A109,'Données projet'!$A$87:$I$107,6,0)*VLOOKUP('Données projet'!$B$11,Paramètres!$A$1:$I$88,7,0))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projet'!$B$11,Paramètres!$A$1:$I$88,3,0)*0.475*44/12</f>
        <v>#N/A</v>
      </c>
      <c r="BQ109" s="23" t="e">
        <f>EXP(-LN(2)/25)*BQ108+(1-EXP(-LN(2)/25))/(LN(2)/25)*Calculateur!BL109*Calculateur!BN109*VLOOKUP('Données projet'!$B$11,Paramètres!$A$1:$I$88,3,0)*0.475*44/12</f>
        <v>#N/A</v>
      </c>
      <c r="BR109" s="23" t="e">
        <f>EXP(-LN(2)/2)*BR108+(1-EXP(-LN(2)/2))/(LN(2)/2)*BL109*BO109*VLOOKUP('Données projet'!$B$11,Paramètres!$A$1:$I$88,3,0)*0.475*44/12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projet'!$B$12,Paramètres!$A$1:$I$88,3,0)*VLOOKUP('Données projet'!$B$12,Paramètres!$A$1:$I$88,5,0)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projet'!$B$12,Paramètres!$A$1:$I$88,7,0))</f>
        <v>0</v>
      </c>
      <c r="CI109" s="17">
        <f>IF(ISNA(VLOOKUP(A109,'Données projet'!$A$113:$I$133,6,0)),0%,VLOOKUP(A109,'Données projet'!$A$113:$I$133,6,0)*VLOOKUP('Données projet'!$B$12,Paramètres!$A$1:$I$88,7,0))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projet'!$B$12,Paramètres!$A$1:$I$88,3,0)*0.475*44/12</f>
        <v>#N/A</v>
      </c>
      <c r="CL109" s="23" t="e">
        <f>EXP(-LN(2)/25)*CL108+(1-EXP(-LN(2)/25))/(LN(2)/25)*Calculateur!CG109*Calculateur!CI109*VLOOKUP('Données projet'!$B$12,Paramètres!$A$1:$I$88,3,0)*0.475*44/12</f>
        <v>#N/A</v>
      </c>
      <c r="CM109" s="23" t="e">
        <f>EXP(-LN(2)/2)*CM108+(1-EXP(-LN(2)/2))/(LN(2)/2)*CG109*CJ109*VLOOKUP('Données projet'!$B$12,Paramètres!$A$1:$I$88,3,0)*0.475*44/12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projet'!$B$13,Paramètres!$A$1:$I$88,3,0)*VLOOKUP('Données projet'!$B$13,Paramètres!$A$1:$I$88,5,0)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projet'!$B$13,Paramètres!$A$1:$I$88,7,0))</f>
        <v>0</v>
      </c>
      <c r="DD109" s="17">
        <f>IF(ISNA(VLOOKUP(A109,'Données projet'!$A$139:$I$159,6,0)),0%,VLOOKUP(A109,'Données projet'!$A$139:$I$159,6,0)*VLOOKUP('Données projet'!$B$13,Paramètres!$A$1:$I$88,7,0))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projet'!$B$13,Paramètres!$A$1:$I$88,3,0)*0.475*44/12</f>
        <v>#N/A</v>
      </c>
      <c r="DG109" s="23" t="e">
        <f>EXP(-LN(2)/25)*DG108+(1-EXP(-LN(2)/25))/(LN(2)/25)*Calculateur!DB109*Calculateur!DD109*VLOOKUP('Données projet'!$B$13,Paramètres!$A$1:$I$88,3,0)*0.475*44/12</f>
        <v>#N/A</v>
      </c>
      <c r="DH109" s="23" t="e">
        <f>EXP(-LN(2)/2)*DH108+(1-EXP(-LN(2)/2))/(LN(2)/2)*DB109*DE109*VLOOKUP('Données projet'!$B$13,Paramètres!$A$1:$I$88,3,0)*0.475*44/12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projet'!$B$14,Paramètres!$A$1:$I$88,3,0)*VLOOKUP('Données projet'!$B$14,Paramètres!$A$1:$I$88,5,0)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projet'!$B$14,Paramètres!$A$1:$I$88,7,0))</f>
        <v>0</v>
      </c>
      <c r="DY109" s="17">
        <f>IF(ISNA(VLOOKUP(A109,'Données projet'!$A$165:$I$185,6,0)),0%,VLOOKUP(A109,'Données projet'!$A$165:$I$185,6,0)*VLOOKUP('Données projet'!$B$14,Paramètres!$A$1:$I$88,7,0))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projet'!$B$14,Paramètres!$A$1:$I$88,3,0)*0.475*44/12</f>
        <v>#N/A</v>
      </c>
      <c r="EB109" s="23" t="e">
        <f>EXP(-LN(2)/25)*EB108+(1-EXP(-LN(2)/25))/(LN(2)/25)*Calculateur!DW109*Calculateur!DY109*VLOOKUP('Données projet'!$B$14,Paramètres!$A$1:$I$88,3,0)*0.475*44/12</f>
        <v>#N/A</v>
      </c>
      <c r="EC109" s="23" t="e">
        <f>EXP(-LN(2)/2)*EC108+(1-EXP(-LN(2)/2))/(LN(2)/2)*DW109*DZ109*VLOOKUP('Données projet'!$B$14,Paramètres!$A$1:$I$88,3,0)*0.475*44/12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projet'!$B$15,Paramètres!$A$1:$I$88,3,0)*VLOOKUP('Données projet'!$B$15,Paramètres!$A$1:$I$88,5,0)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projet'!$B$15,Paramètres!$A$1:$I$88,7,0))</f>
        <v>0</v>
      </c>
      <c r="ET109" s="17">
        <f>IF(ISNA(VLOOKUP(A109,'Données projet'!$A$191:$I$211,6,0)),0%,VLOOKUP(A109,'Données projet'!$A$191:$I$211,6,0)*VLOOKUP('Données projet'!$B$15,Paramètres!$A$1:$I$88,7,0))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projet'!$B$15,Paramètres!$A$1:$I$88,3,0)*0.475*44/12</f>
        <v>#N/A</v>
      </c>
      <c r="EW109" s="23" t="e">
        <f>EXP(-LN(2)/25)*EW108+(1-EXP(-LN(2)/25))/(LN(2)/25)*Calculateur!ER109*Calculateur!ET109*VLOOKUP('Données projet'!$B$15,Paramètres!$A$1:$I$88,3,0)*0.475*44/12</f>
        <v>#N/A</v>
      </c>
      <c r="EX109" s="23" t="e">
        <f>EXP(-LN(2)/2)*EX108+(1-EXP(-LN(2)/2))/(LN(2)/2)*ER109*EU109*VLOOKUP('Données projet'!$B$15,Paramètres!$A$1:$I$88,3,0)*0.475*44/12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projet'!$B$16,Paramètres!$A$1:$I$88,3,0)*VLOOKUP('Données projet'!$B$16,Paramètres!$A$1:$I$88,5,0)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projet'!$B$16,Paramètres!$A$1:$I$88,7,0))</f>
        <v>0</v>
      </c>
      <c r="FO109" s="17">
        <f>IF(ISNA(VLOOKUP(A109,'Données projet'!$A$217:$I$237,6,0)),0%,VLOOKUP(A109,'Données projet'!$A$217:$I$237,6,0)*VLOOKUP('Données projet'!$B$16,Paramètres!$A$1:$I$88,7,0))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projet'!$B$16,Paramètres!$A$1:$I$88,3,0)*0.475*44/12</f>
        <v>#N/A</v>
      </c>
      <c r="FR109" s="23" t="e">
        <f>EXP(-LN(2)/25)*FR108+(1-EXP(-LN(2)/25))/(LN(2)/25)*Calculateur!FM109*Calculateur!FO109*VLOOKUP('Données projet'!$B$16,Paramètres!$A$1:$I$88,3,0)*0.475*44/12</f>
        <v>#N/A</v>
      </c>
      <c r="FS109" s="23" t="e">
        <f>EXP(-LN(2)/2)*FS108+(1-EXP(-LN(2)/2))/(LN(2)/2)*FM109*FP109*VLOOKUP('Données projet'!$B$16,Paramètres!$A$1:$I$88,3,0)*0.475*44/12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projet'!$B$17,Paramètres!$A$1:$I$88,3,0)*VLOOKUP('Données projet'!$B$17,Paramètres!$A$1:$I$88,5,0)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projet'!$B$17,Paramètres!$A$1:$I$88,7,0))</f>
        <v>0</v>
      </c>
      <c r="GJ109" s="17">
        <f>IF(ISNA(VLOOKUP(A109,'Données projet'!$A$243:$I$263,6,0)),0%,VLOOKUP(A109,'Données projet'!$A$243:$I$263,6,0)*VLOOKUP('Données projet'!$B$17,Paramètres!$A$1:$I$88,7,0))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projet'!$B$17,Paramètres!$A$1:$I$88,3,0)*0.475*44/12</f>
        <v>#N/A</v>
      </c>
      <c r="GM109" s="23" t="e">
        <f>EXP(-LN(2)/25)*GM108+(1-EXP(-LN(2)/25))/(LN(2)/25)*Calculateur!GH109*Calculateur!GJ109*VLOOKUP('Données projet'!$B$17,Paramètres!$A$1:$I$88,3,0)*0.475*44/12</f>
        <v>#N/A</v>
      </c>
      <c r="GN109" s="23" t="e">
        <f>EXP(-LN(2)/2)*GN108+(1-EXP(-LN(2)/2))/(LN(2)/2)*GH109*GK109*VLOOKUP('Données projet'!$B$17,Paramètres!$A$1:$I$88,3,0)*0.475*44/12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projet'!$B$18,Paramètres!$A$1:$I$88,3,0)*VLOOKUP('Données projet'!$B$18,Paramètres!$A$1:$I$88,5,0)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projet'!$B$18,Paramètres!$A$1:$I$88,7,0))</f>
        <v>0</v>
      </c>
      <c r="HE109" s="17">
        <f>IF(ISNA(VLOOKUP(A109,'Données projet'!$A$269:$I$289,6,0)),0%,VLOOKUP(A109,'Données projet'!$A$269:$I$289,6,0)*VLOOKUP('Données projet'!$B$18,Paramètres!$A$1:$I$88,7,0))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projet'!$B$18,Paramètres!$A$1:$I$88,3,0)*0.475*44/12</f>
        <v>#N/A</v>
      </c>
      <c r="HH109" s="23" t="e">
        <f>EXP(-LN(2)/25)*HH108+(1-EXP(-LN(2)/25))/(LN(2)/25)*Calculateur!HC109*Calculateur!HE109*VLOOKUP('Données projet'!$B$18,Paramètres!$A$1:$I$88,3,0)*0.475*44/12</f>
        <v>#N/A</v>
      </c>
      <c r="HI109" s="23" t="e">
        <f>EXP(-LN(2)/2)*HI108+(1-EXP(-LN(2)/2))/(LN(2)/2)*HC109*HF109*VLOOKUP('Données projet'!$B$18,Paramètres!$A$1:$I$88,3,0)*0.475*44/12</f>
        <v>#N/A</v>
      </c>
      <c r="HJ109" s="24" t="e">
        <f t="shared" si="84"/>
        <v>#N/A</v>
      </c>
    </row>
    <row r="110" spans="1:218" s="5" customFormat="1" x14ac:dyDescent="0.3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4.5474735088646412E-13</v>
      </c>
      <c r="O110" s="14">
        <f>N110*VLOOKUP('Données projet'!$B$9,Paramètres!$A$1:$I$88,3,0)*VLOOKUP('Données projet'!$B$9,Paramètres!$A$1:$I$88,5,0)</f>
        <v>2.5420376914553347E-13</v>
      </c>
      <c r="P110" s="14">
        <f t="shared" si="87"/>
        <v>3.4258699088369875E-12</v>
      </c>
      <c r="Q110" s="22">
        <f t="shared" si="107"/>
        <v>6.4094616558195571E-12</v>
      </c>
      <c r="R110" s="62">
        <f t="shared" si="55"/>
        <v>279.24060689288007</v>
      </c>
      <c r="S110" s="62">
        <f ca="1">AVERAGE(OFFSET($R$3,0,0,'Données projet'!$E$9+1,1))-AVERAGE(OFFSET($H$3,0,0,'Données projet'!$E$9+1,1))</f>
        <v>367.03450586441784</v>
      </c>
      <c r="T110" s="62">
        <f t="shared" si="88"/>
        <v>413.14502442862897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projet'!$B$9,Paramètres!$A$1:$I$88,7,0))</f>
        <v>0</v>
      </c>
      <c r="X110" s="17">
        <f>IF(ISNA(VLOOKUP(A110,'Données projet'!$A$35:$I$55,6,0)),0%,VLOOKUP(A110,'Données projet'!$A$35:$I$55,6,0)*VLOOKUP('Données projet'!$B$9,Paramètres!$A$1:$I$88,7,0))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projet'!$B$9,Paramètres!$A$1:$I$88,3,0)*0.475*44/12</f>
        <v>94.408074021581186</v>
      </c>
      <c r="AA110" s="23">
        <f>EXP(-LN(2)/25)*AA109+(1-EXP(-LN(2)/25))/(LN(2)/25)*Calculateur!V110*Calculateur!X110*VLOOKUP('Données projet'!$B$9,Paramètres!$A$1:$I$88,3,0)*0.475*44/12</f>
        <v>35.91668418225315</v>
      </c>
      <c r="AB110" s="23">
        <f>EXP(-LN(2)/2)*AB109+(1-EXP(-LN(2)/2))/(LN(2)/2)*V110*Y110*VLOOKUP('Données projet'!$B$9,Paramètres!$A$1:$I$88,3,0)*0.475*44/12</f>
        <v>0</v>
      </c>
      <c r="AC110" s="24">
        <f t="shared" si="57"/>
        <v>130.32475820383434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projet'!$B$10,Paramètres!$A$1:$I$88,3,0)*VLOOKUP('Données projet'!$B$10,Paramètres!$A$1:$I$88,5,0)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projet'!$B$10,Paramètres!$A$1:$I$88,7,0))</f>
        <v>0</v>
      </c>
      <c r="AS110" s="17">
        <f>IF(ISNA(VLOOKUP(A110,'Données projet'!$A$61:$I$81,6,0)),0%,VLOOKUP(A110,'Données projet'!$A$61:$I$81,6,0)*VLOOKUP('Données projet'!$B$10,Paramètres!$A$1:$I$88,7,0))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projet'!$B$10,Paramètres!$A$1:$I$88,3,0)*0.475*44/12</f>
        <v>#N/A</v>
      </c>
      <c r="AV110" s="23" t="e">
        <f>EXP(-LN(2)/25)*AV109+(1-EXP(-LN(2)/25))/(LN(2)/25)*Calculateur!AQ110*Calculateur!AS110*VLOOKUP('Données projet'!$B$10,Paramètres!$A$1:$I$88,3,0)*0.475*44/12</f>
        <v>#N/A</v>
      </c>
      <c r="AW110" s="23" t="e">
        <f>EXP(-LN(2)/2)*AW109+(1-EXP(-LN(2)/2))/(LN(2)/2)*AQ110*AT110*VLOOKUP('Données projet'!$B$10,Paramètres!$A$1:$I$88,3,0)*0.475*44/12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projet'!$B$11,Paramètres!$A$1:$I$88,3,0)*VLOOKUP('Données projet'!$B$11,Paramètres!$A$1:$I$88,5,0)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projet'!$B$11,Paramètres!$A$1:$I$88,7,0))</f>
        <v>0</v>
      </c>
      <c r="BN110" s="17">
        <f>IF(ISNA(VLOOKUP(A110,'Données projet'!$A$87:$I$107,6,0)),0%,VLOOKUP(A110,'Données projet'!$A$87:$I$107,6,0)*VLOOKUP('Données projet'!$B$11,Paramètres!$A$1:$I$88,7,0))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projet'!$B$11,Paramètres!$A$1:$I$88,3,0)*0.475*44/12</f>
        <v>#N/A</v>
      </c>
      <c r="BQ110" s="23" t="e">
        <f>EXP(-LN(2)/25)*BQ109+(1-EXP(-LN(2)/25))/(LN(2)/25)*Calculateur!BL110*Calculateur!BN110*VLOOKUP('Données projet'!$B$11,Paramètres!$A$1:$I$88,3,0)*0.475*44/12</f>
        <v>#N/A</v>
      </c>
      <c r="BR110" s="23" t="e">
        <f>EXP(-LN(2)/2)*BR109+(1-EXP(-LN(2)/2))/(LN(2)/2)*BL110*BO110*VLOOKUP('Données projet'!$B$11,Paramètres!$A$1:$I$88,3,0)*0.475*44/12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projet'!$B$12,Paramètres!$A$1:$I$88,3,0)*VLOOKUP('Données projet'!$B$12,Paramètres!$A$1:$I$88,5,0)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projet'!$B$12,Paramètres!$A$1:$I$88,7,0))</f>
        <v>0</v>
      </c>
      <c r="CI110" s="17">
        <f>IF(ISNA(VLOOKUP(A110,'Données projet'!$A$113:$I$133,6,0)),0%,VLOOKUP(A110,'Données projet'!$A$113:$I$133,6,0)*VLOOKUP('Données projet'!$B$12,Paramètres!$A$1:$I$88,7,0))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projet'!$B$12,Paramètres!$A$1:$I$88,3,0)*0.475*44/12</f>
        <v>#N/A</v>
      </c>
      <c r="CL110" s="23" t="e">
        <f>EXP(-LN(2)/25)*CL109+(1-EXP(-LN(2)/25))/(LN(2)/25)*Calculateur!CG110*Calculateur!CI110*VLOOKUP('Données projet'!$B$12,Paramètres!$A$1:$I$88,3,0)*0.475*44/12</f>
        <v>#N/A</v>
      </c>
      <c r="CM110" s="23" t="e">
        <f>EXP(-LN(2)/2)*CM109+(1-EXP(-LN(2)/2))/(LN(2)/2)*CG110*CJ110*VLOOKUP('Données projet'!$B$12,Paramètres!$A$1:$I$88,3,0)*0.475*44/12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projet'!$B$13,Paramètres!$A$1:$I$88,3,0)*VLOOKUP('Données projet'!$B$13,Paramètres!$A$1:$I$88,5,0)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projet'!$B$13,Paramètres!$A$1:$I$88,7,0))</f>
        <v>0</v>
      </c>
      <c r="DD110" s="17">
        <f>IF(ISNA(VLOOKUP(A110,'Données projet'!$A$139:$I$159,6,0)),0%,VLOOKUP(A110,'Données projet'!$A$139:$I$159,6,0)*VLOOKUP('Données projet'!$B$13,Paramètres!$A$1:$I$88,7,0))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projet'!$B$13,Paramètres!$A$1:$I$88,3,0)*0.475*44/12</f>
        <v>#N/A</v>
      </c>
      <c r="DG110" s="23" t="e">
        <f>EXP(-LN(2)/25)*DG109+(1-EXP(-LN(2)/25))/(LN(2)/25)*Calculateur!DB110*Calculateur!DD110*VLOOKUP('Données projet'!$B$13,Paramètres!$A$1:$I$88,3,0)*0.475*44/12</f>
        <v>#N/A</v>
      </c>
      <c r="DH110" s="23" t="e">
        <f>EXP(-LN(2)/2)*DH109+(1-EXP(-LN(2)/2))/(LN(2)/2)*DB110*DE110*VLOOKUP('Données projet'!$B$13,Paramètres!$A$1:$I$88,3,0)*0.475*44/12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projet'!$B$14,Paramètres!$A$1:$I$88,3,0)*VLOOKUP('Données projet'!$B$14,Paramètres!$A$1:$I$88,5,0)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projet'!$B$14,Paramètres!$A$1:$I$88,7,0))</f>
        <v>0</v>
      </c>
      <c r="DY110" s="17">
        <f>IF(ISNA(VLOOKUP(A110,'Données projet'!$A$165:$I$185,6,0)),0%,VLOOKUP(A110,'Données projet'!$A$165:$I$185,6,0)*VLOOKUP('Données projet'!$B$14,Paramètres!$A$1:$I$88,7,0))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projet'!$B$14,Paramètres!$A$1:$I$88,3,0)*0.475*44/12</f>
        <v>#N/A</v>
      </c>
      <c r="EB110" s="23" t="e">
        <f>EXP(-LN(2)/25)*EB109+(1-EXP(-LN(2)/25))/(LN(2)/25)*Calculateur!DW110*Calculateur!DY110*VLOOKUP('Données projet'!$B$14,Paramètres!$A$1:$I$88,3,0)*0.475*44/12</f>
        <v>#N/A</v>
      </c>
      <c r="EC110" s="23" t="e">
        <f>EXP(-LN(2)/2)*EC109+(1-EXP(-LN(2)/2))/(LN(2)/2)*DW110*DZ110*VLOOKUP('Données projet'!$B$14,Paramètres!$A$1:$I$88,3,0)*0.475*44/12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projet'!$B$15,Paramètres!$A$1:$I$88,3,0)*VLOOKUP('Données projet'!$B$15,Paramètres!$A$1:$I$88,5,0)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projet'!$B$15,Paramètres!$A$1:$I$88,7,0))</f>
        <v>0</v>
      </c>
      <c r="ET110" s="17">
        <f>IF(ISNA(VLOOKUP(A110,'Données projet'!$A$191:$I$211,6,0)),0%,VLOOKUP(A110,'Données projet'!$A$191:$I$211,6,0)*VLOOKUP('Données projet'!$B$15,Paramètres!$A$1:$I$88,7,0))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projet'!$B$15,Paramètres!$A$1:$I$88,3,0)*0.475*44/12</f>
        <v>#N/A</v>
      </c>
      <c r="EW110" s="23" t="e">
        <f>EXP(-LN(2)/25)*EW109+(1-EXP(-LN(2)/25))/(LN(2)/25)*Calculateur!ER110*Calculateur!ET110*VLOOKUP('Données projet'!$B$15,Paramètres!$A$1:$I$88,3,0)*0.475*44/12</f>
        <v>#N/A</v>
      </c>
      <c r="EX110" s="23" t="e">
        <f>EXP(-LN(2)/2)*EX109+(1-EXP(-LN(2)/2))/(LN(2)/2)*ER110*EU110*VLOOKUP('Données projet'!$B$15,Paramètres!$A$1:$I$88,3,0)*0.475*44/12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projet'!$B$16,Paramètres!$A$1:$I$88,3,0)*VLOOKUP('Données projet'!$B$16,Paramètres!$A$1:$I$88,5,0)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projet'!$B$16,Paramètres!$A$1:$I$88,7,0))</f>
        <v>0</v>
      </c>
      <c r="FO110" s="17">
        <f>IF(ISNA(VLOOKUP(A110,'Données projet'!$A$217:$I$237,6,0)),0%,VLOOKUP(A110,'Données projet'!$A$217:$I$237,6,0)*VLOOKUP('Données projet'!$B$16,Paramètres!$A$1:$I$88,7,0))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projet'!$B$16,Paramètres!$A$1:$I$88,3,0)*0.475*44/12</f>
        <v>#N/A</v>
      </c>
      <c r="FR110" s="23" t="e">
        <f>EXP(-LN(2)/25)*FR109+(1-EXP(-LN(2)/25))/(LN(2)/25)*Calculateur!FM110*Calculateur!FO110*VLOOKUP('Données projet'!$B$16,Paramètres!$A$1:$I$88,3,0)*0.475*44/12</f>
        <v>#N/A</v>
      </c>
      <c r="FS110" s="23" t="e">
        <f>EXP(-LN(2)/2)*FS109+(1-EXP(-LN(2)/2))/(LN(2)/2)*FM110*FP110*VLOOKUP('Données projet'!$B$16,Paramètres!$A$1:$I$88,3,0)*0.475*44/12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projet'!$B$17,Paramètres!$A$1:$I$88,3,0)*VLOOKUP('Données projet'!$B$17,Paramètres!$A$1:$I$88,5,0)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projet'!$B$17,Paramètres!$A$1:$I$88,7,0))</f>
        <v>0</v>
      </c>
      <c r="GJ110" s="17">
        <f>IF(ISNA(VLOOKUP(A110,'Données projet'!$A$243:$I$263,6,0)),0%,VLOOKUP(A110,'Données projet'!$A$243:$I$263,6,0)*VLOOKUP('Données projet'!$B$17,Paramètres!$A$1:$I$88,7,0))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projet'!$B$17,Paramètres!$A$1:$I$88,3,0)*0.475*44/12</f>
        <v>#N/A</v>
      </c>
      <c r="GM110" s="23" t="e">
        <f>EXP(-LN(2)/25)*GM109+(1-EXP(-LN(2)/25))/(LN(2)/25)*Calculateur!GH110*Calculateur!GJ110*VLOOKUP('Données projet'!$B$17,Paramètres!$A$1:$I$88,3,0)*0.475*44/12</f>
        <v>#N/A</v>
      </c>
      <c r="GN110" s="23" t="e">
        <f>EXP(-LN(2)/2)*GN109+(1-EXP(-LN(2)/2))/(LN(2)/2)*GH110*GK110*VLOOKUP('Données projet'!$B$17,Paramètres!$A$1:$I$88,3,0)*0.475*44/12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projet'!$B$18,Paramètres!$A$1:$I$88,3,0)*VLOOKUP('Données projet'!$B$18,Paramètres!$A$1:$I$88,5,0)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projet'!$B$18,Paramètres!$A$1:$I$88,7,0))</f>
        <v>0</v>
      </c>
      <c r="HE110" s="17">
        <f>IF(ISNA(VLOOKUP(A110,'Données projet'!$A$269:$I$289,6,0)),0%,VLOOKUP(A110,'Données projet'!$A$269:$I$289,6,0)*VLOOKUP('Données projet'!$B$18,Paramètres!$A$1:$I$88,7,0))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projet'!$B$18,Paramètres!$A$1:$I$88,3,0)*0.475*44/12</f>
        <v>#N/A</v>
      </c>
      <c r="HH110" s="23" t="e">
        <f>EXP(-LN(2)/25)*HH109+(1-EXP(-LN(2)/25))/(LN(2)/25)*Calculateur!HC110*Calculateur!HE110*VLOOKUP('Données projet'!$B$18,Paramètres!$A$1:$I$88,3,0)*0.475*44/12</f>
        <v>#N/A</v>
      </c>
      <c r="HI110" s="23" t="e">
        <f>EXP(-LN(2)/2)*HI109+(1-EXP(-LN(2)/2))/(LN(2)/2)*HC110*HF110*VLOOKUP('Données projet'!$B$18,Paramètres!$A$1:$I$88,3,0)*0.475*44/12</f>
        <v>#N/A</v>
      </c>
      <c r="HJ110" s="24" t="e">
        <f t="shared" si="84"/>
        <v>#N/A</v>
      </c>
    </row>
    <row r="111" spans="1:218" s="5" customFormat="1" x14ac:dyDescent="0.3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4.5474735088646412E-13</v>
      </c>
      <c r="O111" s="14">
        <f>N111*VLOOKUP('Données projet'!$B$9,Paramètres!$A$1:$I$88,3,0)*VLOOKUP('Données projet'!$B$9,Paramètres!$A$1:$I$88,5,0)</f>
        <v>2.5420376914553347E-13</v>
      </c>
      <c r="P111" s="14">
        <f t="shared" si="87"/>
        <v>3.4258699088369875E-12</v>
      </c>
      <c r="Q111" s="22">
        <f t="shared" si="107"/>
        <v>6.4094616558195571E-12</v>
      </c>
      <c r="R111" s="62">
        <f t="shared" si="55"/>
        <v>279.48508419000575</v>
      </c>
      <c r="S111" s="62">
        <f ca="1">AVERAGE(OFFSET($R$3,0,0,'Données projet'!$E$9+1,1))-AVERAGE(OFFSET($H$3,0,0,'Données projet'!$E$9+1,1))</f>
        <v>367.03450586441784</v>
      </c>
      <c r="T111" s="62">
        <f t="shared" si="88"/>
        <v>413.14502442862897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projet'!$B$9,Paramètres!$A$1:$I$88,7,0))</f>
        <v>0</v>
      </c>
      <c r="X111" s="17">
        <f>IF(ISNA(VLOOKUP(A111,'Données projet'!$A$35:$I$55,6,0)),0%,VLOOKUP(A111,'Données projet'!$A$35:$I$55,6,0)*VLOOKUP('Données projet'!$B$9,Paramètres!$A$1:$I$88,7,0))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projet'!$B$9,Paramètres!$A$1:$I$88,3,0)*0.475*44/12</f>
        <v>92.556789273257266</v>
      </c>
      <c r="AA111" s="23">
        <f>EXP(-LN(2)/25)*AA110+(1-EXP(-LN(2)/25))/(LN(2)/25)*Calculateur!V111*Calculateur!X111*VLOOKUP('Données projet'!$B$9,Paramètres!$A$1:$I$88,3,0)*0.475*44/12</f>
        <v>34.934540564513107</v>
      </c>
      <c r="AB111" s="23">
        <f>EXP(-LN(2)/2)*AB110+(1-EXP(-LN(2)/2))/(LN(2)/2)*V111*Y111*VLOOKUP('Données projet'!$B$9,Paramètres!$A$1:$I$88,3,0)*0.475*44/12</f>
        <v>0</v>
      </c>
      <c r="AC111" s="24">
        <f t="shared" si="57"/>
        <v>127.49132983777037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projet'!$B$10,Paramètres!$A$1:$I$88,3,0)*VLOOKUP('Données projet'!$B$10,Paramètres!$A$1:$I$88,5,0)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projet'!$B$10,Paramètres!$A$1:$I$88,7,0))</f>
        <v>0</v>
      </c>
      <c r="AS111" s="17">
        <f>IF(ISNA(VLOOKUP(A111,'Données projet'!$A$61:$I$81,6,0)),0%,VLOOKUP(A111,'Données projet'!$A$61:$I$81,6,0)*VLOOKUP('Données projet'!$B$10,Paramètres!$A$1:$I$88,7,0))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projet'!$B$10,Paramètres!$A$1:$I$88,3,0)*0.475*44/12</f>
        <v>#N/A</v>
      </c>
      <c r="AV111" s="23" t="e">
        <f>EXP(-LN(2)/25)*AV110+(1-EXP(-LN(2)/25))/(LN(2)/25)*Calculateur!AQ111*Calculateur!AS111*VLOOKUP('Données projet'!$B$10,Paramètres!$A$1:$I$88,3,0)*0.475*44/12</f>
        <v>#N/A</v>
      </c>
      <c r="AW111" s="23" t="e">
        <f>EXP(-LN(2)/2)*AW110+(1-EXP(-LN(2)/2))/(LN(2)/2)*AQ111*AT111*VLOOKUP('Données projet'!$B$10,Paramètres!$A$1:$I$88,3,0)*0.475*44/12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projet'!$B$11,Paramètres!$A$1:$I$88,3,0)*VLOOKUP('Données projet'!$B$11,Paramètres!$A$1:$I$88,5,0)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projet'!$B$11,Paramètres!$A$1:$I$88,7,0))</f>
        <v>0</v>
      </c>
      <c r="BN111" s="17">
        <f>IF(ISNA(VLOOKUP(A111,'Données projet'!$A$87:$I$107,6,0)),0%,VLOOKUP(A111,'Données projet'!$A$87:$I$107,6,0)*VLOOKUP('Données projet'!$B$11,Paramètres!$A$1:$I$88,7,0))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projet'!$B$11,Paramètres!$A$1:$I$88,3,0)*0.475*44/12</f>
        <v>#N/A</v>
      </c>
      <c r="BQ111" s="23" t="e">
        <f>EXP(-LN(2)/25)*BQ110+(1-EXP(-LN(2)/25))/(LN(2)/25)*Calculateur!BL111*Calculateur!BN111*VLOOKUP('Données projet'!$B$11,Paramètres!$A$1:$I$88,3,0)*0.475*44/12</f>
        <v>#N/A</v>
      </c>
      <c r="BR111" s="23" t="e">
        <f>EXP(-LN(2)/2)*BR110+(1-EXP(-LN(2)/2))/(LN(2)/2)*BL111*BO111*VLOOKUP('Données projet'!$B$11,Paramètres!$A$1:$I$88,3,0)*0.475*44/12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projet'!$B$12,Paramètres!$A$1:$I$88,3,0)*VLOOKUP('Données projet'!$B$12,Paramètres!$A$1:$I$88,5,0)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projet'!$B$12,Paramètres!$A$1:$I$88,7,0))</f>
        <v>0</v>
      </c>
      <c r="CI111" s="17">
        <f>IF(ISNA(VLOOKUP(A111,'Données projet'!$A$113:$I$133,6,0)),0%,VLOOKUP(A111,'Données projet'!$A$113:$I$133,6,0)*VLOOKUP('Données projet'!$B$12,Paramètres!$A$1:$I$88,7,0))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projet'!$B$12,Paramètres!$A$1:$I$88,3,0)*0.475*44/12</f>
        <v>#N/A</v>
      </c>
      <c r="CL111" s="23" t="e">
        <f>EXP(-LN(2)/25)*CL110+(1-EXP(-LN(2)/25))/(LN(2)/25)*Calculateur!CG111*Calculateur!CI111*VLOOKUP('Données projet'!$B$12,Paramètres!$A$1:$I$88,3,0)*0.475*44/12</f>
        <v>#N/A</v>
      </c>
      <c r="CM111" s="23" t="e">
        <f>EXP(-LN(2)/2)*CM110+(1-EXP(-LN(2)/2))/(LN(2)/2)*CG111*CJ111*VLOOKUP('Données projet'!$B$12,Paramètres!$A$1:$I$88,3,0)*0.475*44/12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projet'!$B$13,Paramètres!$A$1:$I$88,3,0)*VLOOKUP('Données projet'!$B$13,Paramètres!$A$1:$I$88,5,0)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projet'!$B$13,Paramètres!$A$1:$I$88,7,0))</f>
        <v>0</v>
      </c>
      <c r="DD111" s="17">
        <f>IF(ISNA(VLOOKUP(A111,'Données projet'!$A$139:$I$159,6,0)),0%,VLOOKUP(A111,'Données projet'!$A$139:$I$159,6,0)*VLOOKUP('Données projet'!$B$13,Paramètres!$A$1:$I$88,7,0))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projet'!$B$13,Paramètres!$A$1:$I$88,3,0)*0.475*44/12</f>
        <v>#N/A</v>
      </c>
      <c r="DG111" s="23" t="e">
        <f>EXP(-LN(2)/25)*DG110+(1-EXP(-LN(2)/25))/(LN(2)/25)*Calculateur!DB111*Calculateur!DD111*VLOOKUP('Données projet'!$B$13,Paramètres!$A$1:$I$88,3,0)*0.475*44/12</f>
        <v>#N/A</v>
      </c>
      <c r="DH111" s="23" t="e">
        <f>EXP(-LN(2)/2)*DH110+(1-EXP(-LN(2)/2))/(LN(2)/2)*DB111*DE111*VLOOKUP('Données projet'!$B$13,Paramètres!$A$1:$I$88,3,0)*0.475*44/12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projet'!$B$14,Paramètres!$A$1:$I$88,3,0)*VLOOKUP('Données projet'!$B$14,Paramètres!$A$1:$I$88,5,0)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projet'!$B$14,Paramètres!$A$1:$I$88,7,0))</f>
        <v>0</v>
      </c>
      <c r="DY111" s="17">
        <f>IF(ISNA(VLOOKUP(A111,'Données projet'!$A$165:$I$185,6,0)),0%,VLOOKUP(A111,'Données projet'!$A$165:$I$185,6,0)*VLOOKUP('Données projet'!$B$14,Paramètres!$A$1:$I$88,7,0))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projet'!$B$14,Paramètres!$A$1:$I$88,3,0)*0.475*44/12</f>
        <v>#N/A</v>
      </c>
      <c r="EB111" s="23" t="e">
        <f>EXP(-LN(2)/25)*EB110+(1-EXP(-LN(2)/25))/(LN(2)/25)*Calculateur!DW111*Calculateur!DY111*VLOOKUP('Données projet'!$B$14,Paramètres!$A$1:$I$88,3,0)*0.475*44/12</f>
        <v>#N/A</v>
      </c>
      <c r="EC111" s="23" t="e">
        <f>EXP(-LN(2)/2)*EC110+(1-EXP(-LN(2)/2))/(LN(2)/2)*DW111*DZ111*VLOOKUP('Données projet'!$B$14,Paramètres!$A$1:$I$88,3,0)*0.475*44/12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projet'!$B$15,Paramètres!$A$1:$I$88,3,0)*VLOOKUP('Données projet'!$B$15,Paramètres!$A$1:$I$88,5,0)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projet'!$B$15,Paramètres!$A$1:$I$88,7,0))</f>
        <v>0</v>
      </c>
      <c r="ET111" s="17">
        <f>IF(ISNA(VLOOKUP(A111,'Données projet'!$A$191:$I$211,6,0)),0%,VLOOKUP(A111,'Données projet'!$A$191:$I$211,6,0)*VLOOKUP('Données projet'!$B$15,Paramètres!$A$1:$I$88,7,0))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projet'!$B$15,Paramètres!$A$1:$I$88,3,0)*0.475*44/12</f>
        <v>#N/A</v>
      </c>
      <c r="EW111" s="23" t="e">
        <f>EXP(-LN(2)/25)*EW110+(1-EXP(-LN(2)/25))/(LN(2)/25)*Calculateur!ER111*Calculateur!ET111*VLOOKUP('Données projet'!$B$15,Paramètres!$A$1:$I$88,3,0)*0.475*44/12</f>
        <v>#N/A</v>
      </c>
      <c r="EX111" s="23" t="e">
        <f>EXP(-LN(2)/2)*EX110+(1-EXP(-LN(2)/2))/(LN(2)/2)*ER111*EU111*VLOOKUP('Données projet'!$B$15,Paramètres!$A$1:$I$88,3,0)*0.475*44/12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projet'!$B$16,Paramètres!$A$1:$I$88,3,0)*VLOOKUP('Données projet'!$B$16,Paramètres!$A$1:$I$88,5,0)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projet'!$B$16,Paramètres!$A$1:$I$88,7,0))</f>
        <v>0</v>
      </c>
      <c r="FO111" s="17">
        <f>IF(ISNA(VLOOKUP(A111,'Données projet'!$A$217:$I$237,6,0)),0%,VLOOKUP(A111,'Données projet'!$A$217:$I$237,6,0)*VLOOKUP('Données projet'!$B$16,Paramètres!$A$1:$I$88,7,0))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projet'!$B$16,Paramètres!$A$1:$I$88,3,0)*0.475*44/12</f>
        <v>#N/A</v>
      </c>
      <c r="FR111" s="23" t="e">
        <f>EXP(-LN(2)/25)*FR110+(1-EXP(-LN(2)/25))/(LN(2)/25)*Calculateur!FM111*Calculateur!FO111*VLOOKUP('Données projet'!$B$16,Paramètres!$A$1:$I$88,3,0)*0.475*44/12</f>
        <v>#N/A</v>
      </c>
      <c r="FS111" s="23" t="e">
        <f>EXP(-LN(2)/2)*FS110+(1-EXP(-LN(2)/2))/(LN(2)/2)*FM111*FP111*VLOOKUP('Données projet'!$B$16,Paramètres!$A$1:$I$88,3,0)*0.475*44/12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projet'!$B$17,Paramètres!$A$1:$I$88,3,0)*VLOOKUP('Données projet'!$B$17,Paramètres!$A$1:$I$88,5,0)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projet'!$B$17,Paramètres!$A$1:$I$88,7,0))</f>
        <v>0</v>
      </c>
      <c r="GJ111" s="17">
        <f>IF(ISNA(VLOOKUP(A111,'Données projet'!$A$243:$I$263,6,0)),0%,VLOOKUP(A111,'Données projet'!$A$243:$I$263,6,0)*VLOOKUP('Données projet'!$B$17,Paramètres!$A$1:$I$88,7,0))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projet'!$B$17,Paramètres!$A$1:$I$88,3,0)*0.475*44/12</f>
        <v>#N/A</v>
      </c>
      <c r="GM111" s="23" t="e">
        <f>EXP(-LN(2)/25)*GM110+(1-EXP(-LN(2)/25))/(LN(2)/25)*Calculateur!GH111*Calculateur!GJ111*VLOOKUP('Données projet'!$B$17,Paramètres!$A$1:$I$88,3,0)*0.475*44/12</f>
        <v>#N/A</v>
      </c>
      <c r="GN111" s="23" t="e">
        <f>EXP(-LN(2)/2)*GN110+(1-EXP(-LN(2)/2))/(LN(2)/2)*GH111*GK111*VLOOKUP('Données projet'!$B$17,Paramètres!$A$1:$I$88,3,0)*0.475*44/12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projet'!$B$18,Paramètres!$A$1:$I$88,3,0)*VLOOKUP('Données projet'!$B$18,Paramètres!$A$1:$I$88,5,0)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projet'!$B$18,Paramètres!$A$1:$I$88,7,0))</f>
        <v>0</v>
      </c>
      <c r="HE111" s="17">
        <f>IF(ISNA(VLOOKUP(A111,'Données projet'!$A$269:$I$289,6,0)),0%,VLOOKUP(A111,'Données projet'!$A$269:$I$289,6,0)*VLOOKUP('Données projet'!$B$18,Paramètres!$A$1:$I$88,7,0))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projet'!$B$18,Paramètres!$A$1:$I$88,3,0)*0.475*44/12</f>
        <v>#N/A</v>
      </c>
      <c r="HH111" s="23" t="e">
        <f>EXP(-LN(2)/25)*HH110+(1-EXP(-LN(2)/25))/(LN(2)/25)*Calculateur!HC111*Calculateur!HE111*VLOOKUP('Données projet'!$B$18,Paramètres!$A$1:$I$88,3,0)*0.475*44/12</f>
        <v>#N/A</v>
      </c>
      <c r="HI111" s="23" t="e">
        <f>EXP(-LN(2)/2)*HI110+(1-EXP(-LN(2)/2))/(LN(2)/2)*HC111*HF111*VLOOKUP('Données projet'!$B$18,Paramètres!$A$1:$I$88,3,0)*0.475*44/12</f>
        <v>#N/A</v>
      </c>
      <c r="HJ111" s="24" t="e">
        <f t="shared" si="84"/>
        <v>#N/A</v>
      </c>
    </row>
    <row r="112" spans="1:218" s="5" customFormat="1" x14ac:dyDescent="0.3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4.5474735088646412E-13</v>
      </c>
      <c r="O112" s="14">
        <f>N112*VLOOKUP('Données projet'!$B$9,Paramètres!$A$1:$I$88,3,0)*VLOOKUP('Données projet'!$B$9,Paramètres!$A$1:$I$88,5,0)</f>
        <v>2.5420376914553347E-13</v>
      </c>
      <c r="P112" s="14">
        <f t="shared" si="87"/>
        <v>3.4258699088369875E-12</v>
      </c>
      <c r="Q112" s="22">
        <f t="shared" si="107"/>
        <v>6.4094616558195571E-12</v>
      </c>
      <c r="R112" s="62">
        <f t="shared" si="55"/>
        <v>279.7253203525957</v>
      </c>
      <c r="S112" s="62">
        <f ca="1">AVERAGE(OFFSET($R$3,0,0,'Données projet'!$E$9+1,1))-AVERAGE(OFFSET($H$3,0,0,'Données projet'!$E$9+1,1))</f>
        <v>367.03450586441784</v>
      </c>
      <c r="T112" s="62">
        <f t="shared" si="88"/>
        <v>413.14502442862897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projet'!$B$9,Paramètres!$A$1:$I$88,7,0))</f>
        <v>0</v>
      </c>
      <c r="X112" s="17">
        <f>IF(ISNA(VLOOKUP(A112,'Données projet'!$A$35:$I$55,6,0)),0%,VLOOKUP(A112,'Données projet'!$A$35:$I$55,6,0)*VLOOKUP('Données projet'!$B$9,Paramètres!$A$1:$I$88,7,0))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projet'!$B$9,Paramètres!$A$1:$I$88,3,0)*0.475*44/12</f>
        <v>90.741807089675774</v>
      </c>
      <c r="AA112" s="23">
        <f>EXP(-LN(2)/25)*AA111+(1-EXP(-LN(2)/25))/(LN(2)/25)*Calculateur!V112*Calculateur!X112*VLOOKUP('Données projet'!$B$9,Paramètres!$A$1:$I$88,3,0)*0.475*44/12</f>
        <v>33.979253715648852</v>
      </c>
      <c r="AB112" s="23">
        <f>EXP(-LN(2)/2)*AB111+(1-EXP(-LN(2)/2))/(LN(2)/2)*V112*Y112*VLOOKUP('Données projet'!$B$9,Paramètres!$A$1:$I$88,3,0)*0.475*44/12</f>
        <v>0</v>
      </c>
      <c r="AC112" s="24">
        <f t="shared" si="57"/>
        <v>124.72106080532463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projet'!$B$10,Paramètres!$A$1:$I$88,3,0)*VLOOKUP('Données projet'!$B$10,Paramètres!$A$1:$I$88,5,0)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projet'!$B$10,Paramètres!$A$1:$I$88,7,0))</f>
        <v>0</v>
      </c>
      <c r="AS112" s="17">
        <f>IF(ISNA(VLOOKUP(A112,'Données projet'!$A$61:$I$81,6,0)),0%,VLOOKUP(A112,'Données projet'!$A$61:$I$81,6,0)*VLOOKUP('Données projet'!$B$10,Paramètres!$A$1:$I$88,7,0))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projet'!$B$10,Paramètres!$A$1:$I$88,3,0)*0.475*44/12</f>
        <v>#N/A</v>
      </c>
      <c r="AV112" s="23" t="e">
        <f>EXP(-LN(2)/25)*AV111+(1-EXP(-LN(2)/25))/(LN(2)/25)*Calculateur!AQ112*Calculateur!AS112*VLOOKUP('Données projet'!$B$10,Paramètres!$A$1:$I$88,3,0)*0.475*44/12</f>
        <v>#N/A</v>
      </c>
      <c r="AW112" s="23" t="e">
        <f>EXP(-LN(2)/2)*AW111+(1-EXP(-LN(2)/2))/(LN(2)/2)*AQ112*AT112*VLOOKUP('Données projet'!$B$10,Paramètres!$A$1:$I$88,3,0)*0.475*44/12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projet'!$B$11,Paramètres!$A$1:$I$88,3,0)*VLOOKUP('Données projet'!$B$11,Paramètres!$A$1:$I$88,5,0)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projet'!$B$11,Paramètres!$A$1:$I$88,7,0))</f>
        <v>0</v>
      </c>
      <c r="BN112" s="17">
        <f>IF(ISNA(VLOOKUP(A112,'Données projet'!$A$87:$I$107,6,0)),0%,VLOOKUP(A112,'Données projet'!$A$87:$I$107,6,0)*VLOOKUP('Données projet'!$B$11,Paramètres!$A$1:$I$88,7,0))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projet'!$B$11,Paramètres!$A$1:$I$88,3,0)*0.475*44/12</f>
        <v>#N/A</v>
      </c>
      <c r="BQ112" s="23" t="e">
        <f>EXP(-LN(2)/25)*BQ111+(1-EXP(-LN(2)/25))/(LN(2)/25)*Calculateur!BL112*Calculateur!BN112*VLOOKUP('Données projet'!$B$11,Paramètres!$A$1:$I$88,3,0)*0.475*44/12</f>
        <v>#N/A</v>
      </c>
      <c r="BR112" s="23" t="e">
        <f>EXP(-LN(2)/2)*BR111+(1-EXP(-LN(2)/2))/(LN(2)/2)*BL112*BO112*VLOOKUP('Données projet'!$B$11,Paramètres!$A$1:$I$88,3,0)*0.475*44/12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projet'!$B$12,Paramètres!$A$1:$I$88,3,0)*VLOOKUP('Données projet'!$B$12,Paramètres!$A$1:$I$88,5,0)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projet'!$B$12,Paramètres!$A$1:$I$88,7,0))</f>
        <v>0</v>
      </c>
      <c r="CI112" s="17">
        <f>IF(ISNA(VLOOKUP(A112,'Données projet'!$A$113:$I$133,6,0)),0%,VLOOKUP(A112,'Données projet'!$A$113:$I$133,6,0)*VLOOKUP('Données projet'!$B$12,Paramètres!$A$1:$I$88,7,0))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projet'!$B$12,Paramètres!$A$1:$I$88,3,0)*0.475*44/12</f>
        <v>#N/A</v>
      </c>
      <c r="CL112" s="23" t="e">
        <f>EXP(-LN(2)/25)*CL111+(1-EXP(-LN(2)/25))/(LN(2)/25)*Calculateur!CG112*Calculateur!CI112*VLOOKUP('Données projet'!$B$12,Paramètres!$A$1:$I$88,3,0)*0.475*44/12</f>
        <v>#N/A</v>
      </c>
      <c r="CM112" s="23" t="e">
        <f>EXP(-LN(2)/2)*CM111+(1-EXP(-LN(2)/2))/(LN(2)/2)*CG112*CJ112*VLOOKUP('Données projet'!$B$12,Paramètres!$A$1:$I$88,3,0)*0.475*44/12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projet'!$B$13,Paramètres!$A$1:$I$88,3,0)*VLOOKUP('Données projet'!$B$13,Paramètres!$A$1:$I$88,5,0)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projet'!$B$13,Paramètres!$A$1:$I$88,7,0))</f>
        <v>0</v>
      </c>
      <c r="DD112" s="17">
        <f>IF(ISNA(VLOOKUP(A112,'Données projet'!$A$139:$I$159,6,0)),0%,VLOOKUP(A112,'Données projet'!$A$139:$I$159,6,0)*VLOOKUP('Données projet'!$B$13,Paramètres!$A$1:$I$88,7,0))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projet'!$B$13,Paramètres!$A$1:$I$88,3,0)*0.475*44/12</f>
        <v>#N/A</v>
      </c>
      <c r="DG112" s="23" t="e">
        <f>EXP(-LN(2)/25)*DG111+(1-EXP(-LN(2)/25))/(LN(2)/25)*Calculateur!DB112*Calculateur!DD112*VLOOKUP('Données projet'!$B$13,Paramètres!$A$1:$I$88,3,0)*0.475*44/12</f>
        <v>#N/A</v>
      </c>
      <c r="DH112" s="23" t="e">
        <f>EXP(-LN(2)/2)*DH111+(1-EXP(-LN(2)/2))/(LN(2)/2)*DB112*DE112*VLOOKUP('Données projet'!$B$13,Paramètres!$A$1:$I$88,3,0)*0.475*44/12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projet'!$B$14,Paramètres!$A$1:$I$88,3,0)*VLOOKUP('Données projet'!$B$14,Paramètres!$A$1:$I$88,5,0)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projet'!$B$14,Paramètres!$A$1:$I$88,7,0))</f>
        <v>0</v>
      </c>
      <c r="DY112" s="17">
        <f>IF(ISNA(VLOOKUP(A112,'Données projet'!$A$165:$I$185,6,0)),0%,VLOOKUP(A112,'Données projet'!$A$165:$I$185,6,0)*VLOOKUP('Données projet'!$B$14,Paramètres!$A$1:$I$88,7,0))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projet'!$B$14,Paramètres!$A$1:$I$88,3,0)*0.475*44/12</f>
        <v>#N/A</v>
      </c>
      <c r="EB112" s="23" t="e">
        <f>EXP(-LN(2)/25)*EB111+(1-EXP(-LN(2)/25))/(LN(2)/25)*Calculateur!DW112*Calculateur!DY112*VLOOKUP('Données projet'!$B$14,Paramètres!$A$1:$I$88,3,0)*0.475*44/12</f>
        <v>#N/A</v>
      </c>
      <c r="EC112" s="23" t="e">
        <f>EXP(-LN(2)/2)*EC111+(1-EXP(-LN(2)/2))/(LN(2)/2)*DW112*DZ112*VLOOKUP('Données projet'!$B$14,Paramètres!$A$1:$I$88,3,0)*0.475*44/12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projet'!$B$15,Paramètres!$A$1:$I$88,3,0)*VLOOKUP('Données projet'!$B$15,Paramètres!$A$1:$I$88,5,0)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projet'!$B$15,Paramètres!$A$1:$I$88,7,0))</f>
        <v>0</v>
      </c>
      <c r="ET112" s="17">
        <f>IF(ISNA(VLOOKUP(A112,'Données projet'!$A$191:$I$211,6,0)),0%,VLOOKUP(A112,'Données projet'!$A$191:$I$211,6,0)*VLOOKUP('Données projet'!$B$15,Paramètres!$A$1:$I$88,7,0))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projet'!$B$15,Paramètres!$A$1:$I$88,3,0)*0.475*44/12</f>
        <v>#N/A</v>
      </c>
      <c r="EW112" s="23" t="e">
        <f>EXP(-LN(2)/25)*EW111+(1-EXP(-LN(2)/25))/(LN(2)/25)*Calculateur!ER112*Calculateur!ET112*VLOOKUP('Données projet'!$B$15,Paramètres!$A$1:$I$88,3,0)*0.475*44/12</f>
        <v>#N/A</v>
      </c>
      <c r="EX112" s="23" t="e">
        <f>EXP(-LN(2)/2)*EX111+(1-EXP(-LN(2)/2))/(LN(2)/2)*ER112*EU112*VLOOKUP('Données projet'!$B$15,Paramètres!$A$1:$I$88,3,0)*0.475*44/12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projet'!$B$16,Paramètres!$A$1:$I$88,3,0)*VLOOKUP('Données projet'!$B$16,Paramètres!$A$1:$I$88,5,0)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projet'!$B$16,Paramètres!$A$1:$I$88,7,0))</f>
        <v>0</v>
      </c>
      <c r="FO112" s="17">
        <f>IF(ISNA(VLOOKUP(A112,'Données projet'!$A$217:$I$237,6,0)),0%,VLOOKUP(A112,'Données projet'!$A$217:$I$237,6,0)*VLOOKUP('Données projet'!$B$16,Paramètres!$A$1:$I$88,7,0))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projet'!$B$16,Paramètres!$A$1:$I$88,3,0)*0.475*44/12</f>
        <v>#N/A</v>
      </c>
      <c r="FR112" s="23" t="e">
        <f>EXP(-LN(2)/25)*FR111+(1-EXP(-LN(2)/25))/(LN(2)/25)*Calculateur!FM112*Calculateur!FO112*VLOOKUP('Données projet'!$B$16,Paramètres!$A$1:$I$88,3,0)*0.475*44/12</f>
        <v>#N/A</v>
      </c>
      <c r="FS112" s="23" t="e">
        <f>EXP(-LN(2)/2)*FS111+(1-EXP(-LN(2)/2))/(LN(2)/2)*FM112*FP112*VLOOKUP('Données projet'!$B$16,Paramètres!$A$1:$I$88,3,0)*0.475*44/12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projet'!$B$17,Paramètres!$A$1:$I$88,3,0)*VLOOKUP('Données projet'!$B$17,Paramètres!$A$1:$I$88,5,0)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projet'!$B$17,Paramètres!$A$1:$I$88,7,0))</f>
        <v>0</v>
      </c>
      <c r="GJ112" s="17">
        <f>IF(ISNA(VLOOKUP(A112,'Données projet'!$A$243:$I$263,6,0)),0%,VLOOKUP(A112,'Données projet'!$A$243:$I$263,6,0)*VLOOKUP('Données projet'!$B$17,Paramètres!$A$1:$I$88,7,0))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projet'!$B$17,Paramètres!$A$1:$I$88,3,0)*0.475*44/12</f>
        <v>#N/A</v>
      </c>
      <c r="GM112" s="23" t="e">
        <f>EXP(-LN(2)/25)*GM111+(1-EXP(-LN(2)/25))/(LN(2)/25)*Calculateur!GH112*Calculateur!GJ112*VLOOKUP('Données projet'!$B$17,Paramètres!$A$1:$I$88,3,0)*0.475*44/12</f>
        <v>#N/A</v>
      </c>
      <c r="GN112" s="23" t="e">
        <f>EXP(-LN(2)/2)*GN111+(1-EXP(-LN(2)/2))/(LN(2)/2)*GH112*GK112*VLOOKUP('Données projet'!$B$17,Paramètres!$A$1:$I$88,3,0)*0.475*44/12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projet'!$B$18,Paramètres!$A$1:$I$88,3,0)*VLOOKUP('Données projet'!$B$18,Paramètres!$A$1:$I$88,5,0)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projet'!$B$18,Paramètres!$A$1:$I$88,7,0))</f>
        <v>0</v>
      </c>
      <c r="HE112" s="17">
        <f>IF(ISNA(VLOOKUP(A112,'Données projet'!$A$269:$I$289,6,0)),0%,VLOOKUP(A112,'Données projet'!$A$269:$I$289,6,0)*VLOOKUP('Données projet'!$B$18,Paramètres!$A$1:$I$88,7,0))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projet'!$B$18,Paramètres!$A$1:$I$88,3,0)*0.475*44/12</f>
        <v>#N/A</v>
      </c>
      <c r="HH112" s="23" t="e">
        <f>EXP(-LN(2)/25)*HH111+(1-EXP(-LN(2)/25))/(LN(2)/25)*Calculateur!HC112*Calculateur!HE112*VLOOKUP('Données projet'!$B$18,Paramètres!$A$1:$I$88,3,0)*0.475*44/12</f>
        <v>#N/A</v>
      </c>
      <c r="HI112" s="23" t="e">
        <f>EXP(-LN(2)/2)*HI111+(1-EXP(-LN(2)/2))/(LN(2)/2)*HC112*HF112*VLOOKUP('Données projet'!$B$18,Paramètres!$A$1:$I$88,3,0)*0.475*44/12</f>
        <v>#N/A</v>
      </c>
      <c r="HJ112" s="24" t="e">
        <f t="shared" si="84"/>
        <v>#N/A</v>
      </c>
    </row>
    <row r="113" spans="1:218" s="5" customFormat="1" x14ac:dyDescent="0.3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4.5474735088646412E-13</v>
      </c>
      <c r="O113" s="14">
        <f>N113*VLOOKUP('Données projet'!$B$9,Paramètres!$A$1:$I$88,3,0)*VLOOKUP('Données projet'!$B$9,Paramètres!$A$1:$I$88,5,0)</f>
        <v>2.5420376914553347E-13</v>
      </c>
      <c r="P113" s="14">
        <f t="shared" si="87"/>
        <v>3.4258699088369875E-12</v>
      </c>
      <c r="Q113" s="22">
        <f t="shared" si="107"/>
        <v>6.4094616558195571E-12</v>
      </c>
      <c r="R113" s="62">
        <f t="shared" si="55"/>
        <v>279.96138895485228</v>
      </c>
      <c r="S113" s="62">
        <f ca="1">AVERAGE(OFFSET($R$3,0,0,'Données projet'!$E$9+1,1))-AVERAGE(OFFSET($H$3,0,0,'Données projet'!$E$9+1,1))</f>
        <v>367.03450586441784</v>
      </c>
      <c r="T113" s="62">
        <f t="shared" si="88"/>
        <v>413.14502442862897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projet'!$B$9,Paramètres!$A$1:$I$88,7,0))</f>
        <v>0</v>
      </c>
      <c r="X113" s="17">
        <f>IF(ISNA(VLOOKUP(A113,'Données projet'!$A$35:$I$55,6,0)),0%,VLOOKUP(A113,'Données projet'!$A$35:$I$55,6,0)*VLOOKUP('Données projet'!$B$9,Paramètres!$A$1:$I$88,7,0))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projet'!$B$9,Paramètres!$A$1:$I$88,3,0)*0.475*44/12</f>
        <v>88.962415599684491</v>
      </c>
      <c r="AA113" s="23">
        <f>EXP(-LN(2)/25)*AA112+(1-EXP(-LN(2)/25))/(LN(2)/25)*Calculateur!V113*Calculateur!X113*VLOOKUP('Données projet'!$B$9,Paramètres!$A$1:$I$88,3,0)*0.475*44/12</f>
        <v>33.050089235903144</v>
      </c>
      <c r="AB113" s="23">
        <f>EXP(-LN(2)/2)*AB112+(1-EXP(-LN(2)/2))/(LN(2)/2)*V113*Y113*VLOOKUP('Données projet'!$B$9,Paramètres!$A$1:$I$88,3,0)*0.475*44/12</f>
        <v>0</v>
      </c>
      <c r="AC113" s="24">
        <f t="shared" si="57"/>
        <v>122.01250483558763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projet'!$B$10,Paramètres!$A$1:$I$88,3,0)*VLOOKUP('Données projet'!$B$10,Paramètres!$A$1:$I$88,5,0)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projet'!$B$10,Paramètres!$A$1:$I$88,7,0))</f>
        <v>0</v>
      </c>
      <c r="AS113" s="17">
        <f>IF(ISNA(VLOOKUP(A113,'Données projet'!$A$61:$I$81,6,0)),0%,VLOOKUP(A113,'Données projet'!$A$61:$I$81,6,0)*VLOOKUP('Données projet'!$B$10,Paramètres!$A$1:$I$88,7,0))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projet'!$B$10,Paramètres!$A$1:$I$88,3,0)*0.475*44/12</f>
        <v>#N/A</v>
      </c>
      <c r="AV113" s="23" t="e">
        <f>EXP(-LN(2)/25)*AV112+(1-EXP(-LN(2)/25))/(LN(2)/25)*Calculateur!AQ113*Calculateur!AS113*VLOOKUP('Données projet'!$B$10,Paramètres!$A$1:$I$88,3,0)*0.475*44/12</f>
        <v>#N/A</v>
      </c>
      <c r="AW113" s="23" t="e">
        <f>EXP(-LN(2)/2)*AW112+(1-EXP(-LN(2)/2))/(LN(2)/2)*AQ113*AT113*VLOOKUP('Données projet'!$B$10,Paramètres!$A$1:$I$88,3,0)*0.475*44/12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projet'!$B$11,Paramètres!$A$1:$I$88,3,0)*VLOOKUP('Données projet'!$B$11,Paramètres!$A$1:$I$88,5,0)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projet'!$B$11,Paramètres!$A$1:$I$88,7,0))</f>
        <v>0</v>
      </c>
      <c r="BN113" s="17">
        <f>IF(ISNA(VLOOKUP(A113,'Données projet'!$A$87:$I$107,6,0)),0%,VLOOKUP(A113,'Données projet'!$A$87:$I$107,6,0)*VLOOKUP('Données projet'!$B$11,Paramètres!$A$1:$I$88,7,0))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projet'!$B$11,Paramètres!$A$1:$I$88,3,0)*0.475*44/12</f>
        <v>#N/A</v>
      </c>
      <c r="BQ113" s="23" t="e">
        <f>EXP(-LN(2)/25)*BQ112+(1-EXP(-LN(2)/25))/(LN(2)/25)*Calculateur!BL113*Calculateur!BN113*VLOOKUP('Données projet'!$B$11,Paramètres!$A$1:$I$88,3,0)*0.475*44/12</f>
        <v>#N/A</v>
      </c>
      <c r="BR113" s="23" t="e">
        <f>EXP(-LN(2)/2)*BR112+(1-EXP(-LN(2)/2))/(LN(2)/2)*BL113*BO113*VLOOKUP('Données projet'!$B$11,Paramètres!$A$1:$I$88,3,0)*0.475*44/12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projet'!$B$12,Paramètres!$A$1:$I$88,3,0)*VLOOKUP('Données projet'!$B$12,Paramètres!$A$1:$I$88,5,0)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projet'!$B$12,Paramètres!$A$1:$I$88,7,0))</f>
        <v>0</v>
      </c>
      <c r="CI113" s="17">
        <f>IF(ISNA(VLOOKUP(A113,'Données projet'!$A$113:$I$133,6,0)),0%,VLOOKUP(A113,'Données projet'!$A$113:$I$133,6,0)*VLOOKUP('Données projet'!$B$12,Paramètres!$A$1:$I$88,7,0))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projet'!$B$12,Paramètres!$A$1:$I$88,3,0)*0.475*44/12</f>
        <v>#N/A</v>
      </c>
      <c r="CL113" s="23" t="e">
        <f>EXP(-LN(2)/25)*CL112+(1-EXP(-LN(2)/25))/(LN(2)/25)*Calculateur!CG113*Calculateur!CI113*VLOOKUP('Données projet'!$B$12,Paramètres!$A$1:$I$88,3,0)*0.475*44/12</f>
        <v>#N/A</v>
      </c>
      <c r="CM113" s="23" t="e">
        <f>EXP(-LN(2)/2)*CM112+(1-EXP(-LN(2)/2))/(LN(2)/2)*CG113*CJ113*VLOOKUP('Données projet'!$B$12,Paramètres!$A$1:$I$88,3,0)*0.475*44/12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projet'!$B$13,Paramètres!$A$1:$I$88,3,0)*VLOOKUP('Données projet'!$B$13,Paramètres!$A$1:$I$88,5,0)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projet'!$B$13,Paramètres!$A$1:$I$88,7,0))</f>
        <v>0</v>
      </c>
      <c r="DD113" s="17">
        <f>IF(ISNA(VLOOKUP(A113,'Données projet'!$A$139:$I$159,6,0)),0%,VLOOKUP(A113,'Données projet'!$A$139:$I$159,6,0)*VLOOKUP('Données projet'!$B$13,Paramètres!$A$1:$I$88,7,0))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projet'!$B$13,Paramètres!$A$1:$I$88,3,0)*0.475*44/12</f>
        <v>#N/A</v>
      </c>
      <c r="DG113" s="23" t="e">
        <f>EXP(-LN(2)/25)*DG112+(1-EXP(-LN(2)/25))/(LN(2)/25)*Calculateur!DB113*Calculateur!DD113*VLOOKUP('Données projet'!$B$13,Paramètres!$A$1:$I$88,3,0)*0.475*44/12</f>
        <v>#N/A</v>
      </c>
      <c r="DH113" s="23" t="e">
        <f>EXP(-LN(2)/2)*DH112+(1-EXP(-LN(2)/2))/(LN(2)/2)*DB113*DE113*VLOOKUP('Données projet'!$B$13,Paramètres!$A$1:$I$88,3,0)*0.475*44/12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projet'!$B$14,Paramètres!$A$1:$I$88,3,0)*VLOOKUP('Données projet'!$B$14,Paramètres!$A$1:$I$88,5,0)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projet'!$B$14,Paramètres!$A$1:$I$88,7,0))</f>
        <v>0</v>
      </c>
      <c r="DY113" s="17">
        <f>IF(ISNA(VLOOKUP(A113,'Données projet'!$A$165:$I$185,6,0)),0%,VLOOKUP(A113,'Données projet'!$A$165:$I$185,6,0)*VLOOKUP('Données projet'!$B$14,Paramètres!$A$1:$I$88,7,0))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projet'!$B$14,Paramètres!$A$1:$I$88,3,0)*0.475*44/12</f>
        <v>#N/A</v>
      </c>
      <c r="EB113" s="23" t="e">
        <f>EXP(-LN(2)/25)*EB112+(1-EXP(-LN(2)/25))/(LN(2)/25)*Calculateur!DW113*Calculateur!DY113*VLOOKUP('Données projet'!$B$14,Paramètres!$A$1:$I$88,3,0)*0.475*44/12</f>
        <v>#N/A</v>
      </c>
      <c r="EC113" s="23" t="e">
        <f>EXP(-LN(2)/2)*EC112+(1-EXP(-LN(2)/2))/(LN(2)/2)*DW113*DZ113*VLOOKUP('Données projet'!$B$14,Paramètres!$A$1:$I$88,3,0)*0.475*44/12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projet'!$B$15,Paramètres!$A$1:$I$88,3,0)*VLOOKUP('Données projet'!$B$15,Paramètres!$A$1:$I$88,5,0)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projet'!$B$15,Paramètres!$A$1:$I$88,7,0))</f>
        <v>0</v>
      </c>
      <c r="ET113" s="17">
        <f>IF(ISNA(VLOOKUP(A113,'Données projet'!$A$191:$I$211,6,0)),0%,VLOOKUP(A113,'Données projet'!$A$191:$I$211,6,0)*VLOOKUP('Données projet'!$B$15,Paramètres!$A$1:$I$88,7,0))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projet'!$B$15,Paramètres!$A$1:$I$88,3,0)*0.475*44/12</f>
        <v>#N/A</v>
      </c>
      <c r="EW113" s="23" t="e">
        <f>EXP(-LN(2)/25)*EW112+(1-EXP(-LN(2)/25))/(LN(2)/25)*Calculateur!ER113*Calculateur!ET113*VLOOKUP('Données projet'!$B$15,Paramètres!$A$1:$I$88,3,0)*0.475*44/12</f>
        <v>#N/A</v>
      </c>
      <c r="EX113" s="23" t="e">
        <f>EXP(-LN(2)/2)*EX112+(1-EXP(-LN(2)/2))/(LN(2)/2)*ER113*EU113*VLOOKUP('Données projet'!$B$15,Paramètres!$A$1:$I$88,3,0)*0.475*44/12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projet'!$B$16,Paramètres!$A$1:$I$88,3,0)*VLOOKUP('Données projet'!$B$16,Paramètres!$A$1:$I$88,5,0)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projet'!$B$16,Paramètres!$A$1:$I$88,7,0))</f>
        <v>0</v>
      </c>
      <c r="FO113" s="17">
        <f>IF(ISNA(VLOOKUP(A113,'Données projet'!$A$217:$I$237,6,0)),0%,VLOOKUP(A113,'Données projet'!$A$217:$I$237,6,0)*VLOOKUP('Données projet'!$B$16,Paramètres!$A$1:$I$88,7,0))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projet'!$B$16,Paramètres!$A$1:$I$88,3,0)*0.475*44/12</f>
        <v>#N/A</v>
      </c>
      <c r="FR113" s="23" t="e">
        <f>EXP(-LN(2)/25)*FR112+(1-EXP(-LN(2)/25))/(LN(2)/25)*Calculateur!FM113*Calculateur!FO113*VLOOKUP('Données projet'!$B$16,Paramètres!$A$1:$I$88,3,0)*0.475*44/12</f>
        <v>#N/A</v>
      </c>
      <c r="FS113" s="23" t="e">
        <f>EXP(-LN(2)/2)*FS112+(1-EXP(-LN(2)/2))/(LN(2)/2)*FM113*FP113*VLOOKUP('Données projet'!$B$16,Paramètres!$A$1:$I$88,3,0)*0.475*44/12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projet'!$B$17,Paramètres!$A$1:$I$88,3,0)*VLOOKUP('Données projet'!$B$17,Paramètres!$A$1:$I$88,5,0)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projet'!$B$17,Paramètres!$A$1:$I$88,7,0))</f>
        <v>0</v>
      </c>
      <c r="GJ113" s="17">
        <f>IF(ISNA(VLOOKUP(A113,'Données projet'!$A$243:$I$263,6,0)),0%,VLOOKUP(A113,'Données projet'!$A$243:$I$263,6,0)*VLOOKUP('Données projet'!$B$17,Paramètres!$A$1:$I$88,7,0))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projet'!$B$17,Paramètres!$A$1:$I$88,3,0)*0.475*44/12</f>
        <v>#N/A</v>
      </c>
      <c r="GM113" s="23" t="e">
        <f>EXP(-LN(2)/25)*GM112+(1-EXP(-LN(2)/25))/(LN(2)/25)*Calculateur!GH113*Calculateur!GJ113*VLOOKUP('Données projet'!$B$17,Paramètres!$A$1:$I$88,3,0)*0.475*44/12</f>
        <v>#N/A</v>
      </c>
      <c r="GN113" s="23" t="e">
        <f>EXP(-LN(2)/2)*GN112+(1-EXP(-LN(2)/2))/(LN(2)/2)*GH113*GK113*VLOOKUP('Données projet'!$B$17,Paramètres!$A$1:$I$88,3,0)*0.475*44/12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projet'!$B$18,Paramètres!$A$1:$I$88,3,0)*VLOOKUP('Données projet'!$B$18,Paramètres!$A$1:$I$88,5,0)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projet'!$B$18,Paramètres!$A$1:$I$88,7,0))</f>
        <v>0</v>
      </c>
      <c r="HE113" s="17">
        <f>IF(ISNA(VLOOKUP(A113,'Données projet'!$A$269:$I$289,6,0)),0%,VLOOKUP(A113,'Données projet'!$A$269:$I$289,6,0)*VLOOKUP('Données projet'!$B$18,Paramètres!$A$1:$I$88,7,0))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projet'!$B$18,Paramètres!$A$1:$I$88,3,0)*0.475*44/12</f>
        <v>#N/A</v>
      </c>
      <c r="HH113" s="23" t="e">
        <f>EXP(-LN(2)/25)*HH112+(1-EXP(-LN(2)/25))/(LN(2)/25)*Calculateur!HC113*Calculateur!HE113*VLOOKUP('Données projet'!$B$18,Paramètres!$A$1:$I$88,3,0)*0.475*44/12</f>
        <v>#N/A</v>
      </c>
      <c r="HI113" s="23" t="e">
        <f>EXP(-LN(2)/2)*HI112+(1-EXP(-LN(2)/2))/(LN(2)/2)*HC113*HF113*VLOOKUP('Données projet'!$B$18,Paramètres!$A$1:$I$88,3,0)*0.475*44/12</f>
        <v>#N/A</v>
      </c>
      <c r="HJ113" s="24" t="e">
        <f t="shared" si="84"/>
        <v>#N/A</v>
      </c>
    </row>
    <row r="114" spans="1:218" s="5" customFormat="1" x14ac:dyDescent="0.3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4.5474735088646412E-13</v>
      </c>
      <c r="O114" s="14">
        <f>N114*VLOOKUP('Données projet'!$B$9,Paramètres!$A$1:$I$88,3,0)*VLOOKUP('Données projet'!$B$9,Paramètres!$A$1:$I$88,5,0)</f>
        <v>2.5420376914553347E-13</v>
      </c>
      <c r="P114" s="14">
        <f t="shared" si="87"/>
        <v>3.4258699088369875E-12</v>
      </c>
      <c r="Q114" s="22">
        <f t="shared" si="107"/>
        <v>6.4094616558195571E-12</v>
      </c>
      <c r="R114" s="62">
        <f t="shared" si="55"/>
        <v>280.19336229462999</v>
      </c>
      <c r="S114" s="62">
        <f ca="1">AVERAGE(OFFSET($R$3,0,0,'Données projet'!$E$9+1,1))-AVERAGE(OFFSET($H$3,0,0,'Données projet'!$E$9+1,1))</f>
        <v>367.03450586441784</v>
      </c>
      <c r="T114" s="62">
        <f t="shared" si="88"/>
        <v>413.14502442862897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projet'!$B$9,Paramètres!$A$1:$I$88,7,0))</f>
        <v>0</v>
      </c>
      <c r="X114" s="17">
        <f>IF(ISNA(VLOOKUP(A114,'Données projet'!$A$35:$I$55,6,0)),0%,VLOOKUP(A114,'Données projet'!$A$35:$I$55,6,0)*VLOOKUP('Données projet'!$B$9,Paramètres!$A$1:$I$88,7,0))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projet'!$B$9,Paramètres!$A$1:$I$88,3,0)*0.475*44/12</f>
        <v>87.21791689149029</v>
      </c>
      <c r="AA114" s="23">
        <f>EXP(-LN(2)/25)*AA113+(1-EXP(-LN(2)/25))/(LN(2)/25)*Calculateur!V114*Calculateur!X114*VLOOKUP('Données projet'!$B$9,Paramètres!$A$1:$I$88,3,0)*0.475*44/12</f>
        <v>32.146332807718714</v>
      </c>
      <c r="AB114" s="23">
        <f>EXP(-LN(2)/2)*AB113+(1-EXP(-LN(2)/2))/(LN(2)/2)*V114*Y114*VLOOKUP('Données projet'!$B$9,Paramètres!$A$1:$I$88,3,0)*0.475*44/12</f>
        <v>0</v>
      </c>
      <c r="AC114" s="24">
        <f t="shared" si="57"/>
        <v>119.36424969920901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projet'!$B$10,Paramètres!$A$1:$I$88,3,0)*VLOOKUP('Données projet'!$B$10,Paramètres!$A$1:$I$88,5,0)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projet'!$B$10,Paramètres!$A$1:$I$88,7,0))</f>
        <v>0</v>
      </c>
      <c r="AS114" s="17">
        <f>IF(ISNA(VLOOKUP(A114,'Données projet'!$A$61:$I$81,6,0)),0%,VLOOKUP(A114,'Données projet'!$A$61:$I$81,6,0)*VLOOKUP('Données projet'!$B$10,Paramètres!$A$1:$I$88,7,0))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projet'!$B$10,Paramètres!$A$1:$I$88,3,0)*0.475*44/12</f>
        <v>#N/A</v>
      </c>
      <c r="AV114" s="23" t="e">
        <f>EXP(-LN(2)/25)*AV113+(1-EXP(-LN(2)/25))/(LN(2)/25)*Calculateur!AQ114*Calculateur!AS114*VLOOKUP('Données projet'!$B$10,Paramètres!$A$1:$I$88,3,0)*0.475*44/12</f>
        <v>#N/A</v>
      </c>
      <c r="AW114" s="23" t="e">
        <f>EXP(-LN(2)/2)*AW113+(1-EXP(-LN(2)/2))/(LN(2)/2)*AQ114*AT114*VLOOKUP('Données projet'!$B$10,Paramètres!$A$1:$I$88,3,0)*0.475*44/12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projet'!$B$11,Paramètres!$A$1:$I$88,3,0)*VLOOKUP('Données projet'!$B$11,Paramètres!$A$1:$I$88,5,0)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projet'!$B$11,Paramètres!$A$1:$I$88,7,0))</f>
        <v>0</v>
      </c>
      <c r="BN114" s="17">
        <f>IF(ISNA(VLOOKUP(A114,'Données projet'!$A$87:$I$107,6,0)),0%,VLOOKUP(A114,'Données projet'!$A$87:$I$107,6,0)*VLOOKUP('Données projet'!$B$11,Paramètres!$A$1:$I$88,7,0))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projet'!$B$11,Paramètres!$A$1:$I$88,3,0)*0.475*44/12</f>
        <v>#N/A</v>
      </c>
      <c r="BQ114" s="23" t="e">
        <f>EXP(-LN(2)/25)*BQ113+(1-EXP(-LN(2)/25))/(LN(2)/25)*Calculateur!BL114*Calculateur!BN114*VLOOKUP('Données projet'!$B$11,Paramètres!$A$1:$I$88,3,0)*0.475*44/12</f>
        <v>#N/A</v>
      </c>
      <c r="BR114" s="23" t="e">
        <f>EXP(-LN(2)/2)*BR113+(1-EXP(-LN(2)/2))/(LN(2)/2)*BL114*BO114*VLOOKUP('Données projet'!$B$11,Paramètres!$A$1:$I$88,3,0)*0.475*44/12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projet'!$B$12,Paramètres!$A$1:$I$88,3,0)*VLOOKUP('Données projet'!$B$12,Paramètres!$A$1:$I$88,5,0)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projet'!$B$12,Paramètres!$A$1:$I$88,7,0))</f>
        <v>0</v>
      </c>
      <c r="CI114" s="17">
        <f>IF(ISNA(VLOOKUP(A114,'Données projet'!$A$113:$I$133,6,0)),0%,VLOOKUP(A114,'Données projet'!$A$113:$I$133,6,0)*VLOOKUP('Données projet'!$B$12,Paramètres!$A$1:$I$88,7,0))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projet'!$B$12,Paramètres!$A$1:$I$88,3,0)*0.475*44/12</f>
        <v>#N/A</v>
      </c>
      <c r="CL114" s="23" t="e">
        <f>EXP(-LN(2)/25)*CL113+(1-EXP(-LN(2)/25))/(LN(2)/25)*Calculateur!CG114*Calculateur!CI114*VLOOKUP('Données projet'!$B$12,Paramètres!$A$1:$I$88,3,0)*0.475*44/12</f>
        <v>#N/A</v>
      </c>
      <c r="CM114" s="23" t="e">
        <f>EXP(-LN(2)/2)*CM113+(1-EXP(-LN(2)/2))/(LN(2)/2)*CG114*CJ114*VLOOKUP('Données projet'!$B$12,Paramètres!$A$1:$I$88,3,0)*0.475*44/12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projet'!$B$13,Paramètres!$A$1:$I$88,3,0)*VLOOKUP('Données projet'!$B$13,Paramètres!$A$1:$I$88,5,0)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projet'!$B$13,Paramètres!$A$1:$I$88,7,0))</f>
        <v>0</v>
      </c>
      <c r="DD114" s="17">
        <f>IF(ISNA(VLOOKUP(A114,'Données projet'!$A$139:$I$159,6,0)),0%,VLOOKUP(A114,'Données projet'!$A$139:$I$159,6,0)*VLOOKUP('Données projet'!$B$13,Paramètres!$A$1:$I$88,7,0))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projet'!$B$13,Paramètres!$A$1:$I$88,3,0)*0.475*44/12</f>
        <v>#N/A</v>
      </c>
      <c r="DG114" s="23" t="e">
        <f>EXP(-LN(2)/25)*DG113+(1-EXP(-LN(2)/25))/(LN(2)/25)*Calculateur!DB114*Calculateur!DD114*VLOOKUP('Données projet'!$B$13,Paramètres!$A$1:$I$88,3,0)*0.475*44/12</f>
        <v>#N/A</v>
      </c>
      <c r="DH114" s="23" t="e">
        <f>EXP(-LN(2)/2)*DH113+(1-EXP(-LN(2)/2))/(LN(2)/2)*DB114*DE114*VLOOKUP('Données projet'!$B$13,Paramètres!$A$1:$I$88,3,0)*0.475*44/12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projet'!$B$14,Paramètres!$A$1:$I$88,3,0)*VLOOKUP('Données projet'!$B$14,Paramètres!$A$1:$I$88,5,0)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projet'!$B$14,Paramètres!$A$1:$I$88,7,0))</f>
        <v>0</v>
      </c>
      <c r="DY114" s="17">
        <f>IF(ISNA(VLOOKUP(A114,'Données projet'!$A$165:$I$185,6,0)),0%,VLOOKUP(A114,'Données projet'!$A$165:$I$185,6,0)*VLOOKUP('Données projet'!$B$14,Paramètres!$A$1:$I$88,7,0))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projet'!$B$14,Paramètres!$A$1:$I$88,3,0)*0.475*44/12</f>
        <v>#N/A</v>
      </c>
      <c r="EB114" s="23" t="e">
        <f>EXP(-LN(2)/25)*EB113+(1-EXP(-LN(2)/25))/(LN(2)/25)*Calculateur!DW114*Calculateur!DY114*VLOOKUP('Données projet'!$B$14,Paramètres!$A$1:$I$88,3,0)*0.475*44/12</f>
        <v>#N/A</v>
      </c>
      <c r="EC114" s="23" t="e">
        <f>EXP(-LN(2)/2)*EC113+(1-EXP(-LN(2)/2))/(LN(2)/2)*DW114*DZ114*VLOOKUP('Données projet'!$B$14,Paramètres!$A$1:$I$88,3,0)*0.475*44/12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projet'!$B$15,Paramètres!$A$1:$I$88,3,0)*VLOOKUP('Données projet'!$B$15,Paramètres!$A$1:$I$88,5,0)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projet'!$B$15,Paramètres!$A$1:$I$88,7,0))</f>
        <v>0</v>
      </c>
      <c r="ET114" s="17">
        <f>IF(ISNA(VLOOKUP(A114,'Données projet'!$A$191:$I$211,6,0)),0%,VLOOKUP(A114,'Données projet'!$A$191:$I$211,6,0)*VLOOKUP('Données projet'!$B$15,Paramètres!$A$1:$I$88,7,0))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projet'!$B$15,Paramètres!$A$1:$I$88,3,0)*0.475*44/12</f>
        <v>#N/A</v>
      </c>
      <c r="EW114" s="23" t="e">
        <f>EXP(-LN(2)/25)*EW113+(1-EXP(-LN(2)/25))/(LN(2)/25)*Calculateur!ER114*Calculateur!ET114*VLOOKUP('Données projet'!$B$15,Paramètres!$A$1:$I$88,3,0)*0.475*44/12</f>
        <v>#N/A</v>
      </c>
      <c r="EX114" s="23" t="e">
        <f>EXP(-LN(2)/2)*EX113+(1-EXP(-LN(2)/2))/(LN(2)/2)*ER114*EU114*VLOOKUP('Données projet'!$B$15,Paramètres!$A$1:$I$88,3,0)*0.475*44/12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projet'!$B$16,Paramètres!$A$1:$I$88,3,0)*VLOOKUP('Données projet'!$B$16,Paramètres!$A$1:$I$88,5,0)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projet'!$B$16,Paramètres!$A$1:$I$88,7,0))</f>
        <v>0</v>
      </c>
      <c r="FO114" s="17">
        <f>IF(ISNA(VLOOKUP(A114,'Données projet'!$A$217:$I$237,6,0)),0%,VLOOKUP(A114,'Données projet'!$A$217:$I$237,6,0)*VLOOKUP('Données projet'!$B$16,Paramètres!$A$1:$I$88,7,0))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projet'!$B$16,Paramètres!$A$1:$I$88,3,0)*0.475*44/12</f>
        <v>#N/A</v>
      </c>
      <c r="FR114" s="23" t="e">
        <f>EXP(-LN(2)/25)*FR113+(1-EXP(-LN(2)/25))/(LN(2)/25)*Calculateur!FM114*Calculateur!FO114*VLOOKUP('Données projet'!$B$16,Paramètres!$A$1:$I$88,3,0)*0.475*44/12</f>
        <v>#N/A</v>
      </c>
      <c r="FS114" s="23" t="e">
        <f>EXP(-LN(2)/2)*FS113+(1-EXP(-LN(2)/2))/(LN(2)/2)*FM114*FP114*VLOOKUP('Données projet'!$B$16,Paramètres!$A$1:$I$88,3,0)*0.475*44/12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projet'!$B$17,Paramètres!$A$1:$I$88,3,0)*VLOOKUP('Données projet'!$B$17,Paramètres!$A$1:$I$88,5,0)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projet'!$B$17,Paramètres!$A$1:$I$88,7,0))</f>
        <v>0</v>
      </c>
      <c r="GJ114" s="17">
        <f>IF(ISNA(VLOOKUP(A114,'Données projet'!$A$243:$I$263,6,0)),0%,VLOOKUP(A114,'Données projet'!$A$243:$I$263,6,0)*VLOOKUP('Données projet'!$B$17,Paramètres!$A$1:$I$88,7,0))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projet'!$B$17,Paramètres!$A$1:$I$88,3,0)*0.475*44/12</f>
        <v>#N/A</v>
      </c>
      <c r="GM114" s="23" t="e">
        <f>EXP(-LN(2)/25)*GM113+(1-EXP(-LN(2)/25))/(LN(2)/25)*Calculateur!GH114*Calculateur!GJ114*VLOOKUP('Données projet'!$B$17,Paramètres!$A$1:$I$88,3,0)*0.475*44/12</f>
        <v>#N/A</v>
      </c>
      <c r="GN114" s="23" t="e">
        <f>EXP(-LN(2)/2)*GN113+(1-EXP(-LN(2)/2))/(LN(2)/2)*GH114*GK114*VLOOKUP('Données projet'!$B$17,Paramètres!$A$1:$I$88,3,0)*0.475*44/12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projet'!$B$18,Paramètres!$A$1:$I$88,3,0)*VLOOKUP('Données projet'!$B$18,Paramètres!$A$1:$I$88,5,0)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projet'!$B$18,Paramètres!$A$1:$I$88,7,0))</f>
        <v>0</v>
      </c>
      <c r="HE114" s="17">
        <f>IF(ISNA(VLOOKUP(A114,'Données projet'!$A$269:$I$289,6,0)),0%,VLOOKUP(A114,'Données projet'!$A$269:$I$289,6,0)*VLOOKUP('Données projet'!$B$18,Paramètres!$A$1:$I$88,7,0))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projet'!$B$18,Paramètres!$A$1:$I$88,3,0)*0.475*44/12</f>
        <v>#N/A</v>
      </c>
      <c r="HH114" s="23" t="e">
        <f>EXP(-LN(2)/25)*HH113+(1-EXP(-LN(2)/25))/(LN(2)/25)*Calculateur!HC114*Calculateur!HE114*VLOOKUP('Données projet'!$B$18,Paramètres!$A$1:$I$88,3,0)*0.475*44/12</f>
        <v>#N/A</v>
      </c>
      <c r="HI114" s="23" t="e">
        <f>EXP(-LN(2)/2)*HI113+(1-EXP(-LN(2)/2))/(LN(2)/2)*HC114*HF114*VLOOKUP('Données projet'!$B$18,Paramètres!$A$1:$I$88,3,0)*0.475*44/12</f>
        <v>#N/A</v>
      </c>
      <c r="HJ114" s="24" t="e">
        <f t="shared" si="84"/>
        <v>#N/A</v>
      </c>
    </row>
    <row r="115" spans="1:218" s="5" customFormat="1" x14ac:dyDescent="0.3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4.5474735088646412E-13</v>
      </c>
      <c r="O115" s="14">
        <f>N115*VLOOKUP('Données projet'!$B$9,Paramètres!$A$1:$I$88,3,0)*VLOOKUP('Données projet'!$B$9,Paramètres!$A$1:$I$88,5,0)</f>
        <v>2.5420376914553347E-13</v>
      </c>
      <c r="P115" s="14">
        <f t="shared" si="87"/>
        <v>3.4258699088369875E-12</v>
      </c>
      <c r="Q115" s="22">
        <f t="shared" si="107"/>
        <v>6.4094616558195571E-12</v>
      </c>
      <c r="R115" s="62">
        <f t="shared" si="55"/>
        <v>280.42131141557729</v>
      </c>
      <c r="S115" s="62">
        <f ca="1">AVERAGE(OFFSET($R$3,0,0,'Données projet'!$E$9+1,1))-AVERAGE(OFFSET($H$3,0,0,'Données projet'!$E$9+1,1))</f>
        <v>367.03450586441784</v>
      </c>
      <c r="T115" s="62">
        <f t="shared" si="88"/>
        <v>413.14502442862897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projet'!$B$9,Paramètres!$A$1:$I$88,7,0))</f>
        <v>0</v>
      </c>
      <c r="X115" s="17">
        <f>IF(ISNA(VLOOKUP(A115,'Données projet'!$A$35:$I$55,6,0)),0%,VLOOKUP(A115,'Données projet'!$A$35:$I$55,6,0)*VLOOKUP('Données projet'!$B$9,Paramètres!$A$1:$I$88,7,0))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projet'!$B$9,Paramètres!$A$1:$I$88,3,0)*0.475*44/12</f>
        <v>85.507626738924628</v>
      </c>
      <c r="AA115" s="23">
        <f>EXP(-LN(2)/25)*AA114+(1-EXP(-LN(2)/25))/(LN(2)/25)*Calculateur!V115*Calculateur!X115*VLOOKUP('Données projet'!$B$9,Paramètres!$A$1:$I$88,3,0)*0.475*44/12</f>
        <v>31.267289646589475</v>
      </c>
      <c r="AB115" s="23">
        <f>EXP(-LN(2)/2)*AB114+(1-EXP(-LN(2)/2))/(LN(2)/2)*V115*Y115*VLOOKUP('Données projet'!$B$9,Paramètres!$A$1:$I$88,3,0)*0.475*44/12</f>
        <v>0</v>
      </c>
      <c r="AC115" s="24">
        <f t="shared" si="57"/>
        <v>116.7749163855141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projet'!$B$10,Paramètres!$A$1:$I$88,3,0)*VLOOKUP('Données projet'!$B$10,Paramètres!$A$1:$I$88,5,0)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projet'!$B$10,Paramètres!$A$1:$I$88,7,0))</f>
        <v>0</v>
      </c>
      <c r="AS115" s="17">
        <f>IF(ISNA(VLOOKUP(A115,'Données projet'!$A$61:$I$81,6,0)),0%,VLOOKUP(A115,'Données projet'!$A$61:$I$81,6,0)*VLOOKUP('Données projet'!$B$10,Paramètres!$A$1:$I$88,7,0))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projet'!$B$10,Paramètres!$A$1:$I$88,3,0)*0.475*44/12</f>
        <v>#N/A</v>
      </c>
      <c r="AV115" s="23" t="e">
        <f>EXP(-LN(2)/25)*AV114+(1-EXP(-LN(2)/25))/(LN(2)/25)*Calculateur!AQ115*Calculateur!AS115*VLOOKUP('Données projet'!$B$10,Paramètres!$A$1:$I$88,3,0)*0.475*44/12</f>
        <v>#N/A</v>
      </c>
      <c r="AW115" s="23" t="e">
        <f>EXP(-LN(2)/2)*AW114+(1-EXP(-LN(2)/2))/(LN(2)/2)*AQ115*AT115*VLOOKUP('Données projet'!$B$10,Paramètres!$A$1:$I$88,3,0)*0.475*44/12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projet'!$B$11,Paramètres!$A$1:$I$88,3,0)*VLOOKUP('Données projet'!$B$11,Paramètres!$A$1:$I$88,5,0)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projet'!$B$11,Paramètres!$A$1:$I$88,7,0))</f>
        <v>0</v>
      </c>
      <c r="BN115" s="17">
        <f>IF(ISNA(VLOOKUP(A115,'Données projet'!$A$87:$I$107,6,0)),0%,VLOOKUP(A115,'Données projet'!$A$87:$I$107,6,0)*VLOOKUP('Données projet'!$B$11,Paramètres!$A$1:$I$88,7,0))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projet'!$B$11,Paramètres!$A$1:$I$88,3,0)*0.475*44/12</f>
        <v>#N/A</v>
      </c>
      <c r="BQ115" s="23" t="e">
        <f>EXP(-LN(2)/25)*BQ114+(1-EXP(-LN(2)/25))/(LN(2)/25)*Calculateur!BL115*Calculateur!BN115*VLOOKUP('Données projet'!$B$11,Paramètres!$A$1:$I$88,3,0)*0.475*44/12</f>
        <v>#N/A</v>
      </c>
      <c r="BR115" s="23" t="e">
        <f>EXP(-LN(2)/2)*BR114+(1-EXP(-LN(2)/2))/(LN(2)/2)*BL115*BO115*VLOOKUP('Données projet'!$B$11,Paramètres!$A$1:$I$88,3,0)*0.475*44/12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projet'!$B$12,Paramètres!$A$1:$I$88,3,0)*VLOOKUP('Données projet'!$B$12,Paramètres!$A$1:$I$88,5,0)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projet'!$B$12,Paramètres!$A$1:$I$88,7,0))</f>
        <v>0</v>
      </c>
      <c r="CI115" s="17">
        <f>IF(ISNA(VLOOKUP(A115,'Données projet'!$A$113:$I$133,6,0)),0%,VLOOKUP(A115,'Données projet'!$A$113:$I$133,6,0)*VLOOKUP('Données projet'!$B$12,Paramètres!$A$1:$I$88,7,0))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projet'!$B$12,Paramètres!$A$1:$I$88,3,0)*0.475*44/12</f>
        <v>#N/A</v>
      </c>
      <c r="CL115" s="23" t="e">
        <f>EXP(-LN(2)/25)*CL114+(1-EXP(-LN(2)/25))/(LN(2)/25)*Calculateur!CG115*Calculateur!CI115*VLOOKUP('Données projet'!$B$12,Paramètres!$A$1:$I$88,3,0)*0.475*44/12</f>
        <v>#N/A</v>
      </c>
      <c r="CM115" s="23" t="e">
        <f>EXP(-LN(2)/2)*CM114+(1-EXP(-LN(2)/2))/(LN(2)/2)*CG115*CJ115*VLOOKUP('Données projet'!$B$12,Paramètres!$A$1:$I$88,3,0)*0.475*44/12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projet'!$B$13,Paramètres!$A$1:$I$88,3,0)*VLOOKUP('Données projet'!$B$13,Paramètres!$A$1:$I$88,5,0)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projet'!$B$13,Paramètres!$A$1:$I$88,7,0))</f>
        <v>0</v>
      </c>
      <c r="DD115" s="17">
        <f>IF(ISNA(VLOOKUP(A115,'Données projet'!$A$139:$I$159,6,0)),0%,VLOOKUP(A115,'Données projet'!$A$139:$I$159,6,0)*VLOOKUP('Données projet'!$B$13,Paramètres!$A$1:$I$88,7,0))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projet'!$B$13,Paramètres!$A$1:$I$88,3,0)*0.475*44/12</f>
        <v>#N/A</v>
      </c>
      <c r="DG115" s="23" t="e">
        <f>EXP(-LN(2)/25)*DG114+(1-EXP(-LN(2)/25))/(LN(2)/25)*Calculateur!DB115*Calculateur!DD115*VLOOKUP('Données projet'!$B$13,Paramètres!$A$1:$I$88,3,0)*0.475*44/12</f>
        <v>#N/A</v>
      </c>
      <c r="DH115" s="23" t="e">
        <f>EXP(-LN(2)/2)*DH114+(1-EXP(-LN(2)/2))/(LN(2)/2)*DB115*DE115*VLOOKUP('Données projet'!$B$13,Paramètres!$A$1:$I$88,3,0)*0.475*44/12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projet'!$B$14,Paramètres!$A$1:$I$88,3,0)*VLOOKUP('Données projet'!$B$14,Paramètres!$A$1:$I$88,5,0)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projet'!$B$14,Paramètres!$A$1:$I$88,7,0))</f>
        <v>0</v>
      </c>
      <c r="DY115" s="17">
        <f>IF(ISNA(VLOOKUP(A115,'Données projet'!$A$165:$I$185,6,0)),0%,VLOOKUP(A115,'Données projet'!$A$165:$I$185,6,0)*VLOOKUP('Données projet'!$B$14,Paramètres!$A$1:$I$88,7,0))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projet'!$B$14,Paramètres!$A$1:$I$88,3,0)*0.475*44/12</f>
        <v>#N/A</v>
      </c>
      <c r="EB115" s="23" t="e">
        <f>EXP(-LN(2)/25)*EB114+(1-EXP(-LN(2)/25))/(LN(2)/25)*Calculateur!DW115*Calculateur!DY115*VLOOKUP('Données projet'!$B$14,Paramètres!$A$1:$I$88,3,0)*0.475*44/12</f>
        <v>#N/A</v>
      </c>
      <c r="EC115" s="23" t="e">
        <f>EXP(-LN(2)/2)*EC114+(1-EXP(-LN(2)/2))/(LN(2)/2)*DW115*DZ115*VLOOKUP('Données projet'!$B$14,Paramètres!$A$1:$I$88,3,0)*0.475*44/12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projet'!$B$15,Paramètres!$A$1:$I$88,3,0)*VLOOKUP('Données projet'!$B$15,Paramètres!$A$1:$I$88,5,0)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projet'!$B$15,Paramètres!$A$1:$I$88,7,0))</f>
        <v>0</v>
      </c>
      <c r="ET115" s="17">
        <f>IF(ISNA(VLOOKUP(A115,'Données projet'!$A$191:$I$211,6,0)),0%,VLOOKUP(A115,'Données projet'!$A$191:$I$211,6,0)*VLOOKUP('Données projet'!$B$15,Paramètres!$A$1:$I$88,7,0))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projet'!$B$15,Paramètres!$A$1:$I$88,3,0)*0.475*44/12</f>
        <v>#N/A</v>
      </c>
      <c r="EW115" s="23" t="e">
        <f>EXP(-LN(2)/25)*EW114+(1-EXP(-LN(2)/25))/(LN(2)/25)*Calculateur!ER115*Calculateur!ET115*VLOOKUP('Données projet'!$B$15,Paramètres!$A$1:$I$88,3,0)*0.475*44/12</f>
        <v>#N/A</v>
      </c>
      <c r="EX115" s="23" t="e">
        <f>EXP(-LN(2)/2)*EX114+(1-EXP(-LN(2)/2))/(LN(2)/2)*ER115*EU115*VLOOKUP('Données projet'!$B$15,Paramètres!$A$1:$I$88,3,0)*0.475*44/12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projet'!$B$16,Paramètres!$A$1:$I$88,3,0)*VLOOKUP('Données projet'!$B$16,Paramètres!$A$1:$I$88,5,0)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projet'!$B$16,Paramètres!$A$1:$I$88,7,0))</f>
        <v>0</v>
      </c>
      <c r="FO115" s="17">
        <f>IF(ISNA(VLOOKUP(A115,'Données projet'!$A$217:$I$237,6,0)),0%,VLOOKUP(A115,'Données projet'!$A$217:$I$237,6,0)*VLOOKUP('Données projet'!$B$16,Paramètres!$A$1:$I$88,7,0))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projet'!$B$16,Paramètres!$A$1:$I$88,3,0)*0.475*44/12</f>
        <v>#N/A</v>
      </c>
      <c r="FR115" s="23" t="e">
        <f>EXP(-LN(2)/25)*FR114+(1-EXP(-LN(2)/25))/(LN(2)/25)*Calculateur!FM115*Calculateur!FO115*VLOOKUP('Données projet'!$B$16,Paramètres!$A$1:$I$88,3,0)*0.475*44/12</f>
        <v>#N/A</v>
      </c>
      <c r="FS115" s="23" t="e">
        <f>EXP(-LN(2)/2)*FS114+(1-EXP(-LN(2)/2))/(LN(2)/2)*FM115*FP115*VLOOKUP('Données projet'!$B$16,Paramètres!$A$1:$I$88,3,0)*0.475*44/12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projet'!$B$17,Paramètres!$A$1:$I$88,3,0)*VLOOKUP('Données projet'!$B$17,Paramètres!$A$1:$I$88,5,0)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projet'!$B$17,Paramètres!$A$1:$I$88,7,0))</f>
        <v>0</v>
      </c>
      <c r="GJ115" s="17">
        <f>IF(ISNA(VLOOKUP(A115,'Données projet'!$A$243:$I$263,6,0)),0%,VLOOKUP(A115,'Données projet'!$A$243:$I$263,6,0)*VLOOKUP('Données projet'!$B$17,Paramètres!$A$1:$I$88,7,0))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projet'!$B$17,Paramètres!$A$1:$I$88,3,0)*0.475*44/12</f>
        <v>#N/A</v>
      </c>
      <c r="GM115" s="23" t="e">
        <f>EXP(-LN(2)/25)*GM114+(1-EXP(-LN(2)/25))/(LN(2)/25)*Calculateur!GH115*Calculateur!GJ115*VLOOKUP('Données projet'!$B$17,Paramètres!$A$1:$I$88,3,0)*0.475*44/12</f>
        <v>#N/A</v>
      </c>
      <c r="GN115" s="23" t="e">
        <f>EXP(-LN(2)/2)*GN114+(1-EXP(-LN(2)/2))/(LN(2)/2)*GH115*GK115*VLOOKUP('Données projet'!$B$17,Paramètres!$A$1:$I$88,3,0)*0.475*44/12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projet'!$B$18,Paramètres!$A$1:$I$88,3,0)*VLOOKUP('Données projet'!$B$18,Paramètres!$A$1:$I$88,5,0)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projet'!$B$18,Paramètres!$A$1:$I$88,7,0))</f>
        <v>0</v>
      </c>
      <c r="HE115" s="17">
        <f>IF(ISNA(VLOOKUP(A115,'Données projet'!$A$269:$I$289,6,0)),0%,VLOOKUP(A115,'Données projet'!$A$269:$I$289,6,0)*VLOOKUP('Données projet'!$B$18,Paramètres!$A$1:$I$88,7,0))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projet'!$B$18,Paramètres!$A$1:$I$88,3,0)*0.475*44/12</f>
        <v>#N/A</v>
      </c>
      <c r="HH115" s="23" t="e">
        <f>EXP(-LN(2)/25)*HH114+(1-EXP(-LN(2)/25))/(LN(2)/25)*Calculateur!HC115*Calculateur!HE115*VLOOKUP('Données projet'!$B$18,Paramètres!$A$1:$I$88,3,0)*0.475*44/12</f>
        <v>#N/A</v>
      </c>
      <c r="HI115" s="23" t="e">
        <f>EXP(-LN(2)/2)*HI114+(1-EXP(-LN(2)/2))/(LN(2)/2)*HC115*HF115*VLOOKUP('Données projet'!$B$18,Paramètres!$A$1:$I$88,3,0)*0.475*44/12</f>
        <v>#N/A</v>
      </c>
      <c r="HJ115" s="24" t="e">
        <f t="shared" si="84"/>
        <v>#N/A</v>
      </c>
    </row>
    <row r="116" spans="1:218" s="5" customFormat="1" x14ac:dyDescent="0.3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4.5474735088646412E-13</v>
      </c>
      <c r="O116" s="14">
        <f>N116*VLOOKUP('Données projet'!$B$9,Paramètres!$A$1:$I$88,3,0)*VLOOKUP('Données projet'!$B$9,Paramètres!$A$1:$I$88,5,0)</f>
        <v>2.5420376914553347E-13</v>
      </c>
      <c r="P116" s="14">
        <f t="shared" si="87"/>
        <v>3.4258699088369875E-12</v>
      </c>
      <c r="Q116" s="22">
        <f t="shared" si="107"/>
        <v>6.4094616558195571E-12</v>
      </c>
      <c r="R116" s="62">
        <f t="shared" si="55"/>
        <v>280.64530612889405</v>
      </c>
      <c r="S116" s="62">
        <f ca="1">AVERAGE(OFFSET($R$3,0,0,'Données projet'!$E$9+1,1))-AVERAGE(OFFSET($H$3,0,0,'Données projet'!$E$9+1,1))</f>
        <v>367.03450586441784</v>
      </c>
      <c r="T116" s="62">
        <f t="shared" si="88"/>
        <v>413.14502442862897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projet'!$B$9,Paramètres!$A$1:$I$88,7,0))</f>
        <v>0</v>
      </c>
      <c r="X116" s="17">
        <f>IF(ISNA(VLOOKUP(A116,'Données projet'!$A$35:$I$55,6,0)),0%,VLOOKUP(A116,'Données projet'!$A$35:$I$55,6,0)*VLOOKUP('Données projet'!$B$9,Paramètres!$A$1:$I$88,7,0))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projet'!$B$9,Paramètres!$A$1:$I$88,3,0)*0.475*44/12</f>
        <v>83.830874333076792</v>
      </c>
      <c r="AA116" s="23">
        <f>EXP(-LN(2)/25)*AA115+(1-EXP(-LN(2)/25))/(LN(2)/25)*Calculateur!V116*Calculateur!X116*VLOOKUP('Données projet'!$B$9,Paramètres!$A$1:$I$88,3,0)*0.475*44/12</f>
        <v>30.412283966928186</v>
      </c>
      <c r="AB116" s="23">
        <f>EXP(-LN(2)/2)*AB115+(1-EXP(-LN(2)/2))/(LN(2)/2)*V116*Y116*VLOOKUP('Données projet'!$B$9,Paramètres!$A$1:$I$88,3,0)*0.475*44/12</f>
        <v>0</v>
      </c>
      <c r="AC116" s="24">
        <f t="shared" si="57"/>
        <v>114.24315830000498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projet'!$B$10,Paramètres!$A$1:$I$88,3,0)*VLOOKUP('Données projet'!$B$10,Paramètres!$A$1:$I$88,5,0)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projet'!$B$10,Paramètres!$A$1:$I$88,7,0))</f>
        <v>0</v>
      </c>
      <c r="AS116" s="17">
        <f>IF(ISNA(VLOOKUP(A116,'Données projet'!$A$61:$I$81,6,0)),0%,VLOOKUP(A116,'Données projet'!$A$61:$I$81,6,0)*VLOOKUP('Données projet'!$B$10,Paramètres!$A$1:$I$88,7,0))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projet'!$B$10,Paramètres!$A$1:$I$88,3,0)*0.475*44/12</f>
        <v>#N/A</v>
      </c>
      <c r="AV116" s="23" t="e">
        <f>EXP(-LN(2)/25)*AV115+(1-EXP(-LN(2)/25))/(LN(2)/25)*Calculateur!AQ116*Calculateur!AS116*VLOOKUP('Données projet'!$B$10,Paramètres!$A$1:$I$88,3,0)*0.475*44/12</f>
        <v>#N/A</v>
      </c>
      <c r="AW116" s="23" t="e">
        <f>EXP(-LN(2)/2)*AW115+(1-EXP(-LN(2)/2))/(LN(2)/2)*AQ116*AT116*VLOOKUP('Données projet'!$B$10,Paramètres!$A$1:$I$88,3,0)*0.475*44/12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projet'!$B$11,Paramètres!$A$1:$I$88,3,0)*VLOOKUP('Données projet'!$B$11,Paramètres!$A$1:$I$88,5,0)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projet'!$B$11,Paramètres!$A$1:$I$88,7,0))</f>
        <v>0</v>
      </c>
      <c r="BN116" s="17">
        <f>IF(ISNA(VLOOKUP(A116,'Données projet'!$A$87:$I$107,6,0)),0%,VLOOKUP(A116,'Données projet'!$A$87:$I$107,6,0)*VLOOKUP('Données projet'!$B$11,Paramètres!$A$1:$I$88,7,0))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projet'!$B$11,Paramètres!$A$1:$I$88,3,0)*0.475*44/12</f>
        <v>#N/A</v>
      </c>
      <c r="BQ116" s="23" t="e">
        <f>EXP(-LN(2)/25)*BQ115+(1-EXP(-LN(2)/25))/(LN(2)/25)*Calculateur!BL116*Calculateur!BN116*VLOOKUP('Données projet'!$B$11,Paramètres!$A$1:$I$88,3,0)*0.475*44/12</f>
        <v>#N/A</v>
      </c>
      <c r="BR116" s="23" t="e">
        <f>EXP(-LN(2)/2)*BR115+(1-EXP(-LN(2)/2))/(LN(2)/2)*BL116*BO116*VLOOKUP('Données projet'!$B$11,Paramètres!$A$1:$I$88,3,0)*0.475*44/12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projet'!$B$12,Paramètres!$A$1:$I$88,3,0)*VLOOKUP('Données projet'!$B$12,Paramètres!$A$1:$I$88,5,0)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projet'!$B$12,Paramètres!$A$1:$I$88,7,0))</f>
        <v>0</v>
      </c>
      <c r="CI116" s="17">
        <f>IF(ISNA(VLOOKUP(A116,'Données projet'!$A$113:$I$133,6,0)),0%,VLOOKUP(A116,'Données projet'!$A$113:$I$133,6,0)*VLOOKUP('Données projet'!$B$12,Paramètres!$A$1:$I$88,7,0))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projet'!$B$12,Paramètres!$A$1:$I$88,3,0)*0.475*44/12</f>
        <v>#N/A</v>
      </c>
      <c r="CL116" s="23" t="e">
        <f>EXP(-LN(2)/25)*CL115+(1-EXP(-LN(2)/25))/(LN(2)/25)*Calculateur!CG116*Calculateur!CI116*VLOOKUP('Données projet'!$B$12,Paramètres!$A$1:$I$88,3,0)*0.475*44/12</f>
        <v>#N/A</v>
      </c>
      <c r="CM116" s="23" t="e">
        <f>EXP(-LN(2)/2)*CM115+(1-EXP(-LN(2)/2))/(LN(2)/2)*CG116*CJ116*VLOOKUP('Données projet'!$B$12,Paramètres!$A$1:$I$88,3,0)*0.475*44/12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projet'!$B$13,Paramètres!$A$1:$I$88,3,0)*VLOOKUP('Données projet'!$B$13,Paramètres!$A$1:$I$88,5,0)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projet'!$B$13,Paramètres!$A$1:$I$88,7,0))</f>
        <v>0</v>
      </c>
      <c r="DD116" s="17">
        <f>IF(ISNA(VLOOKUP(A116,'Données projet'!$A$139:$I$159,6,0)),0%,VLOOKUP(A116,'Données projet'!$A$139:$I$159,6,0)*VLOOKUP('Données projet'!$B$13,Paramètres!$A$1:$I$88,7,0))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projet'!$B$13,Paramètres!$A$1:$I$88,3,0)*0.475*44/12</f>
        <v>#N/A</v>
      </c>
      <c r="DG116" s="23" t="e">
        <f>EXP(-LN(2)/25)*DG115+(1-EXP(-LN(2)/25))/(LN(2)/25)*Calculateur!DB116*Calculateur!DD116*VLOOKUP('Données projet'!$B$13,Paramètres!$A$1:$I$88,3,0)*0.475*44/12</f>
        <v>#N/A</v>
      </c>
      <c r="DH116" s="23" t="e">
        <f>EXP(-LN(2)/2)*DH115+(1-EXP(-LN(2)/2))/(LN(2)/2)*DB116*DE116*VLOOKUP('Données projet'!$B$13,Paramètres!$A$1:$I$88,3,0)*0.475*44/12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projet'!$B$14,Paramètres!$A$1:$I$88,3,0)*VLOOKUP('Données projet'!$B$14,Paramètres!$A$1:$I$88,5,0)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projet'!$B$14,Paramètres!$A$1:$I$88,7,0))</f>
        <v>0</v>
      </c>
      <c r="DY116" s="17">
        <f>IF(ISNA(VLOOKUP(A116,'Données projet'!$A$165:$I$185,6,0)),0%,VLOOKUP(A116,'Données projet'!$A$165:$I$185,6,0)*VLOOKUP('Données projet'!$B$14,Paramètres!$A$1:$I$88,7,0))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projet'!$B$14,Paramètres!$A$1:$I$88,3,0)*0.475*44/12</f>
        <v>#N/A</v>
      </c>
      <c r="EB116" s="23" t="e">
        <f>EXP(-LN(2)/25)*EB115+(1-EXP(-LN(2)/25))/(LN(2)/25)*Calculateur!DW116*Calculateur!DY116*VLOOKUP('Données projet'!$B$14,Paramètres!$A$1:$I$88,3,0)*0.475*44/12</f>
        <v>#N/A</v>
      </c>
      <c r="EC116" s="23" t="e">
        <f>EXP(-LN(2)/2)*EC115+(1-EXP(-LN(2)/2))/(LN(2)/2)*DW116*DZ116*VLOOKUP('Données projet'!$B$14,Paramètres!$A$1:$I$88,3,0)*0.475*44/12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projet'!$B$15,Paramètres!$A$1:$I$88,3,0)*VLOOKUP('Données projet'!$B$15,Paramètres!$A$1:$I$88,5,0)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projet'!$B$15,Paramètres!$A$1:$I$88,7,0))</f>
        <v>0</v>
      </c>
      <c r="ET116" s="17">
        <f>IF(ISNA(VLOOKUP(A116,'Données projet'!$A$191:$I$211,6,0)),0%,VLOOKUP(A116,'Données projet'!$A$191:$I$211,6,0)*VLOOKUP('Données projet'!$B$15,Paramètres!$A$1:$I$88,7,0))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projet'!$B$15,Paramètres!$A$1:$I$88,3,0)*0.475*44/12</f>
        <v>#N/A</v>
      </c>
      <c r="EW116" s="23" t="e">
        <f>EXP(-LN(2)/25)*EW115+(1-EXP(-LN(2)/25))/(LN(2)/25)*Calculateur!ER116*Calculateur!ET116*VLOOKUP('Données projet'!$B$15,Paramètres!$A$1:$I$88,3,0)*0.475*44/12</f>
        <v>#N/A</v>
      </c>
      <c r="EX116" s="23" t="e">
        <f>EXP(-LN(2)/2)*EX115+(1-EXP(-LN(2)/2))/(LN(2)/2)*ER116*EU116*VLOOKUP('Données projet'!$B$15,Paramètres!$A$1:$I$88,3,0)*0.475*44/12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projet'!$B$16,Paramètres!$A$1:$I$88,3,0)*VLOOKUP('Données projet'!$B$16,Paramètres!$A$1:$I$88,5,0)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projet'!$B$16,Paramètres!$A$1:$I$88,7,0))</f>
        <v>0</v>
      </c>
      <c r="FO116" s="17">
        <f>IF(ISNA(VLOOKUP(A116,'Données projet'!$A$217:$I$237,6,0)),0%,VLOOKUP(A116,'Données projet'!$A$217:$I$237,6,0)*VLOOKUP('Données projet'!$B$16,Paramètres!$A$1:$I$88,7,0))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projet'!$B$16,Paramètres!$A$1:$I$88,3,0)*0.475*44/12</f>
        <v>#N/A</v>
      </c>
      <c r="FR116" s="23" t="e">
        <f>EXP(-LN(2)/25)*FR115+(1-EXP(-LN(2)/25))/(LN(2)/25)*Calculateur!FM116*Calculateur!FO116*VLOOKUP('Données projet'!$B$16,Paramètres!$A$1:$I$88,3,0)*0.475*44/12</f>
        <v>#N/A</v>
      </c>
      <c r="FS116" s="23" t="e">
        <f>EXP(-LN(2)/2)*FS115+(1-EXP(-LN(2)/2))/(LN(2)/2)*FM116*FP116*VLOOKUP('Données projet'!$B$16,Paramètres!$A$1:$I$88,3,0)*0.475*44/12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projet'!$B$17,Paramètres!$A$1:$I$88,3,0)*VLOOKUP('Données projet'!$B$17,Paramètres!$A$1:$I$88,5,0)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projet'!$B$17,Paramètres!$A$1:$I$88,7,0))</f>
        <v>0</v>
      </c>
      <c r="GJ116" s="17">
        <f>IF(ISNA(VLOOKUP(A116,'Données projet'!$A$243:$I$263,6,0)),0%,VLOOKUP(A116,'Données projet'!$A$243:$I$263,6,0)*VLOOKUP('Données projet'!$B$17,Paramètres!$A$1:$I$88,7,0))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projet'!$B$17,Paramètres!$A$1:$I$88,3,0)*0.475*44/12</f>
        <v>#N/A</v>
      </c>
      <c r="GM116" s="23" t="e">
        <f>EXP(-LN(2)/25)*GM115+(1-EXP(-LN(2)/25))/(LN(2)/25)*Calculateur!GH116*Calculateur!GJ116*VLOOKUP('Données projet'!$B$17,Paramètres!$A$1:$I$88,3,0)*0.475*44/12</f>
        <v>#N/A</v>
      </c>
      <c r="GN116" s="23" t="e">
        <f>EXP(-LN(2)/2)*GN115+(1-EXP(-LN(2)/2))/(LN(2)/2)*GH116*GK116*VLOOKUP('Données projet'!$B$17,Paramètres!$A$1:$I$88,3,0)*0.475*44/12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projet'!$B$18,Paramètres!$A$1:$I$88,3,0)*VLOOKUP('Données projet'!$B$18,Paramètres!$A$1:$I$88,5,0)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projet'!$B$18,Paramètres!$A$1:$I$88,7,0))</f>
        <v>0</v>
      </c>
      <c r="HE116" s="17">
        <f>IF(ISNA(VLOOKUP(A116,'Données projet'!$A$269:$I$289,6,0)),0%,VLOOKUP(A116,'Données projet'!$A$269:$I$289,6,0)*VLOOKUP('Données projet'!$B$18,Paramètres!$A$1:$I$88,7,0))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projet'!$B$18,Paramètres!$A$1:$I$88,3,0)*0.475*44/12</f>
        <v>#N/A</v>
      </c>
      <c r="HH116" s="23" t="e">
        <f>EXP(-LN(2)/25)*HH115+(1-EXP(-LN(2)/25))/(LN(2)/25)*Calculateur!HC116*Calculateur!HE116*VLOOKUP('Données projet'!$B$18,Paramètres!$A$1:$I$88,3,0)*0.475*44/12</f>
        <v>#N/A</v>
      </c>
      <c r="HI116" s="23" t="e">
        <f>EXP(-LN(2)/2)*HI115+(1-EXP(-LN(2)/2))/(LN(2)/2)*HC116*HF116*VLOOKUP('Données projet'!$B$18,Paramètres!$A$1:$I$88,3,0)*0.475*44/12</f>
        <v>#N/A</v>
      </c>
      <c r="HJ116" s="24" t="e">
        <f t="shared" si="84"/>
        <v>#N/A</v>
      </c>
    </row>
    <row r="117" spans="1:218" s="5" customFormat="1" x14ac:dyDescent="0.3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4.5474735088646412E-13</v>
      </c>
      <c r="O117" s="14">
        <f>N117*VLOOKUP('Données projet'!$B$9,Paramètres!$A$1:$I$88,3,0)*VLOOKUP('Données projet'!$B$9,Paramètres!$A$1:$I$88,5,0)</f>
        <v>2.5420376914553347E-13</v>
      </c>
      <c r="P117" s="14">
        <f t="shared" si="87"/>
        <v>3.4258699088369875E-12</v>
      </c>
      <c r="Q117" s="22">
        <f t="shared" si="107"/>
        <v>6.4094616558195571E-12</v>
      </c>
      <c r="R117" s="62">
        <f t="shared" si="55"/>
        <v>280.86541503471187</v>
      </c>
      <c r="S117" s="62">
        <f ca="1">AVERAGE(OFFSET($R$3,0,0,'Données projet'!$E$9+1,1))-AVERAGE(OFFSET($H$3,0,0,'Données projet'!$E$9+1,1))</f>
        <v>367.03450586441784</v>
      </c>
      <c r="T117" s="62">
        <f t="shared" si="88"/>
        <v>413.14502442862897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projet'!$B$9,Paramètres!$A$1:$I$88,7,0))</f>
        <v>0</v>
      </c>
      <c r="X117" s="17">
        <f>IF(ISNA(VLOOKUP(A117,'Données projet'!$A$35:$I$55,6,0)),0%,VLOOKUP(A117,'Données projet'!$A$35:$I$55,6,0)*VLOOKUP('Données projet'!$B$9,Paramètres!$A$1:$I$88,7,0))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projet'!$B$9,Paramètres!$A$1:$I$88,3,0)*0.475*44/12</f>
        <v>82.187002019189649</v>
      </c>
      <c r="AA117" s="23">
        <f>EXP(-LN(2)/25)*AA116+(1-EXP(-LN(2)/25))/(LN(2)/25)*Calculateur!V117*Calculateur!X117*VLOOKUP('Données projet'!$B$9,Paramètres!$A$1:$I$88,3,0)*0.475*44/12</f>
        <v>29.580658462540029</v>
      </c>
      <c r="AB117" s="23">
        <f>EXP(-LN(2)/2)*AB116+(1-EXP(-LN(2)/2))/(LN(2)/2)*V117*Y117*VLOOKUP('Données projet'!$B$9,Paramètres!$A$1:$I$88,3,0)*0.475*44/12</f>
        <v>0</v>
      </c>
      <c r="AC117" s="24">
        <f t="shared" si="57"/>
        <v>111.76766048172968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projet'!$B$10,Paramètres!$A$1:$I$88,3,0)*VLOOKUP('Données projet'!$B$10,Paramètres!$A$1:$I$88,5,0)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projet'!$B$10,Paramètres!$A$1:$I$88,7,0))</f>
        <v>0</v>
      </c>
      <c r="AS117" s="17">
        <f>IF(ISNA(VLOOKUP(A117,'Données projet'!$A$61:$I$81,6,0)),0%,VLOOKUP(A117,'Données projet'!$A$61:$I$81,6,0)*VLOOKUP('Données projet'!$B$10,Paramètres!$A$1:$I$88,7,0))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projet'!$B$10,Paramètres!$A$1:$I$88,3,0)*0.475*44/12</f>
        <v>#N/A</v>
      </c>
      <c r="AV117" s="23" t="e">
        <f>EXP(-LN(2)/25)*AV116+(1-EXP(-LN(2)/25))/(LN(2)/25)*Calculateur!AQ117*Calculateur!AS117*VLOOKUP('Données projet'!$B$10,Paramètres!$A$1:$I$88,3,0)*0.475*44/12</f>
        <v>#N/A</v>
      </c>
      <c r="AW117" s="23" t="e">
        <f>EXP(-LN(2)/2)*AW116+(1-EXP(-LN(2)/2))/(LN(2)/2)*AQ117*AT117*VLOOKUP('Données projet'!$B$10,Paramètres!$A$1:$I$88,3,0)*0.475*44/12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projet'!$B$11,Paramètres!$A$1:$I$88,3,0)*VLOOKUP('Données projet'!$B$11,Paramètres!$A$1:$I$88,5,0)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projet'!$B$11,Paramètres!$A$1:$I$88,7,0))</f>
        <v>0</v>
      </c>
      <c r="BN117" s="17">
        <f>IF(ISNA(VLOOKUP(A117,'Données projet'!$A$87:$I$107,6,0)),0%,VLOOKUP(A117,'Données projet'!$A$87:$I$107,6,0)*VLOOKUP('Données projet'!$B$11,Paramètres!$A$1:$I$88,7,0))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projet'!$B$11,Paramètres!$A$1:$I$88,3,0)*0.475*44/12</f>
        <v>#N/A</v>
      </c>
      <c r="BQ117" s="23" t="e">
        <f>EXP(-LN(2)/25)*BQ116+(1-EXP(-LN(2)/25))/(LN(2)/25)*Calculateur!BL117*Calculateur!BN117*VLOOKUP('Données projet'!$B$11,Paramètres!$A$1:$I$88,3,0)*0.475*44/12</f>
        <v>#N/A</v>
      </c>
      <c r="BR117" s="23" t="e">
        <f>EXP(-LN(2)/2)*BR116+(1-EXP(-LN(2)/2))/(LN(2)/2)*BL117*BO117*VLOOKUP('Données projet'!$B$11,Paramètres!$A$1:$I$88,3,0)*0.475*44/12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projet'!$B$12,Paramètres!$A$1:$I$88,3,0)*VLOOKUP('Données projet'!$B$12,Paramètres!$A$1:$I$88,5,0)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projet'!$B$12,Paramètres!$A$1:$I$88,7,0))</f>
        <v>0</v>
      </c>
      <c r="CI117" s="17">
        <f>IF(ISNA(VLOOKUP(A117,'Données projet'!$A$113:$I$133,6,0)),0%,VLOOKUP(A117,'Données projet'!$A$113:$I$133,6,0)*VLOOKUP('Données projet'!$B$12,Paramètres!$A$1:$I$88,7,0))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projet'!$B$12,Paramètres!$A$1:$I$88,3,0)*0.475*44/12</f>
        <v>#N/A</v>
      </c>
      <c r="CL117" s="23" t="e">
        <f>EXP(-LN(2)/25)*CL116+(1-EXP(-LN(2)/25))/(LN(2)/25)*Calculateur!CG117*Calculateur!CI117*VLOOKUP('Données projet'!$B$12,Paramètres!$A$1:$I$88,3,0)*0.475*44/12</f>
        <v>#N/A</v>
      </c>
      <c r="CM117" s="23" t="e">
        <f>EXP(-LN(2)/2)*CM116+(1-EXP(-LN(2)/2))/(LN(2)/2)*CG117*CJ117*VLOOKUP('Données projet'!$B$12,Paramètres!$A$1:$I$88,3,0)*0.475*44/12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projet'!$B$13,Paramètres!$A$1:$I$88,3,0)*VLOOKUP('Données projet'!$B$13,Paramètres!$A$1:$I$88,5,0)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projet'!$B$13,Paramètres!$A$1:$I$88,7,0))</f>
        <v>0</v>
      </c>
      <c r="DD117" s="17">
        <f>IF(ISNA(VLOOKUP(A117,'Données projet'!$A$139:$I$159,6,0)),0%,VLOOKUP(A117,'Données projet'!$A$139:$I$159,6,0)*VLOOKUP('Données projet'!$B$13,Paramètres!$A$1:$I$88,7,0))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projet'!$B$13,Paramètres!$A$1:$I$88,3,0)*0.475*44/12</f>
        <v>#N/A</v>
      </c>
      <c r="DG117" s="23" t="e">
        <f>EXP(-LN(2)/25)*DG116+(1-EXP(-LN(2)/25))/(LN(2)/25)*Calculateur!DB117*Calculateur!DD117*VLOOKUP('Données projet'!$B$13,Paramètres!$A$1:$I$88,3,0)*0.475*44/12</f>
        <v>#N/A</v>
      </c>
      <c r="DH117" s="23" t="e">
        <f>EXP(-LN(2)/2)*DH116+(1-EXP(-LN(2)/2))/(LN(2)/2)*DB117*DE117*VLOOKUP('Données projet'!$B$13,Paramètres!$A$1:$I$88,3,0)*0.475*44/12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projet'!$B$14,Paramètres!$A$1:$I$88,3,0)*VLOOKUP('Données projet'!$B$14,Paramètres!$A$1:$I$88,5,0)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projet'!$B$14,Paramètres!$A$1:$I$88,7,0))</f>
        <v>0</v>
      </c>
      <c r="DY117" s="17">
        <f>IF(ISNA(VLOOKUP(A117,'Données projet'!$A$165:$I$185,6,0)),0%,VLOOKUP(A117,'Données projet'!$A$165:$I$185,6,0)*VLOOKUP('Données projet'!$B$14,Paramètres!$A$1:$I$88,7,0))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projet'!$B$14,Paramètres!$A$1:$I$88,3,0)*0.475*44/12</f>
        <v>#N/A</v>
      </c>
      <c r="EB117" s="23" t="e">
        <f>EXP(-LN(2)/25)*EB116+(1-EXP(-LN(2)/25))/(LN(2)/25)*Calculateur!DW117*Calculateur!DY117*VLOOKUP('Données projet'!$B$14,Paramètres!$A$1:$I$88,3,0)*0.475*44/12</f>
        <v>#N/A</v>
      </c>
      <c r="EC117" s="23" t="e">
        <f>EXP(-LN(2)/2)*EC116+(1-EXP(-LN(2)/2))/(LN(2)/2)*DW117*DZ117*VLOOKUP('Données projet'!$B$14,Paramètres!$A$1:$I$88,3,0)*0.475*44/12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projet'!$B$15,Paramètres!$A$1:$I$88,3,0)*VLOOKUP('Données projet'!$B$15,Paramètres!$A$1:$I$88,5,0)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projet'!$B$15,Paramètres!$A$1:$I$88,7,0))</f>
        <v>0</v>
      </c>
      <c r="ET117" s="17">
        <f>IF(ISNA(VLOOKUP(A117,'Données projet'!$A$191:$I$211,6,0)),0%,VLOOKUP(A117,'Données projet'!$A$191:$I$211,6,0)*VLOOKUP('Données projet'!$B$15,Paramètres!$A$1:$I$88,7,0))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projet'!$B$15,Paramètres!$A$1:$I$88,3,0)*0.475*44/12</f>
        <v>#N/A</v>
      </c>
      <c r="EW117" s="23" t="e">
        <f>EXP(-LN(2)/25)*EW116+(1-EXP(-LN(2)/25))/(LN(2)/25)*Calculateur!ER117*Calculateur!ET117*VLOOKUP('Données projet'!$B$15,Paramètres!$A$1:$I$88,3,0)*0.475*44/12</f>
        <v>#N/A</v>
      </c>
      <c r="EX117" s="23" t="e">
        <f>EXP(-LN(2)/2)*EX116+(1-EXP(-LN(2)/2))/(LN(2)/2)*ER117*EU117*VLOOKUP('Données projet'!$B$15,Paramètres!$A$1:$I$88,3,0)*0.475*44/12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projet'!$B$16,Paramètres!$A$1:$I$88,3,0)*VLOOKUP('Données projet'!$B$16,Paramètres!$A$1:$I$88,5,0)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projet'!$B$16,Paramètres!$A$1:$I$88,7,0))</f>
        <v>0</v>
      </c>
      <c r="FO117" s="17">
        <f>IF(ISNA(VLOOKUP(A117,'Données projet'!$A$217:$I$237,6,0)),0%,VLOOKUP(A117,'Données projet'!$A$217:$I$237,6,0)*VLOOKUP('Données projet'!$B$16,Paramètres!$A$1:$I$88,7,0))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projet'!$B$16,Paramètres!$A$1:$I$88,3,0)*0.475*44/12</f>
        <v>#N/A</v>
      </c>
      <c r="FR117" s="23" t="e">
        <f>EXP(-LN(2)/25)*FR116+(1-EXP(-LN(2)/25))/(LN(2)/25)*Calculateur!FM117*Calculateur!FO117*VLOOKUP('Données projet'!$B$16,Paramètres!$A$1:$I$88,3,0)*0.475*44/12</f>
        <v>#N/A</v>
      </c>
      <c r="FS117" s="23" t="e">
        <f>EXP(-LN(2)/2)*FS116+(1-EXP(-LN(2)/2))/(LN(2)/2)*FM117*FP117*VLOOKUP('Données projet'!$B$16,Paramètres!$A$1:$I$88,3,0)*0.475*44/12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projet'!$B$17,Paramètres!$A$1:$I$88,3,0)*VLOOKUP('Données projet'!$B$17,Paramètres!$A$1:$I$88,5,0)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projet'!$B$17,Paramètres!$A$1:$I$88,7,0))</f>
        <v>0</v>
      </c>
      <c r="GJ117" s="17">
        <f>IF(ISNA(VLOOKUP(A117,'Données projet'!$A$243:$I$263,6,0)),0%,VLOOKUP(A117,'Données projet'!$A$243:$I$263,6,0)*VLOOKUP('Données projet'!$B$17,Paramètres!$A$1:$I$88,7,0))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projet'!$B$17,Paramètres!$A$1:$I$88,3,0)*0.475*44/12</f>
        <v>#N/A</v>
      </c>
      <c r="GM117" s="23" t="e">
        <f>EXP(-LN(2)/25)*GM116+(1-EXP(-LN(2)/25))/(LN(2)/25)*Calculateur!GH117*Calculateur!GJ117*VLOOKUP('Données projet'!$B$17,Paramètres!$A$1:$I$88,3,0)*0.475*44/12</f>
        <v>#N/A</v>
      </c>
      <c r="GN117" s="23" t="e">
        <f>EXP(-LN(2)/2)*GN116+(1-EXP(-LN(2)/2))/(LN(2)/2)*GH117*GK117*VLOOKUP('Données projet'!$B$17,Paramètres!$A$1:$I$88,3,0)*0.475*44/12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projet'!$B$18,Paramètres!$A$1:$I$88,3,0)*VLOOKUP('Données projet'!$B$18,Paramètres!$A$1:$I$88,5,0)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projet'!$B$18,Paramètres!$A$1:$I$88,7,0))</f>
        <v>0</v>
      </c>
      <c r="HE117" s="17">
        <f>IF(ISNA(VLOOKUP(A117,'Données projet'!$A$269:$I$289,6,0)),0%,VLOOKUP(A117,'Données projet'!$A$269:$I$289,6,0)*VLOOKUP('Données projet'!$B$18,Paramètres!$A$1:$I$88,7,0))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projet'!$B$18,Paramètres!$A$1:$I$88,3,0)*0.475*44/12</f>
        <v>#N/A</v>
      </c>
      <c r="HH117" s="23" t="e">
        <f>EXP(-LN(2)/25)*HH116+(1-EXP(-LN(2)/25))/(LN(2)/25)*Calculateur!HC117*Calculateur!HE117*VLOOKUP('Données projet'!$B$18,Paramètres!$A$1:$I$88,3,0)*0.475*44/12</f>
        <v>#N/A</v>
      </c>
      <c r="HI117" s="23" t="e">
        <f>EXP(-LN(2)/2)*HI116+(1-EXP(-LN(2)/2))/(LN(2)/2)*HC117*HF117*VLOOKUP('Données projet'!$B$18,Paramètres!$A$1:$I$88,3,0)*0.475*44/12</f>
        <v>#N/A</v>
      </c>
      <c r="HJ117" s="24" t="e">
        <f t="shared" si="84"/>
        <v>#N/A</v>
      </c>
    </row>
    <row r="118" spans="1:218" s="5" customFormat="1" x14ac:dyDescent="0.3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4.5474735088646412E-13</v>
      </c>
      <c r="O118" s="14">
        <f>N118*VLOOKUP('Données projet'!$B$9,Paramètres!$A$1:$I$88,3,0)*VLOOKUP('Données projet'!$B$9,Paramètres!$A$1:$I$88,5,0)</f>
        <v>2.5420376914553347E-13</v>
      </c>
      <c r="P118" s="14">
        <f t="shared" si="87"/>
        <v>3.4258699088369875E-12</v>
      </c>
      <c r="Q118" s="22">
        <f t="shared" si="107"/>
        <v>6.4094616558195571E-12</v>
      </c>
      <c r="R118" s="62">
        <f t="shared" si="55"/>
        <v>281.08170554310368</v>
      </c>
      <c r="S118" s="62">
        <f ca="1">AVERAGE(OFFSET($R$3,0,0,'Données projet'!$E$9+1,1))-AVERAGE(OFFSET($H$3,0,0,'Données projet'!$E$9+1,1))</f>
        <v>367.03450586441784</v>
      </c>
      <c r="T118" s="62">
        <f t="shared" si="88"/>
        <v>413.14502442862897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projet'!$B$9,Paramètres!$A$1:$I$88,7,0))</f>
        <v>0</v>
      </c>
      <c r="X118" s="17">
        <f>IF(ISNA(VLOOKUP(A118,'Données projet'!$A$35:$I$55,6,0)),0%,VLOOKUP(A118,'Données projet'!$A$35:$I$55,6,0)*VLOOKUP('Données projet'!$B$9,Paramètres!$A$1:$I$88,7,0))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projet'!$B$9,Paramètres!$A$1:$I$88,3,0)*0.475*44/12</f>
        <v>80.575365038714736</v>
      </c>
      <c r="AA118" s="23">
        <f>EXP(-LN(2)/25)*AA117+(1-EXP(-LN(2)/25))/(LN(2)/25)*Calculateur!V118*Calculateur!X118*VLOOKUP('Données projet'!$B$9,Paramètres!$A$1:$I$88,3,0)*0.475*44/12</f>
        <v>28.77177380130265</v>
      </c>
      <c r="AB118" s="23">
        <f>EXP(-LN(2)/2)*AB117+(1-EXP(-LN(2)/2))/(LN(2)/2)*V118*Y118*VLOOKUP('Données projet'!$B$9,Paramètres!$A$1:$I$88,3,0)*0.475*44/12</f>
        <v>0</v>
      </c>
      <c r="AC118" s="24">
        <f t="shared" si="57"/>
        <v>109.34713884001738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projet'!$B$10,Paramètres!$A$1:$I$88,3,0)*VLOOKUP('Données projet'!$B$10,Paramètres!$A$1:$I$88,5,0)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projet'!$B$10,Paramètres!$A$1:$I$88,7,0))</f>
        <v>0</v>
      </c>
      <c r="AS118" s="17">
        <f>IF(ISNA(VLOOKUP(A118,'Données projet'!$A$61:$I$81,6,0)),0%,VLOOKUP(A118,'Données projet'!$A$61:$I$81,6,0)*VLOOKUP('Données projet'!$B$10,Paramètres!$A$1:$I$88,7,0))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projet'!$B$10,Paramètres!$A$1:$I$88,3,0)*0.475*44/12</f>
        <v>#N/A</v>
      </c>
      <c r="AV118" s="23" t="e">
        <f>EXP(-LN(2)/25)*AV117+(1-EXP(-LN(2)/25))/(LN(2)/25)*Calculateur!AQ118*Calculateur!AS118*VLOOKUP('Données projet'!$B$10,Paramètres!$A$1:$I$88,3,0)*0.475*44/12</f>
        <v>#N/A</v>
      </c>
      <c r="AW118" s="23" t="e">
        <f>EXP(-LN(2)/2)*AW117+(1-EXP(-LN(2)/2))/(LN(2)/2)*AQ118*AT118*VLOOKUP('Données projet'!$B$10,Paramètres!$A$1:$I$88,3,0)*0.475*44/12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projet'!$B$11,Paramètres!$A$1:$I$88,3,0)*VLOOKUP('Données projet'!$B$11,Paramètres!$A$1:$I$88,5,0)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projet'!$B$11,Paramètres!$A$1:$I$88,7,0))</f>
        <v>0</v>
      </c>
      <c r="BN118" s="17">
        <f>IF(ISNA(VLOOKUP(A118,'Données projet'!$A$87:$I$107,6,0)),0%,VLOOKUP(A118,'Données projet'!$A$87:$I$107,6,0)*VLOOKUP('Données projet'!$B$11,Paramètres!$A$1:$I$88,7,0))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projet'!$B$11,Paramètres!$A$1:$I$88,3,0)*0.475*44/12</f>
        <v>#N/A</v>
      </c>
      <c r="BQ118" s="23" t="e">
        <f>EXP(-LN(2)/25)*BQ117+(1-EXP(-LN(2)/25))/(LN(2)/25)*Calculateur!BL118*Calculateur!BN118*VLOOKUP('Données projet'!$B$11,Paramètres!$A$1:$I$88,3,0)*0.475*44/12</f>
        <v>#N/A</v>
      </c>
      <c r="BR118" s="23" t="e">
        <f>EXP(-LN(2)/2)*BR117+(1-EXP(-LN(2)/2))/(LN(2)/2)*BL118*BO118*VLOOKUP('Données projet'!$B$11,Paramètres!$A$1:$I$88,3,0)*0.475*44/12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projet'!$B$12,Paramètres!$A$1:$I$88,3,0)*VLOOKUP('Données projet'!$B$12,Paramètres!$A$1:$I$88,5,0)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projet'!$B$12,Paramètres!$A$1:$I$88,7,0))</f>
        <v>0</v>
      </c>
      <c r="CI118" s="17">
        <f>IF(ISNA(VLOOKUP(A118,'Données projet'!$A$113:$I$133,6,0)),0%,VLOOKUP(A118,'Données projet'!$A$113:$I$133,6,0)*VLOOKUP('Données projet'!$B$12,Paramètres!$A$1:$I$88,7,0))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projet'!$B$12,Paramètres!$A$1:$I$88,3,0)*0.475*44/12</f>
        <v>#N/A</v>
      </c>
      <c r="CL118" s="23" t="e">
        <f>EXP(-LN(2)/25)*CL117+(1-EXP(-LN(2)/25))/(LN(2)/25)*Calculateur!CG118*Calculateur!CI118*VLOOKUP('Données projet'!$B$12,Paramètres!$A$1:$I$88,3,0)*0.475*44/12</f>
        <v>#N/A</v>
      </c>
      <c r="CM118" s="23" t="e">
        <f>EXP(-LN(2)/2)*CM117+(1-EXP(-LN(2)/2))/(LN(2)/2)*CG118*CJ118*VLOOKUP('Données projet'!$B$12,Paramètres!$A$1:$I$88,3,0)*0.475*44/12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projet'!$B$13,Paramètres!$A$1:$I$88,3,0)*VLOOKUP('Données projet'!$B$13,Paramètres!$A$1:$I$88,5,0)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projet'!$B$13,Paramètres!$A$1:$I$88,7,0))</f>
        <v>0</v>
      </c>
      <c r="DD118" s="17">
        <f>IF(ISNA(VLOOKUP(A118,'Données projet'!$A$139:$I$159,6,0)),0%,VLOOKUP(A118,'Données projet'!$A$139:$I$159,6,0)*VLOOKUP('Données projet'!$B$13,Paramètres!$A$1:$I$88,7,0))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projet'!$B$13,Paramètres!$A$1:$I$88,3,0)*0.475*44/12</f>
        <v>#N/A</v>
      </c>
      <c r="DG118" s="23" t="e">
        <f>EXP(-LN(2)/25)*DG117+(1-EXP(-LN(2)/25))/(LN(2)/25)*Calculateur!DB118*Calculateur!DD118*VLOOKUP('Données projet'!$B$13,Paramètres!$A$1:$I$88,3,0)*0.475*44/12</f>
        <v>#N/A</v>
      </c>
      <c r="DH118" s="23" t="e">
        <f>EXP(-LN(2)/2)*DH117+(1-EXP(-LN(2)/2))/(LN(2)/2)*DB118*DE118*VLOOKUP('Données projet'!$B$13,Paramètres!$A$1:$I$88,3,0)*0.475*44/12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projet'!$B$14,Paramètres!$A$1:$I$88,3,0)*VLOOKUP('Données projet'!$B$14,Paramètres!$A$1:$I$88,5,0)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projet'!$B$14,Paramètres!$A$1:$I$88,7,0))</f>
        <v>0</v>
      </c>
      <c r="DY118" s="17">
        <f>IF(ISNA(VLOOKUP(A118,'Données projet'!$A$165:$I$185,6,0)),0%,VLOOKUP(A118,'Données projet'!$A$165:$I$185,6,0)*VLOOKUP('Données projet'!$B$14,Paramètres!$A$1:$I$88,7,0))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projet'!$B$14,Paramètres!$A$1:$I$88,3,0)*0.475*44/12</f>
        <v>#N/A</v>
      </c>
      <c r="EB118" s="23" t="e">
        <f>EXP(-LN(2)/25)*EB117+(1-EXP(-LN(2)/25))/(LN(2)/25)*Calculateur!DW118*Calculateur!DY118*VLOOKUP('Données projet'!$B$14,Paramètres!$A$1:$I$88,3,0)*0.475*44/12</f>
        <v>#N/A</v>
      </c>
      <c r="EC118" s="23" t="e">
        <f>EXP(-LN(2)/2)*EC117+(1-EXP(-LN(2)/2))/(LN(2)/2)*DW118*DZ118*VLOOKUP('Données projet'!$B$14,Paramètres!$A$1:$I$88,3,0)*0.475*44/12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projet'!$B$15,Paramètres!$A$1:$I$88,3,0)*VLOOKUP('Données projet'!$B$15,Paramètres!$A$1:$I$88,5,0)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projet'!$B$15,Paramètres!$A$1:$I$88,7,0))</f>
        <v>0</v>
      </c>
      <c r="ET118" s="17">
        <f>IF(ISNA(VLOOKUP(A118,'Données projet'!$A$191:$I$211,6,0)),0%,VLOOKUP(A118,'Données projet'!$A$191:$I$211,6,0)*VLOOKUP('Données projet'!$B$15,Paramètres!$A$1:$I$88,7,0))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projet'!$B$15,Paramètres!$A$1:$I$88,3,0)*0.475*44/12</f>
        <v>#N/A</v>
      </c>
      <c r="EW118" s="23" t="e">
        <f>EXP(-LN(2)/25)*EW117+(1-EXP(-LN(2)/25))/(LN(2)/25)*Calculateur!ER118*Calculateur!ET118*VLOOKUP('Données projet'!$B$15,Paramètres!$A$1:$I$88,3,0)*0.475*44/12</f>
        <v>#N/A</v>
      </c>
      <c r="EX118" s="23" t="e">
        <f>EXP(-LN(2)/2)*EX117+(1-EXP(-LN(2)/2))/(LN(2)/2)*ER118*EU118*VLOOKUP('Données projet'!$B$15,Paramètres!$A$1:$I$88,3,0)*0.475*44/12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projet'!$B$16,Paramètres!$A$1:$I$88,3,0)*VLOOKUP('Données projet'!$B$16,Paramètres!$A$1:$I$88,5,0)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projet'!$B$16,Paramètres!$A$1:$I$88,7,0))</f>
        <v>0</v>
      </c>
      <c r="FO118" s="17">
        <f>IF(ISNA(VLOOKUP(A118,'Données projet'!$A$217:$I$237,6,0)),0%,VLOOKUP(A118,'Données projet'!$A$217:$I$237,6,0)*VLOOKUP('Données projet'!$B$16,Paramètres!$A$1:$I$88,7,0))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projet'!$B$16,Paramètres!$A$1:$I$88,3,0)*0.475*44/12</f>
        <v>#N/A</v>
      </c>
      <c r="FR118" s="23" t="e">
        <f>EXP(-LN(2)/25)*FR117+(1-EXP(-LN(2)/25))/(LN(2)/25)*Calculateur!FM118*Calculateur!FO118*VLOOKUP('Données projet'!$B$16,Paramètres!$A$1:$I$88,3,0)*0.475*44/12</f>
        <v>#N/A</v>
      </c>
      <c r="FS118" s="23" t="e">
        <f>EXP(-LN(2)/2)*FS117+(1-EXP(-LN(2)/2))/(LN(2)/2)*FM118*FP118*VLOOKUP('Données projet'!$B$16,Paramètres!$A$1:$I$88,3,0)*0.475*44/12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projet'!$B$17,Paramètres!$A$1:$I$88,3,0)*VLOOKUP('Données projet'!$B$17,Paramètres!$A$1:$I$88,5,0)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projet'!$B$17,Paramètres!$A$1:$I$88,7,0))</f>
        <v>0</v>
      </c>
      <c r="GJ118" s="17">
        <f>IF(ISNA(VLOOKUP(A118,'Données projet'!$A$243:$I$263,6,0)),0%,VLOOKUP(A118,'Données projet'!$A$243:$I$263,6,0)*VLOOKUP('Données projet'!$B$17,Paramètres!$A$1:$I$88,7,0))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projet'!$B$17,Paramètres!$A$1:$I$88,3,0)*0.475*44/12</f>
        <v>#N/A</v>
      </c>
      <c r="GM118" s="23" t="e">
        <f>EXP(-LN(2)/25)*GM117+(1-EXP(-LN(2)/25))/(LN(2)/25)*Calculateur!GH118*Calculateur!GJ118*VLOOKUP('Données projet'!$B$17,Paramètres!$A$1:$I$88,3,0)*0.475*44/12</f>
        <v>#N/A</v>
      </c>
      <c r="GN118" s="23" t="e">
        <f>EXP(-LN(2)/2)*GN117+(1-EXP(-LN(2)/2))/(LN(2)/2)*GH118*GK118*VLOOKUP('Données projet'!$B$17,Paramètres!$A$1:$I$88,3,0)*0.475*44/12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projet'!$B$18,Paramètres!$A$1:$I$88,3,0)*VLOOKUP('Données projet'!$B$18,Paramètres!$A$1:$I$88,5,0)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projet'!$B$18,Paramètres!$A$1:$I$88,7,0))</f>
        <v>0</v>
      </c>
      <c r="HE118" s="17">
        <f>IF(ISNA(VLOOKUP(A118,'Données projet'!$A$269:$I$289,6,0)),0%,VLOOKUP(A118,'Données projet'!$A$269:$I$289,6,0)*VLOOKUP('Données projet'!$B$18,Paramètres!$A$1:$I$88,7,0))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projet'!$B$18,Paramètres!$A$1:$I$88,3,0)*0.475*44/12</f>
        <v>#N/A</v>
      </c>
      <c r="HH118" s="23" t="e">
        <f>EXP(-LN(2)/25)*HH117+(1-EXP(-LN(2)/25))/(LN(2)/25)*Calculateur!HC118*Calculateur!HE118*VLOOKUP('Données projet'!$B$18,Paramètres!$A$1:$I$88,3,0)*0.475*44/12</f>
        <v>#N/A</v>
      </c>
      <c r="HI118" s="23" t="e">
        <f>EXP(-LN(2)/2)*HI117+(1-EXP(-LN(2)/2))/(LN(2)/2)*HC118*HF118*VLOOKUP('Données projet'!$B$18,Paramètres!$A$1:$I$88,3,0)*0.475*44/12</f>
        <v>#N/A</v>
      </c>
      <c r="HJ118" s="24" t="e">
        <f t="shared" si="84"/>
        <v>#N/A</v>
      </c>
    </row>
    <row r="119" spans="1:218" s="5" customFormat="1" x14ac:dyDescent="0.3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4.5474735088646412E-13</v>
      </c>
      <c r="O119" s="14">
        <f>N119*VLOOKUP('Données projet'!$B$9,Paramètres!$A$1:$I$88,3,0)*VLOOKUP('Données projet'!$B$9,Paramètres!$A$1:$I$88,5,0)</f>
        <v>2.5420376914553347E-13</v>
      </c>
      <c r="P119" s="14">
        <f t="shared" si="87"/>
        <v>3.4258699088369875E-12</v>
      </c>
      <c r="Q119" s="22">
        <f t="shared" si="107"/>
        <v>6.4094616558195571E-12</v>
      </c>
      <c r="R119" s="62">
        <f t="shared" si="55"/>
        <v>281.29424389472791</v>
      </c>
      <c r="S119" s="62">
        <f ca="1">AVERAGE(OFFSET($R$3,0,0,'Données projet'!$E$9+1,1))-AVERAGE(OFFSET($H$3,0,0,'Données projet'!$E$9+1,1))</f>
        <v>367.03450586441784</v>
      </c>
      <c r="T119" s="62">
        <f t="shared" si="88"/>
        <v>413.14502442862897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projet'!$B$9,Paramètres!$A$1:$I$88,7,0))</f>
        <v>0</v>
      </c>
      <c r="X119" s="17">
        <f>IF(ISNA(VLOOKUP(A119,'Données projet'!$A$35:$I$55,6,0)),0%,VLOOKUP(A119,'Données projet'!$A$35:$I$55,6,0)*VLOOKUP('Données projet'!$B$9,Paramètres!$A$1:$I$88,7,0))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projet'!$B$9,Paramètres!$A$1:$I$88,3,0)*0.475*44/12</f>
        <v>78.995331276425432</v>
      </c>
      <c r="AA119" s="23">
        <f>EXP(-LN(2)/25)*AA118+(1-EXP(-LN(2)/25))/(LN(2)/25)*Calculateur!V119*Calculateur!X119*VLOOKUP('Données projet'!$B$9,Paramètres!$A$1:$I$88,3,0)*0.475*44/12</f>
        <v>27.985008133664206</v>
      </c>
      <c r="AB119" s="23">
        <f>EXP(-LN(2)/2)*AB118+(1-EXP(-LN(2)/2))/(LN(2)/2)*V119*Y119*VLOOKUP('Données projet'!$B$9,Paramètres!$A$1:$I$88,3,0)*0.475*44/12</f>
        <v>0</v>
      </c>
      <c r="AC119" s="24">
        <f t="shared" si="57"/>
        <v>106.98033941008964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projet'!$B$10,Paramètres!$A$1:$I$88,3,0)*VLOOKUP('Données projet'!$B$10,Paramètres!$A$1:$I$88,5,0)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projet'!$B$10,Paramètres!$A$1:$I$88,7,0))</f>
        <v>0</v>
      </c>
      <c r="AS119" s="17">
        <f>IF(ISNA(VLOOKUP(A119,'Données projet'!$A$61:$I$81,6,0)),0%,VLOOKUP(A119,'Données projet'!$A$61:$I$81,6,0)*VLOOKUP('Données projet'!$B$10,Paramètres!$A$1:$I$88,7,0))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projet'!$B$10,Paramètres!$A$1:$I$88,3,0)*0.475*44/12</f>
        <v>#N/A</v>
      </c>
      <c r="AV119" s="23" t="e">
        <f>EXP(-LN(2)/25)*AV118+(1-EXP(-LN(2)/25))/(LN(2)/25)*Calculateur!AQ119*Calculateur!AS119*VLOOKUP('Données projet'!$B$10,Paramètres!$A$1:$I$88,3,0)*0.475*44/12</f>
        <v>#N/A</v>
      </c>
      <c r="AW119" s="23" t="e">
        <f>EXP(-LN(2)/2)*AW118+(1-EXP(-LN(2)/2))/(LN(2)/2)*AQ119*AT119*VLOOKUP('Données projet'!$B$10,Paramètres!$A$1:$I$88,3,0)*0.475*44/12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projet'!$B$11,Paramètres!$A$1:$I$88,3,0)*VLOOKUP('Données projet'!$B$11,Paramètres!$A$1:$I$88,5,0)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projet'!$B$11,Paramètres!$A$1:$I$88,7,0))</f>
        <v>0</v>
      </c>
      <c r="BN119" s="17">
        <f>IF(ISNA(VLOOKUP(A119,'Données projet'!$A$87:$I$107,6,0)),0%,VLOOKUP(A119,'Données projet'!$A$87:$I$107,6,0)*VLOOKUP('Données projet'!$B$11,Paramètres!$A$1:$I$88,7,0))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projet'!$B$11,Paramètres!$A$1:$I$88,3,0)*0.475*44/12</f>
        <v>#N/A</v>
      </c>
      <c r="BQ119" s="23" t="e">
        <f>EXP(-LN(2)/25)*BQ118+(1-EXP(-LN(2)/25))/(LN(2)/25)*Calculateur!BL119*Calculateur!BN119*VLOOKUP('Données projet'!$B$11,Paramètres!$A$1:$I$88,3,0)*0.475*44/12</f>
        <v>#N/A</v>
      </c>
      <c r="BR119" s="23" t="e">
        <f>EXP(-LN(2)/2)*BR118+(1-EXP(-LN(2)/2))/(LN(2)/2)*BL119*BO119*VLOOKUP('Données projet'!$B$11,Paramètres!$A$1:$I$88,3,0)*0.475*44/12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projet'!$B$12,Paramètres!$A$1:$I$88,3,0)*VLOOKUP('Données projet'!$B$12,Paramètres!$A$1:$I$88,5,0)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projet'!$B$12,Paramètres!$A$1:$I$88,7,0))</f>
        <v>0</v>
      </c>
      <c r="CI119" s="17">
        <f>IF(ISNA(VLOOKUP(A119,'Données projet'!$A$113:$I$133,6,0)),0%,VLOOKUP(A119,'Données projet'!$A$113:$I$133,6,0)*VLOOKUP('Données projet'!$B$12,Paramètres!$A$1:$I$88,7,0))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projet'!$B$12,Paramètres!$A$1:$I$88,3,0)*0.475*44/12</f>
        <v>#N/A</v>
      </c>
      <c r="CL119" s="23" t="e">
        <f>EXP(-LN(2)/25)*CL118+(1-EXP(-LN(2)/25))/(LN(2)/25)*Calculateur!CG119*Calculateur!CI119*VLOOKUP('Données projet'!$B$12,Paramètres!$A$1:$I$88,3,0)*0.475*44/12</f>
        <v>#N/A</v>
      </c>
      <c r="CM119" s="23" t="e">
        <f>EXP(-LN(2)/2)*CM118+(1-EXP(-LN(2)/2))/(LN(2)/2)*CG119*CJ119*VLOOKUP('Données projet'!$B$12,Paramètres!$A$1:$I$88,3,0)*0.475*44/12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projet'!$B$13,Paramètres!$A$1:$I$88,3,0)*VLOOKUP('Données projet'!$B$13,Paramètres!$A$1:$I$88,5,0)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projet'!$B$13,Paramètres!$A$1:$I$88,7,0))</f>
        <v>0</v>
      </c>
      <c r="DD119" s="17">
        <f>IF(ISNA(VLOOKUP(A119,'Données projet'!$A$139:$I$159,6,0)),0%,VLOOKUP(A119,'Données projet'!$A$139:$I$159,6,0)*VLOOKUP('Données projet'!$B$13,Paramètres!$A$1:$I$88,7,0))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projet'!$B$13,Paramètres!$A$1:$I$88,3,0)*0.475*44/12</f>
        <v>#N/A</v>
      </c>
      <c r="DG119" s="23" t="e">
        <f>EXP(-LN(2)/25)*DG118+(1-EXP(-LN(2)/25))/(LN(2)/25)*Calculateur!DB119*Calculateur!DD119*VLOOKUP('Données projet'!$B$13,Paramètres!$A$1:$I$88,3,0)*0.475*44/12</f>
        <v>#N/A</v>
      </c>
      <c r="DH119" s="23" t="e">
        <f>EXP(-LN(2)/2)*DH118+(1-EXP(-LN(2)/2))/(LN(2)/2)*DB119*DE119*VLOOKUP('Données projet'!$B$13,Paramètres!$A$1:$I$88,3,0)*0.475*44/12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projet'!$B$14,Paramètres!$A$1:$I$88,3,0)*VLOOKUP('Données projet'!$B$14,Paramètres!$A$1:$I$88,5,0)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projet'!$B$14,Paramètres!$A$1:$I$88,7,0))</f>
        <v>0</v>
      </c>
      <c r="DY119" s="17">
        <f>IF(ISNA(VLOOKUP(A119,'Données projet'!$A$165:$I$185,6,0)),0%,VLOOKUP(A119,'Données projet'!$A$165:$I$185,6,0)*VLOOKUP('Données projet'!$B$14,Paramètres!$A$1:$I$88,7,0))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projet'!$B$14,Paramètres!$A$1:$I$88,3,0)*0.475*44/12</f>
        <v>#N/A</v>
      </c>
      <c r="EB119" s="23" t="e">
        <f>EXP(-LN(2)/25)*EB118+(1-EXP(-LN(2)/25))/(LN(2)/25)*Calculateur!DW119*Calculateur!DY119*VLOOKUP('Données projet'!$B$14,Paramètres!$A$1:$I$88,3,0)*0.475*44/12</f>
        <v>#N/A</v>
      </c>
      <c r="EC119" s="23" t="e">
        <f>EXP(-LN(2)/2)*EC118+(1-EXP(-LN(2)/2))/(LN(2)/2)*DW119*DZ119*VLOOKUP('Données projet'!$B$14,Paramètres!$A$1:$I$88,3,0)*0.475*44/12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projet'!$B$15,Paramètres!$A$1:$I$88,3,0)*VLOOKUP('Données projet'!$B$15,Paramètres!$A$1:$I$88,5,0)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projet'!$B$15,Paramètres!$A$1:$I$88,7,0))</f>
        <v>0</v>
      </c>
      <c r="ET119" s="17">
        <f>IF(ISNA(VLOOKUP(A119,'Données projet'!$A$191:$I$211,6,0)),0%,VLOOKUP(A119,'Données projet'!$A$191:$I$211,6,0)*VLOOKUP('Données projet'!$B$15,Paramètres!$A$1:$I$88,7,0))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projet'!$B$15,Paramètres!$A$1:$I$88,3,0)*0.475*44/12</f>
        <v>#N/A</v>
      </c>
      <c r="EW119" s="23" t="e">
        <f>EXP(-LN(2)/25)*EW118+(1-EXP(-LN(2)/25))/(LN(2)/25)*Calculateur!ER119*Calculateur!ET119*VLOOKUP('Données projet'!$B$15,Paramètres!$A$1:$I$88,3,0)*0.475*44/12</f>
        <v>#N/A</v>
      </c>
      <c r="EX119" s="23" t="e">
        <f>EXP(-LN(2)/2)*EX118+(1-EXP(-LN(2)/2))/(LN(2)/2)*ER119*EU119*VLOOKUP('Données projet'!$B$15,Paramètres!$A$1:$I$88,3,0)*0.475*44/12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projet'!$B$16,Paramètres!$A$1:$I$88,3,0)*VLOOKUP('Données projet'!$B$16,Paramètres!$A$1:$I$88,5,0)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projet'!$B$16,Paramètres!$A$1:$I$88,7,0))</f>
        <v>0</v>
      </c>
      <c r="FO119" s="17">
        <f>IF(ISNA(VLOOKUP(A119,'Données projet'!$A$217:$I$237,6,0)),0%,VLOOKUP(A119,'Données projet'!$A$217:$I$237,6,0)*VLOOKUP('Données projet'!$B$16,Paramètres!$A$1:$I$88,7,0))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projet'!$B$16,Paramètres!$A$1:$I$88,3,0)*0.475*44/12</f>
        <v>#N/A</v>
      </c>
      <c r="FR119" s="23" t="e">
        <f>EXP(-LN(2)/25)*FR118+(1-EXP(-LN(2)/25))/(LN(2)/25)*Calculateur!FM119*Calculateur!FO119*VLOOKUP('Données projet'!$B$16,Paramètres!$A$1:$I$88,3,0)*0.475*44/12</f>
        <v>#N/A</v>
      </c>
      <c r="FS119" s="23" t="e">
        <f>EXP(-LN(2)/2)*FS118+(1-EXP(-LN(2)/2))/(LN(2)/2)*FM119*FP119*VLOOKUP('Données projet'!$B$16,Paramètres!$A$1:$I$88,3,0)*0.475*44/12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projet'!$B$17,Paramètres!$A$1:$I$88,3,0)*VLOOKUP('Données projet'!$B$17,Paramètres!$A$1:$I$88,5,0)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projet'!$B$17,Paramètres!$A$1:$I$88,7,0))</f>
        <v>0</v>
      </c>
      <c r="GJ119" s="17">
        <f>IF(ISNA(VLOOKUP(A119,'Données projet'!$A$243:$I$263,6,0)),0%,VLOOKUP(A119,'Données projet'!$A$243:$I$263,6,0)*VLOOKUP('Données projet'!$B$17,Paramètres!$A$1:$I$88,7,0))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projet'!$B$17,Paramètres!$A$1:$I$88,3,0)*0.475*44/12</f>
        <v>#N/A</v>
      </c>
      <c r="GM119" s="23" t="e">
        <f>EXP(-LN(2)/25)*GM118+(1-EXP(-LN(2)/25))/(LN(2)/25)*Calculateur!GH119*Calculateur!GJ119*VLOOKUP('Données projet'!$B$17,Paramètres!$A$1:$I$88,3,0)*0.475*44/12</f>
        <v>#N/A</v>
      </c>
      <c r="GN119" s="23" t="e">
        <f>EXP(-LN(2)/2)*GN118+(1-EXP(-LN(2)/2))/(LN(2)/2)*GH119*GK119*VLOOKUP('Données projet'!$B$17,Paramètres!$A$1:$I$88,3,0)*0.475*44/12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projet'!$B$18,Paramètres!$A$1:$I$88,3,0)*VLOOKUP('Données projet'!$B$18,Paramètres!$A$1:$I$88,5,0)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projet'!$B$18,Paramètres!$A$1:$I$88,7,0))</f>
        <v>0</v>
      </c>
      <c r="HE119" s="17">
        <f>IF(ISNA(VLOOKUP(A119,'Données projet'!$A$269:$I$289,6,0)),0%,VLOOKUP(A119,'Données projet'!$A$269:$I$289,6,0)*VLOOKUP('Données projet'!$B$18,Paramètres!$A$1:$I$88,7,0))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projet'!$B$18,Paramètres!$A$1:$I$88,3,0)*0.475*44/12</f>
        <v>#N/A</v>
      </c>
      <c r="HH119" s="23" t="e">
        <f>EXP(-LN(2)/25)*HH118+(1-EXP(-LN(2)/25))/(LN(2)/25)*Calculateur!HC119*Calculateur!HE119*VLOOKUP('Données projet'!$B$18,Paramètres!$A$1:$I$88,3,0)*0.475*44/12</f>
        <v>#N/A</v>
      </c>
      <c r="HI119" s="23" t="e">
        <f>EXP(-LN(2)/2)*HI118+(1-EXP(-LN(2)/2))/(LN(2)/2)*HC119*HF119*VLOOKUP('Données projet'!$B$18,Paramètres!$A$1:$I$88,3,0)*0.475*44/12</f>
        <v>#N/A</v>
      </c>
      <c r="HJ119" s="24" t="e">
        <f t="shared" si="84"/>
        <v>#N/A</v>
      </c>
    </row>
    <row r="120" spans="1:218" s="5" customFormat="1" x14ac:dyDescent="0.3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4.5474735088646412E-13</v>
      </c>
      <c r="O120" s="14">
        <f>N120*VLOOKUP('Données projet'!$B$9,Paramètres!$A$1:$I$88,3,0)*VLOOKUP('Données projet'!$B$9,Paramètres!$A$1:$I$88,5,0)</f>
        <v>2.5420376914553347E-13</v>
      </c>
      <c r="P120" s="14">
        <f t="shared" si="87"/>
        <v>3.4258699088369875E-12</v>
      </c>
      <c r="Q120" s="22">
        <f t="shared" si="107"/>
        <v>6.4094616558195571E-12</v>
      </c>
      <c r="R120" s="62">
        <f t="shared" si="55"/>
        <v>281.50309518111607</v>
      </c>
      <c r="S120" s="62">
        <f ca="1">AVERAGE(OFFSET($R$3,0,0,'Données projet'!$E$9+1,1))-AVERAGE(OFFSET($H$3,0,0,'Données projet'!$E$9+1,1))</f>
        <v>367.03450586441784</v>
      </c>
      <c r="T120" s="62">
        <f t="shared" si="88"/>
        <v>413.14502442862897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projet'!$B$9,Paramètres!$A$1:$I$88,7,0))</f>
        <v>0</v>
      </c>
      <c r="X120" s="17">
        <f>IF(ISNA(VLOOKUP(A120,'Données projet'!$A$35:$I$55,6,0)),0%,VLOOKUP(A120,'Données projet'!$A$35:$I$55,6,0)*VLOOKUP('Données projet'!$B$9,Paramètres!$A$1:$I$88,7,0))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projet'!$B$9,Paramètres!$A$1:$I$88,3,0)*0.475*44/12</f>
        <v>77.446281012489194</v>
      </c>
      <c r="AA120" s="23">
        <f>EXP(-LN(2)/25)*AA119+(1-EXP(-LN(2)/25))/(LN(2)/25)*Calculateur!V120*Calculateur!X120*VLOOKUP('Données projet'!$B$9,Paramètres!$A$1:$I$88,3,0)*0.475*44/12</f>
        <v>27.219756614581541</v>
      </c>
      <c r="AB120" s="23">
        <f>EXP(-LN(2)/2)*AB119+(1-EXP(-LN(2)/2))/(LN(2)/2)*V120*Y120*VLOOKUP('Données projet'!$B$9,Paramètres!$A$1:$I$88,3,0)*0.475*44/12</f>
        <v>0</v>
      </c>
      <c r="AC120" s="24">
        <f t="shared" si="57"/>
        <v>104.66603762707074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projet'!$B$10,Paramètres!$A$1:$I$88,3,0)*VLOOKUP('Données projet'!$B$10,Paramètres!$A$1:$I$88,5,0)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projet'!$B$10,Paramètres!$A$1:$I$88,7,0))</f>
        <v>0</v>
      </c>
      <c r="AS120" s="17">
        <f>IF(ISNA(VLOOKUP(A120,'Données projet'!$A$61:$I$81,6,0)),0%,VLOOKUP(A120,'Données projet'!$A$61:$I$81,6,0)*VLOOKUP('Données projet'!$B$10,Paramètres!$A$1:$I$88,7,0))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projet'!$B$10,Paramètres!$A$1:$I$88,3,0)*0.475*44/12</f>
        <v>#N/A</v>
      </c>
      <c r="AV120" s="23" t="e">
        <f>EXP(-LN(2)/25)*AV119+(1-EXP(-LN(2)/25))/(LN(2)/25)*Calculateur!AQ120*Calculateur!AS120*VLOOKUP('Données projet'!$B$10,Paramètres!$A$1:$I$88,3,0)*0.475*44/12</f>
        <v>#N/A</v>
      </c>
      <c r="AW120" s="23" t="e">
        <f>EXP(-LN(2)/2)*AW119+(1-EXP(-LN(2)/2))/(LN(2)/2)*AQ120*AT120*VLOOKUP('Données projet'!$B$10,Paramètres!$A$1:$I$88,3,0)*0.475*44/12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projet'!$B$11,Paramètres!$A$1:$I$88,3,0)*VLOOKUP('Données projet'!$B$11,Paramètres!$A$1:$I$88,5,0)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projet'!$B$11,Paramètres!$A$1:$I$88,7,0))</f>
        <v>0</v>
      </c>
      <c r="BN120" s="17">
        <f>IF(ISNA(VLOOKUP(A120,'Données projet'!$A$87:$I$107,6,0)),0%,VLOOKUP(A120,'Données projet'!$A$87:$I$107,6,0)*VLOOKUP('Données projet'!$B$11,Paramètres!$A$1:$I$88,7,0))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projet'!$B$11,Paramètres!$A$1:$I$88,3,0)*0.475*44/12</f>
        <v>#N/A</v>
      </c>
      <c r="BQ120" s="23" t="e">
        <f>EXP(-LN(2)/25)*BQ119+(1-EXP(-LN(2)/25))/(LN(2)/25)*Calculateur!BL120*Calculateur!BN120*VLOOKUP('Données projet'!$B$11,Paramètres!$A$1:$I$88,3,0)*0.475*44/12</f>
        <v>#N/A</v>
      </c>
      <c r="BR120" s="23" t="e">
        <f>EXP(-LN(2)/2)*BR119+(1-EXP(-LN(2)/2))/(LN(2)/2)*BL120*BO120*VLOOKUP('Données projet'!$B$11,Paramètres!$A$1:$I$88,3,0)*0.475*44/12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projet'!$B$12,Paramètres!$A$1:$I$88,3,0)*VLOOKUP('Données projet'!$B$12,Paramètres!$A$1:$I$88,5,0)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projet'!$B$12,Paramètres!$A$1:$I$88,7,0))</f>
        <v>0</v>
      </c>
      <c r="CI120" s="17">
        <f>IF(ISNA(VLOOKUP(A120,'Données projet'!$A$113:$I$133,6,0)),0%,VLOOKUP(A120,'Données projet'!$A$113:$I$133,6,0)*VLOOKUP('Données projet'!$B$12,Paramètres!$A$1:$I$88,7,0))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projet'!$B$12,Paramètres!$A$1:$I$88,3,0)*0.475*44/12</f>
        <v>#N/A</v>
      </c>
      <c r="CL120" s="23" t="e">
        <f>EXP(-LN(2)/25)*CL119+(1-EXP(-LN(2)/25))/(LN(2)/25)*Calculateur!CG120*Calculateur!CI120*VLOOKUP('Données projet'!$B$12,Paramètres!$A$1:$I$88,3,0)*0.475*44/12</f>
        <v>#N/A</v>
      </c>
      <c r="CM120" s="23" t="e">
        <f>EXP(-LN(2)/2)*CM119+(1-EXP(-LN(2)/2))/(LN(2)/2)*CG120*CJ120*VLOOKUP('Données projet'!$B$12,Paramètres!$A$1:$I$88,3,0)*0.475*44/12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projet'!$B$13,Paramètres!$A$1:$I$88,3,0)*VLOOKUP('Données projet'!$B$13,Paramètres!$A$1:$I$88,5,0)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projet'!$B$13,Paramètres!$A$1:$I$88,7,0))</f>
        <v>0</v>
      </c>
      <c r="DD120" s="17">
        <f>IF(ISNA(VLOOKUP(A120,'Données projet'!$A$139:$I$159,6,0)),0%,VLOOKUP(A120,'Données projet'!$A$139:$I$159,6,0)*VLOOKUP('Données projet'!$B$13,Paramètres!$A$1:$I$88,7,0))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projet'!$B$13,Paramètres!$A$1:$I$88,3,0)*0.475*44/12</f>
        <v>#N/A</v>
      </c>
      <c r="DG120" s="23" t="e">
        <f>EXP(-LN(2)/25)*DG119+(1-EXP(-LN(2)/25))/(LN(2)/25)*Calculateur!DB120*Calculateur!DD120*VLOOKUP('Données projet'!$B$13,Paramètres!$A$1:$I$88,3,0)*0.475*44/12</f>
        <v>#N/A</v>
      </c>
      <c r="DH120" s="23" t="e">
        <f>EXP(-LN(2)/2)*DH119+(1-EXP(-LN(2)/2))/(LN(2)/2)*DB120*DE120*VLOOKUP('Données projet'!$B$13,Paramètres!$A$1:$I$88,3,0)*0.475*44/12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projet'!$B$14,Paramètres!$A$1:$I$88,3,0)*VLOOKUP('Données projet'!$B$14,Paramètres!$A$1:$I$88,5,0)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projet'!$B$14,Paramètres!$A$1:$I$88,7,0))</f>
        <v>0</v>
      </c>
      <c r="DY120" s="17">
        <f>IF(ISNA(VLOOKUP(A120,'Données projet'!$A$165:$I$185,6,0)),0%,VLOOKUP(A120,'Données projet'!$A$165:$I$185,6,0)*VLOOKUP('Données projet'!$B$14,Paramètres!$A$1:$I$88,7,0))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projet'!$B$14,Paramètres!$A$1:$I$88,3,0)*0.475*44/12</f>
        <v>#N/A</v>
      </c>
      <c r="EB120" s="23" t="e">
        <f>EXP(-LN(2)/25)*EB119+(1-EXP(-LN(2)/25))/(LN(2)/25)*Calculateur!DW120*Calculateur!DY120*VLOOKUP('Données projet'!$B$14,Paramètres!$A$1:$I$88,3,0)*0.475*44/12</f>
        <v>#N/A</v>
      </c>
      <c r="EC120" s="23" t="e">
        <f>EXP(-LN(2)/2)*EC119+(1-EXP(-LN(2)/2))/(LN(2)/2)*DW120*DZ120*VLOOKUP('Données projet'!$B$14,Paramètres!$A$1:$I$88,3,0)*0.475*44/12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projet'!$B$15,Paramètres!$A$1:$I$88,3,0)*VLOOKUP('Données projet'!$B$15,Paramètres!$A$1:$I$88,5,0)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projet'!$B$15,Paramètres!$A$1:$I$88,7,0))</f>
        <v>0</v>
      </c>
      <c r="ET120" s="17">
        <f>IF(ISNA(VLOOKUP(A120,'Données projet'!$A$191:$I$211,6,0)),0%,VLOOKUP(A120,'Données projet'!$A$191:$I$211,6,0)*VLOOKUP('Données projet'!$B$15,Paramètres!$A$1:$I$88,7,0))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projet'!$B$15,Paramètres!$A$1:$I$88,3,0)*0.475*44/12</f>
        <v>#N/A</v>
      </c>
      <c r="EW120" s="23" t="e">
        <f>EXP(-LN(2)/25)*EW119+(1-EXP(-LN(2)/25))/(LN(2)/25)*Calculateur!ER120*Calculateur!ET120*VLOOKUP('Données projet'!$B$15,Paramètres!$A$1:$I$88,3,0)*0.475*44/12</f>
        <v>#N/A</v>
      </c>
      <c r="EX120" s="23" t="e">
        <f>EXP(-LN(2)/2)*EX119+(1-EXP(-LN(2)/2))/(LN(2)/2)*ER120*EU120*VLOOKUP('Données projet'!$B$15,Paramètres!$A$1:$I$88,3,0)*0.475*44/12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projet'!$B$16,Paramètres!$A$1:$I$88,3,0)*VLOOKUP('Données projet'!$B$16,Paramètres!$A$1:$I$88,5,0)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projet'!$B$16,Paramètres!$A$1:$I$88,7,0))</f>
        <v>0</v>
      </c>
      <c r="FO120" s="17">
        <f>IF(ISNA(VLOOKUP(A120,'Données projet'!$A$217:$I$237,6,0)),0%,VLOOKUP(A120,'Données projet'!$A$217:$I$237,6,0)*VLOOKUP('Données projet'!$B$16,Paramètres!$A$1:$I$88,7,0))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projet'!$B$16,Paramètres!$A$1:$I$88,3,0)*0.475*44/12</f>
        <v>#N/A</v>
      </c>
      <c r="FR120" s="23" t="e">
        <f>EXP(-LN(2)/25)*FR119+(1-EXP(-LN(2)/25))/(LN(2)/25)*Calculateur!FM120*Calculateur!FO120*VLOOKUP('Données projet'!$B$16,Paramètres!$A$1:$I$88,3,0)*0.475*44/12</f>
        <v>#N/A</v>
      </c>
      <c r="FS120" s="23" t="e">
        <f>EXP(-LN(2)/2)*FS119+(1-EXP(-LN(2)/2))/(LN(2)/2)*FM120*FP120*VLOOKUP('Données projet'!$B$16,Paramètres!$A$1:$I$88,3,0)*0.475*44/12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projet'!$B$17,Paramètres!$A$1:$I$88,3,0)*VLOOKUP('Données projet'!$B$17,Paramètres!$A$1:$I$88,5,0)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projet'!$B$17,Paramètres!$A$1:$I$88,7,0))</f>
        <v>0</v>
      </c>
      <c r="GJ120" s="17">
        <f>IF(ISNA(VLOOKUP(A120,'Données projet'!$A$243:$I$263,6,0)),0%,VLOOKUP(A120,'Données projet'!$A$243:$I$263,6,0)*VLOOKUP('Données projet'!$B$17,Paramètres!$A$1:$I$88,7,0))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projet'!$B$17,Paramètres!$A$1:$I$88,3,0)*0.475*44/12</f>
        <v>#N/A</v>
      </c>
      <c r="GM120" s="23" t="e">
        <f>EXP(-LN(2)/25)*GM119+(1-EXP(-LN(2)/25))/(LN(2)/25)*Calculateur!GH120*Calculateur!GJ120*VLOOKUP('Données projet'!$B$17,Paramètres!$A$1:$I$88,3,0)*0.475*44/12</f>
        <v>#N/A</v>
      </c>
      <c r="GN120" s="23" t="e">
        <f>EXP(-LN(2)/2)*GN119+(1-EXP(-LN(2)/2))/(LN(2)/2)*GH120*GK120*VLOOKUP('Données projet'!$B$17,Paramètres!$A$1:$I$88,3,0)*0.475*44/12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projet'!$B$18,Paramètres!$A$1:$I$88,3,0)*VLOOKUP('Données projet'!$B$18,Paramètres!$A$1:$I$88,5,0)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projet'!$B$18,Paramètres!$A$1:$I$88,7,0))</f>
        <v>0</v>
      </c>
      <c r="HE120" s="17">
        <f>IF(ISNA(VLOOKUP(A120,'Données projet'!$A$269:$I$289,6,0)),0%,VLOOKUP(A120,'Données projet'!$A$269:$I$289,6,0)*VLOOKUP('Données projet'!$B$18,Paramètres!$A$1:$I$88,7,0))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projet'!$B$18,Paramètres!$A$1:$I$88,3,0)*0.475*44/12</f>
        <v>#N/A</v>
      </c>
      <c r="HH120" s="23" t="e">
        <f>EXP(-LN(2)/25)*HH119+(1-EXP(-LN(2)/25))/(LN(2)/25)*Calculateur!HC120*Calculateur!HE120*VLOOKUP('Données projet'!$B$18,Paramètres!$A$1:$I$88,3,0)*0.475*44/12</f>
        <v>#N/A</v>
      </c>
      <c r="HI120" s="23" t="e">
        <f>EXP(-LN(2)/2)*HI119+(1-EXP(-LN(2)/2))/(LN(2)/2)*HC120*HF120*VLOOKUP('Données projet'!$B$18,Paramètres!$A$1:$I$88,3,0)*0.475*44/12</f>
        <v>#N/A</v>
      </c>
      <c r="HJ120" s="24" t="e">
        <f t="shared" si="84"/>
        <v>#N/A</v>
      </c>
    </row>
    <row r="121" spans="1:218" s="5" customFormat="1" x14ac:dyDescent="0.3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4.5474735088646412E-13</v>
      </c>
      <c r="O121" s="14">
        <f>N121*VLOOKUP('Données projet'!$B$9,Paramètres!$A$1:$I$88,3,0)*VLOOKUP('Données projet'!$B$9,Paramètres!$A$1:$I$88,5,0)</f>
        <v>2.5420376914553347E-13</v>
      </c>
      <c r="P121" s="14">
        <f t="shared" si="87"/>
        <v>3.4258699088369875E-12</v>
      </c>
      <c r="Q121" s="22">
        <f t="shared" si="107"/>
        <v>6.4094616558195571E-12</v>
      </c>
      <c r="R121" s="62">
        <f t="shared" si="55"/>
        <v>281.70832336460683</v>
      </c>
      <c r="S121" s="62">
        <f ca="1">AVERAGE(OFFSET($R$3,0,0,'Données projet'!$E$9+1,1))-AVERAGE(OFFSET($H$3,0,0,'Données projet'!$E$9+1,1))</f>
        <v>367.03450586441784</v>
      </c>
      <c r="T121" s="62">
        <f t="shared" si="88"/>
        <v>413.14502442862897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projet'!$B$9,Paramètres!$A$1:$I$88,7,0))</f>
        <v>0</v>
      </c>
      <c r="X121" s="17">
        <f>IF(ISNA(VLOOKUP(A121,'Données projet'!$A$35:$I$55,6,0)),0%,VLOOKUP(A121,'Données projet'!$A$35:$I$55,6,0)*VLOOKUP('Données projet'!$B$9,Paramètres!$A$1:$I$88,7,0))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projet'!$B$9,Paramètres!$A$1:$I$88,3,0)*0.475*44/12</f>
        <v>75.927606679401379</v>
      </c>
      <c r="AA121" s="23">
        <f>EXP(-LN(2)/25)*AA120+(1-EXP(-LN(2)/25))/(LN(2)/25)*Calculateur!V121*Calculateur!X121*VLOOKUP('Données projet'!$B$9,Paramètres!$A$1:$I$88,3,0)*0.475*44/12</f>
        <v>26.475430938531019</v>
      </c>
      <c r="AB121" s="23">
        <f>EXP(-LN(2)/2)*AB120+(1-EXP(-LN(2)/2))/(LN(2)/2)*V121*Y121*VLOOKUP('Données projet'!$B$9,Paramètres!$A$1:$I$88,3,0)*0.475*44/12</f>
        <v>0</v>
      </c>
      <c r="AC121" s="24">
        <f t="shared" si="57"/>
        <v>102.4030376179324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projet'!$B$10,Paramètres!$A$1:$I$88,3,0)*VLOOKUP('Données projet'!$B$10,Paramètres!$A$1:$I$88,5,0)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projet'!$B$10,Paramètres!$A$1:$I$88,7,0))</f>
        <v>0</v>
      </c>
      <c r="AS121" s="17">
        <f>IF(ISNA(VLOOKUP(A121,'Données projet'!$A$61:$I$81,6,0)),0%,VLOOKUP(A121,'Données projet'!$A$61:$I$81,6,0)*VLOOKUP('Données projet'!$B$10,Paramètres!$A$1:$I$88,7,0))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projet'!$B$10,Paramètres!$A$1:$I$88,3,0)*0.475*44/12</f>
        <v>#N/A</v>
      </c>
      <c r="AV121" s="23" t="e">
        <f>EXP(-LN(2)/25)*AV120+(1-EXP(-LN(2)/25))/(LN(2)/25)*Calculateur!AQ121*Calculateur!AS121*VLOOKUP('Données projet'!$B$10,Paramètres!$A$1:$I$88,3,0)*0.475*44/12</f>
        <v>#N/A</v>
      </c>
      <c r="AW121" s="23" t="e">
        <f>EXP(-LN(2)/2)*AW120+(1-EXP(-LN(2)/2))/(LN(2)/2)*AQ121*AT121*VLOOKUP('Données projet'!$B$10,Paramètres!$A$1:$I$88,3,0)*0.475*44/12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projet'!$B$11,Paramètres!$A$1:$I$88,3,0)*VLOOKUP('Données projet'!$B$11,Paramètres!$A$1:$I$88,5,0)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projet'!$B$11,Paramètres!$A$1:$I$88,7,0))</f>
        <v>0</v>
      </c>
      <c r="BN121" s="17">
        <f>IF(ISNA(VLOOKUP(A121,'Données projet'!$A$87:$I$107,6,0)),0%,VLOOKUP(A121,'Données projet'!$A$87:$I$107,6,0)*VLOOKUP('Données projet'!$B$11,Paramètres!$A$1:$I$88,7,0))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projet'!$B$11,Paramètres!$A$1:$I$88,3,0)*0.475*44/12</f>
        <v>#N/A</v>
      </c>
      <c r="BQ121" s="23" t="e">
        <f>EXP(-LN(2)/25)*BQ120+(1-EXP(-LN(2)/25))/(LN(2)/25)*Calculateur!BL121*Calculateur!BN121*VLOOKUP('Données projet'!$B$11,Paramètres!$A$1:$I$88,3,0)*0.475*44/12</f>
        <v>#N/A</v>
      </c>
      <c r="BR121" s="23" t="e">
        <f>EXP(-LN(2)/2)*BR120+(1-EXP(-LN(2)/2))/(LN(2)/2)*BL121*BO121*VLOOKUP('Données projet'!$B$11,Paramètres!$A$1:$I$88,3,0)*0.475*44/12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projet'!$B$12,Paramètres!$A$1:$I$88,3,0)*VLOOKUP('Données projet'!$B$12,Paramètres!$A$1:$I$88,5,0)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projet'!$B$12,Paramètres!$A$1:$I$88,7,0))</f>
        <v>0</v>
      </c>
      <c r="CI121" s="17">
        <f>IF(ISNA(VLOOKUP(A121,'Données projet'!$A$113:$I$133,6,0)),0%,VLOOKUP(A121,'Données projet'!$A$113:$I$133,6,0)*VLOOKUP('Données projet'!$B$12,Paramètres!$A$1:$I$88,7,0))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projet'!$B$12,Paramètres!$A$1:$I$88,3,0)*0.475*44/12</f>
        <v>#N/A</v>
      </c>
      <c r="CL121" s="23" t="e">
        <f>EXP(-LN(2)/25)*CL120+(1-EXP(-LN(2)/25))/(LN(2)/25)*Calculateur!CG121*Calculateur!CI121*VLOOKUP('Données projet'!$B$12,Paramètres!$A$1:$I$88,3,0)*0.475*44/12</f>
        <v>#N/A</v>
      </c>
      <c r="CM121" s="23" t="e">
        <f>EXP(-LN(2)/2)*CM120+(1-EXP(-LN(2)/2))/(LN(2)/2)*CG121*CJ121*VLOOKUP('Données projet'!$B$12,Paramètres!$A$1:$I$88,3,0)*0.475*44/12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projet'!$B$13,Paramètres!$A$1:$I$88,3,0)*VLOOKUP('Données projet'!$B$13,Paramètres!$A$1:$I$88,5,0)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projet'!$B$13,Paramètres!$A$1:$I$88,7,0))</f>
        <v>0</v>
      </c>
      <c r="DD121" s="17">
        <f>IF(ISNA(VLOOKUP(A121,'Données projet'!$A$139:$I$159,6,0)),0%,VLOOKUP(A121,'Données projet'!$A$139:$I$159,6,0)*VLOOKUP('Données projet'!$B$13,Paramètres!$A$1:$I$88,7,0))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projet'!$B$13,Paramètres!$A$1:$I$88,3,0)*0.475*44/12</f>
        <v>#N/A</v>
      </c>
      <c r="DG121" s="23" t="e">
        <f>EXP(-LN(2)/25)*DG120+(1-EXP(-LN(2)/25))/(LN(2)/25)*Calculateur!DB121*Calculateur!DD121*VLOOKUP('Données projet'!$B$13,Paramètres!$A$1:$I$88,3,0)*0.475*44/12</f>
        <v>#N/A</v>
      </c>
      <c r="DH121" s="23" t="e">
        <f>EXP(-LN(2)/2)*DH120+(1-EXP(-LN(2)/2))/(LN(2)/2)*DB121*DE121*VLOOKUP('Données projet'!$B$13,Paramètres!$A$1:$I$88,3,0)*0.475*44/12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projet'!$B$14,Paramètres!$A$1:$I$88,3,0)*VLOOKUP('Données projet'!$B$14,Paramètres!$A$1:$I$88,5,0)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projet'!$B$14,Paramètres!$A$1:$I$88,7,0))</f>
        <v>0</v>
      </c>
      <c r="DY121" s="17">
        <f>IF(ISNA(VLOOKUP(A121,'Données projet'!$A$165:$I$185,6,0)),0%,VLOOKUP(A121,'Données projet'!$A$165:$I$185,6,0)*VLOOKUP('Données projet'!$B$14,Paramètres!$A$1:$I$88,7,0))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projet'!$B$14,Paramètres!$A$1:$I$88,3,0)*0.475*44/12</f>
        <v>#N/A</v>
      </c>
      <c r="EB121" s="23" t="e">
        <f>EXP(-LN(2)/25)*EB120+(1-EXP(-LN(2)/25))/(LN(2)/25)*Calculateur!DW121*Calculateur!DY121*VLOOKUP('Données projet'!$B$14,Paramètres!$A$1:$I$88,3,0)*0.475*44/12</f>
        <v>#N/A</v>
      </c>
      <c r="EC121" s="23" t="e">
        <f>EXP(-LN(2)/2)*EC120+(1-EXP(-LN(2)/2))/(LN(2)/2)*DW121*DZ121*VLOOKUP('Données projet'!$B$14,Paramètres!$A$1:$I$88,3,0)*0.475*44/12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projet'!$B$15,Paramètres!$A$1:$I$88,3,0)*VLOOKUP('Données projet'!$B$15,Paramètres!$A$1:$I$88,5,0)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projet'!$B$15,Paramètres!$A$1:$I$88,7,0))</f>
        <v>0</v>
      </c>
      <c r="ET121" s="17">
        <f>IF(ISNA(VLOOKUP(A121,'Données projet'!$A$191:$I$211,6,0)),0%,VLOOKUP(A121,'Données projet'!$A$191:$I$211,6,0)*VLOOKUP('Données projet'!$B$15,Paramètres!$A$1:$I$88,7,0))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projet'!$B$15,Paramètres!$A$1:$I$88,3,0)*0.475*44/12</f>
        <v>#N/A</v>
      </c>
      <c r="EW121" s="23" t="e">
        <f>EXP(-LN(2)/25)*EW120+(1-EXP(-LN(2)/25))/(LN(2)/25)*Calculateur!ER121*Calculateur!ET121*VLOOKUP('Données projet'!$B$15,Paramètres!$A$1:$I$88,3,0)*0.475*44/12</f>
        <v>#N/A</v>
      </c>
      <c r="EX121" s="23" t="e">
        <f>EXP(-LN(2)/2)*EX120+(1-EXP(-LN(2)/2))/(LN(2)/2)*ER121*EU121*VLOOKUP('Données projet'!$B$15,Paramètres!$A$1:$I$88,3,0)*0.475*44/12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projet'!$B$16,Paramètres!$A$1:$I$88,3,0)*VLOOKUP('Données projet'!$B$16,Paramètres!$A$1:$I$88,5,0)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projet'!$B$16,Paramètres!$A$1:$I$88,7,0))</f>
        <v>0</v>
      </c>
      <c r="FO121" s="17">
        <f>IF(ISNA(VLOOKUP(A121,'Données projet'!$A$217:$I$237,6,0)),0%,VLOOKUP(A121,'Données projet'!$A$217:$I$237,6,0)*VLOOKUP('Données projet'!$B$16,Paramètres!$A$1:$I$88,7,0))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projet'!$B$16,Paramètres!$A$1:$I$88,3,0)*0.475*44/12</f>
        <v>#N/A</v>
      </c>
      <c r="FR121" s="23" t="e">
        <f>EXP(-LN(2)/25)*FR120+(1-EXP(-LN(2)/25))/(LN(2)/25)*Calculateur!FM121*Calculateur!FO121*VLOOKUP('Données projet'!$B$16,Paramètres!$A$1:$I$88,3,0)*0.475*44/12</f>
        <v>#N/A</v>
      </c>
      <c r="FS121" s="23" t="e">
        <f>EXP(-LN(2)/2)*FS120+(1-EXP(-LN(2)/2))/(LN(2)/2)*FM121*FP121*VLOOKUP('Données projet'!$B$16,Paramètres!$A$1:$I$88,3,0)*0.475*44/12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projet'!$B$17,Paramètres!$A$1:$I$88,3,0)*VLOOKUP('Données projet'!$B$17,Paramètres!$A$1:$I$88,5,0)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projet'!$B$17,Paramètres!$A$1:$I$88,7,0))</f>
        <v>0</v>
      </c>
      <c r="GJ121" s="17">
        <f>IF(ISNA(VLOOKUP(A121,'Données projet'!$A$243:$I$263,6,0)),0%,VLOOKUP(A121,'Données projet'!$A$243:$I$263,6,0)*VLOOKUP('Données projet'!$B$17,Paramètres!$A$1:$I$88,7,0))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projet'!$B$17,Paramètres!$A$1:$I$88,3,0)*0.475*44/12</f>
        <v>#N/A</v>
      </c>
      <c r="GM121" s="23" t="e">
        <f>EXP(-LN(2)/25)*GM120+(1-EXP(-LN(2)/25))/(LN(2)/25)*Calculateur!GH121*Calculateur!GJ121*VLOOKUP('Données projet'!$B$17,Paramètres!$A$1:$I$88,3,0)*0.475*44/12</f>
        <v>#N/A</v>
      </c>
      <c r="GN121" s="23" t="e">
        <f>EXP(-LN(2)/2)*GN120+(1-EXP(-LN(2)/2))/(LN(2)/2)*GH121*GK121*VLOOKUP('Données projet'!$B$17,Paramètres!$A$1:$I$88,3,0)*0.475*44/12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projet'!$B$18,Paramètres!$A$1:$I$88,3,0)*VLOOKUP('Données projet'!$B$18,Paramètres!$A$1:$I$88,5,0)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projet'!$B$18,Paramètres!$A$1:$I$88,7,0))</f>
        <v>0</v>
      </c>
      <c r="HE121" s="17">
        <f>IF(ISNA(VLOOKUP(A121,'Données projet'!$A$269:$I$289,6,0)),0%,VLOOKUP(A121,'Données projet'!$A$269:$I$289,6,0)*VLOOKUP('Données projet'!$B$18,Paramètres!$A$1:$I$88,7,0))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projet'!$B$18,Paramètres!$A$1:$I$88,3,0)*0.475*44/12</f>
        <v>#N/A</v>
      </c>
      <c r="HH121" s="23" t="e">
        <f>EXP(-LN(2)/25)*HH120+(1-EXP(-LN(2)/25))/(LN(2)/25)*Calculateur!HC121*Calculateur!HE121*VLOOKUP('Données projet'!$B$18,Paramètres!$A$1:$I$88,3,0)*0.475*44/12</f>
        <v>#N/A</v>
      </c>
      <c r="HI121" s="23" t="e">
        <f>EXP(-LN(2)/2)*HI120+(1-EXP(-LN(2)/2))/(LN(2)/2)*HC121*HF121*VLOOKUP('Données projet'!$B$18,Paramètres!$A$1:$I$88,3,0)*0.475*44/12</f>
        <v>#N/A</v>
      </c>
      <c r="HJ121" s="24" t="e">
        <f t="shared" si="84"/>
        <v>#N/A</v>
      </c>
    </row>
    <row r="122" spans="1:218" s="5" customFormat="1" x14ac:dyDescent="0.3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4.5474735088646412E-13</v>
      </c>
      <c r="O122" s="14">
        <f>N122*VLOOKUP('Données projet'!$B$9,Paramètres!$A$1:$I$88,3,0)*VLOOKUP('Données projet'!$B$9,Paramètres!$A$1:$I$88,5,0)</f>
        <v>2.5420376914553347E-13</v>
      </c>
      <c r="P122" s="14">
        <f t="shared" si="87"/>
        <v>3.4258699088369875E-12</v>
      </c>
      <c r="Q122" s="22">
        <f t="shared" si="107"/>
        <v>6.4094616558195571E-12</v>
      </c>
      <c r="R122" s="62">
        <f t="shared" si="55"/>
        <v>281.90999129793556</v>
      </c>
      <c r="S122" s="62">
        <f ca="1">AVERAGE(OFFSET($R$3,0,0,'Données projet'!$E$9+1,1))-AVERAGE(OFFSET($H$3,0,0,'Données projet'!$E$9+1,1))</f>
        <v>367.03450586441784</v>
      </c>
      <c r="T122" s="62">
        <f t="shared" si="88"/>
        <v>413.14502442862897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projet'!$B$9,Paramètres!$A$1:$I$88,7,0))</f>
        <v>0</v>
      </c>
      <c r="X122" s="17">
        <f>IF(ISNA(VLOOKUP(A122,'Données projet'!$A$35:$I$55,6,0)),0%,VLOOKUP(A122,'Données projet'!$A$35:$I$55,6,0)*VLOOKUP('Données projet'!$B$9,Paramètres!$A$1:$I$88,7,0))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projet'!$B$9,Paramètres!$A$1:$I$88,3,0)*0.475*44/12</f>
        <v>74.438712623685532</v>
      </c>
      <c r="AA122" s="23">
        <f>EXP(-LN(2)/25)*AA121+(1-EXP(-LN(2)/25))/(LN(2)/25)*Calculateur!V122*Calculateur!X122*VLOOKUP('Données projet'!$B$9,Paramètres!$A$1:$I$88,3,0)*0.475*44/12</f>
        <v>25.751458887234485</v>
      </c>
      <c r="AB122" s="23">
        <f>EXP(-LN(2)/2)*AB121+(1-EXP(-LN(2)/2))/(LN(2)/2)*V122*Y122*VLOOKUP('Données projet'!$B$9,Paramètres!$A$1:$I$88,3,0)*0.475*44/12</f>
        <v>0</v>
      </c>
      <c r="AC122" s="24">
        <f t="shared" si="57"/>
        <v>100.19017151092001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projet'!$B$10,Paramètres!$A$1:$I$88,3,0)*VLOOKUP('Données projet'!$B$10,Paramètres!$A$1:$I$88,5,0)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projet'!$B$10,Paramètres!$A$1:$I$88,7,0))</f>
        <v>0</v>
      </c>
      <c r="AS122" s="17">
        <f>IF(ISNA(VLOOKUP(A122,'Données projet'!$A$61:$I$81,6,0)),0%,VLOOKUP(A122,'Données projet'!$A$61:$I$81,6,0)*VLOOKUP('Données projet'!$B$10,Paramètres!$A$1:$I$88,7,0))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projet'!$B$10,Paramètres!$A$1:$I$88,3,0)*0.475*44/12</f>
        <v>#N/A</v>
      </c>
      <c r="AV122" s="23" t="e">
        <f>EXP(-LN(2)/25)*AV121+(1-EXP(-LN(2)/25))/(LN(2)/25)*Calculateur!AQ122*Calculateur!AS122*VLOOKUP('Données projet'!$B$10,Paramètres!$A$1:$I$88,3,0)*0.475*44/12</f>
        <v>#N/A</v>
      </c>
      <c r="AW122" s="23" t="e">
        <f>EXP(-LN(2)/2)*AW121+(1-EXP(-LN(2)/2))/(LN(2)/2)*AQ122*AT122*VLOOKUP('Données projet'!$B$10,Paramètres!$A$1:$I$88,3,0)*0.475*44/12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projet'!$B$11,Paramètres!$A$1:$I$88,3,0)*VLOOKUP('Données projet'!$B$11,Paramètres!$A$1:$I$88,5,0)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projet'!$B$11,Paramètres!$A$1:$I$88,7,0))</f>
        <v>0</v>
      </c>
      <c r="BN122" s="17">
        <f>IF(ISNA(VLOOKUP(A122,'Données projet'!$A$87:$I$107,6,0)),0%,VLOOKUP(A122,'Données projet'!$A$87:$I$107,6,0)*VLOOKUP('Données projet'!$B$11,Paramètres!$A$1:$I$88,7,0))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projet'!$B$11,Paramètres!$A$1:$I$88,3,0)*0.475*44/12</f>
        <v>#N/A</v>
      </c>
      <c r="BQ122" s="23" t="e">
        <f>EXP(-LN(2)/25)*BQ121+(1-EXP(-LN(2)/25))/(LN(2)/25)*Calculateur!BL122*Calculateur!BN122*VLOOKUP('Données projet'!$B$11,Paramètres!$A$1:$I$88,3,0)*0.475*44/12</f>
        <v>#N/A</v>
      </c>
      <c r="BR122" s="23" t="e">
        <f>EXP(-LN(2)/2)*BR121+(1-EXP(-LN(2)/2))/(LN(2)/2)*BL122*BO122*VLOOKUP('Données projet'!$B$11,Paramètres!$A$1:$I$88,3,0)*0.475*44/12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projet'!$B$12,Paramètres!$A$1:$I$88,3,0)*VLOOKUP('Données projet'!$B$12,Paramètres!$A$1:$I$88,5,0)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projet'!$B$12,Paramètres!$A$1:$I$88,7,0))</f>
        <v>0</v>
      </c>
      <c r="CI122" s="17">
        <f>IF(ISNA(VLOOKUP(A122,'Données projet'!$A$113:$I$133,6,0)),0%,VLOOKUP(A122,'Données projet'!$A$113:$I$133,6,0)*VLOOKUP('Données projet'!$B$12,Paramètres!$A$1:$I$88,7,0))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projet'!$B$12,Paramètres!$A$1:$I$88,3,0)*0.475*44/12</f>
        <v>#N/A</v>
      </c>
      <c r="CL122" s="23" t="e">
        <f>EXP(-LN(2)/25)*CL121+(1-EXP(-LN(2)/25))/(LN(2)/25)*Calculateur!CG122*Calculateur!CI122*VLOOKUP('Données projet'!$B$12,Paramètres!$A$1:$I$88,3,0)*0.475*44/12</f>
        <v>#N/A</v>
      </c>
      <c r="CM122" s="23" t="e">
        <f>EXP(-LN(2)/2)*CM121+(1-EXP(-LN(2)/2))/(LN(2)/2)*CG122*CJ122*VLOOKUP('Données projet'!$B$12,Paramètres!$A$1:$I$88,3,0)*0.475*44/12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projet'!$B$13,Paramètres!$A$1:$I$88,3,0)*VLOOKUP('Données projet'!$B$13,Paramètres!$A$1:$I$88,5,0)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projet'!$B$13,Paramètres!$A$1:$I$88,7,0))</f>
        <v>0</v>
      </c>
      <c r="DD122" s="17">
        <f>IF(ISNA(VLOOKUP(A122,'Données projet'!$A$139:$I$159,6,0)),0%,VLOOKUP(A122,'Données projet'!$A$139:$I$159,6,0)*VLOOKUP('Données projet'!$B$13,Paramètres!$A$1:$I$88,7,0))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projet'!$B$13,Paramètres!$A$1:$I$88,3,0)*0.475*44/12</f>
        <v>#N/A</v>
      </c>
      <c r="DG122" s="23" t="e">
        <f>EXP(-LN(2)/25)*DG121+(1-EXP(-LN(2)/25))/(LN(2)/25)*Calculateur!DB122*Calculateur!DD122*VLOOKUP('Données projet'!$B$13,Paramètres!$A$1:$I$88,3,0)*0.475*44/12</f>
        <v>#N/A</v>
      </c>
      <c r="DH122" s="23" t="e">
        <f>EXP(-LN(2)/2)*DH121+(1-EXP(-LN(2)/2))/(LN(2)/2)*DB122*DE122*VLOOKUP('Données projet'!$B$13,Paramètres!$A$1:$I$88,3,0)*0.475*44/12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projet'!$B$14,Paramètres!$A$1:$I$88,3,0)*VLOOKUP('Données projet'!$B$14,Paramètres!$A$1:$I$88,5,0)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projet'!$B$14,Paramètres!$A$1:$I$88,7,0))</f>
        <v>0</v>
      </c>
      <c r="DY122" s="17">
        <f>IF(ISNA(VLOOKUP(A122,'Données projet'!$A$165:$I$185,6,0)),0%,VLOOKUP(A122,'Données projet'!$A$165:$I$185,6,0)*VLOOKUP('Données projet'!$B$14,Paramètres!$A$1:$I$88,7,0))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projet'!$B$14,Paramètres!$A$1:$I$88,3,0)*0.475*44/12</f>
        <v>#N/A</v>
      </c>
      <c r="EB122" s="23" t="e">
        <f>EXP(-LN(2)/25)*EB121+(1-EXP(-LN(2)/25))/(LN(2)/25)*Calculateur!DW122*Calculateur!DY122*VLOOKUP('Données projet'!$B$14,Paramètres!$A$1:$I$88,3,0)*0.475*44/12</f>
        <v>#N/A</v>
      </c>
      <c r="EC122" s="23" t="e">
        <f>EXP(-LN(2)/2)*EC121+(1-EXP(-LN(2)/2))/(LN(2)/2)*DW122*DZ122*VLOOKUP('Données projet'!$B$14,Paramètres!$A$1:$I$88,3,0)*0.475*44/12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projet'!$B$15,Paramètres!$A$1:$I$88,3,0)*VLOOKUP('Données projet'!$B$15,Paramètres!$A$1:$I$88,5,0)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projet'!$B$15,Paramètres!$A$1:$I$88,7,0))</f>
        <v>0</v>
      </c>
      <c r="ET122" s="17">
        <f>IF(ISNA(VLOOKUP(A122,'Données projet'!$A$191:$I$211,6,0)),0%,VLOOKUP(A122,'Données projet'!$A$191:$I$211,6,0)*VLOOKUP('Données projet'!$B$15,Paramètres!$A$1:$I$88,7,0))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projet'!$B$15,Paramètres!$A$1:$I$88,3,0)*0.475*44/12</f>
        <v>#N/A</v>
      </c>
      <c r="EW122" s="23" t="e">
        <f>EXP(-LN(2)/25)*EW121+(1-EXP(-LN(2)/25))/(LN(2)/25)*Calculateur!ER122*Calculateur!ET122*VLOOKUP('Données projet'!$B$15,Paramètres!$A$1:$I$88,3,0)*0.475*44/12</f>
        <v>#N/A</v>
      </c>
      <c r="EX122" s="23" t="e">
        <f>EXP(-LN(2)/2)*EX121+(1-EXP(-LN(2)/2))/(LN(2)/2)*ER122*EU122*VLOOKUP('Données projet'!$B$15,Paramètres!$A$1:$I$88,3,0)*0.475*44/12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projet'!$B$16,Paramètres!$A$1:$I$88,3,0)*VLOOKUP('Données projet'!$B$16,Paramètres!$A$1:$I$88,5,0)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projet'!$B$16,Paramètres!$A$1:$I$88,7,0))</f>
        <v>0</v>
      </c>
      <c r="FO122" s="17">
        <f>IF(ISNA(VLOOKUP(A122,'Données projet'!$A$217:$I$237,6,0)),0%,VLOOKUP(A122,'Données projet'!$A$217:$I$237,6,0)*VLOOKUP('Données projet'!$B$16,Paramètres!$A$1:$I$88,7,0))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projet'!$B$16,Paramètres!$A$1:$I$88,3,0)*0.475*44/12</f>
        <v>#N/A</v>
      </c>
      <c r="FR122" s="23" t="e">
        <f>EXP(-LN(2)/25)*FR121+(1-EXP(-LN(2)/25))/(LN(2)/25)*Calculateur!FM122*Calculateur!FO122*VLOOKUP('Données projet'!$B$16,Paramètres!$A$1:$I$88,3,0)*0.475*44/12</f>
        <v>#N/A</v>
      </c>
      <c r="FS122" s="23" t="e">
        <f>EXP(-LN(2)/2)*FS121+(1-EXP(-LN(2)/2))/(LN(2)/2)*FM122*FP122*VLOOKUP('Données projet'!$B$16,Paramètres!$A$1:$I$88,3,0)*0.475*44/12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projet'!$B$17,Paramètres!$A$1:$I$88,3,0)*VLOOKUP('Données projet'!$B$17,Paramètres!$A$1:$I$88,5,0)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projet'!$B$17,Paramètres!$A$1:$I$88,7,0))</f>
        <v>0</v>
      </c>
      <c r="GJ122" s="17">
        <f>IF(ISNA(VLOOKUP(A122,'Données projet'!$A$243:$I$263,6,0)),0%,VLOOKUP(A122,'Données projet'!$A$243:$I$263,6,0)*VLOOKUP('Données projet'!$B$17,Paramètres!$A$1:$I$88,7,0))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projet'!$B$17,Paramètres!$A$1:$I$88,3,0)*0.475*44/12</f>
        <v>#N/A</v>
      </c>
      <c r="GM122" s="23" t="e">
        <f>EXP(-LN(2)/25)*GM121+(1-EXP(-LN(2)/25))/(LN(2)/25)*Calculateur!GH122*Calculateur!GJ122*VLOOKUP('Données projet'!$B$17,Paramètres!$A$1:$I$88,3,0)*0.475*44/12</f>
        <v>#N/A</v>
      </c>
      <c r="GN122" s="23" t="e">
        <f>EXP(-LN(2)/2)*GN121+(1-EXP(-LN(2)/2))/(LN(2)/2)*GH122*GK122*VLOOKUP('Données projet'!$B$17,Paramètres!$A$1:$I$88,3,0)*0.475*44/12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projet'!$B$18,Paramètres!$A$1:$I$88,3,0)*VLOOKUP('Données projet'!$B$18,Paramètres!$A$1:$I$88,5,0)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projet'!$B$18,Paramètres!$A$1:$I$88,7,0))</f>
        <v>0</v>
      </c>
      <c r="HE122" s="17">
        <f>IF(ISNA(VLOOKUP(A122,'Données projet'!$A$269:$I$289,6,0)),0%,VLOOKUP(A122,'Données projet'!$A$269:$I$289,6,0)*VLOOKUP('Données projet'!$B$18,Paramètres!$A$1:$I$88,7,0))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projet'!$B$18,Paramètres!$A$1:$I$88,3,0)*0.475*44/12</f>
        <v>#N/A</v>
      </c>
      <c r="HH122" s="23" t="e">
        <f>EXP(-LN(2)/25)*HH121+(1-EXP(-LN(2)/25))/(LN(2)/25)*Calculateur!HC122*Calculateur!HE122*VLOOKUP('Données projet'!$B$18,Paramètres!$A$1:$I$88,3,0)*0.475*44/12</f>
        <v>#N/A</v>
      </c>
      <c r="HI122" s="23" t="e">
        <f>EXP(-LN(2)/2)*HI121+(1-EXP(-LN(2)/2))/(LN(2)/2)*HC122*HF122*VLOOKUP('Données projet'!$B$18,Paramètres!$A$1:$I$88,3,0)*0.475*44/12</f>
        <v>#N/A</v>
      </c>
      <c r="HJ122" s="24" t="e">
        <f t="shared" si="84"/>
        <v>#N/A</v>
      </c>
    </row>
    <row r="123" spans="1:218" s="5" customFormat="1" x14ac:dyDescent="0.3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4.5474735088646412E-13</v>
      </c>
      <c r="O123" s="14">
        <f>N123*VLOOKUP('Données projet'!$B$9,Paramètres!$A$1:$I$88,3,0)*VLOOKUP('Données projet'!$B$9,Paramètres!$A$1:$I$88,5,0)</f>
        <v>2.5420376914553347E-13</v>
      </c>
      <c r="P123" s="14">
        <f t="shared" si="87"/>
        <v>3.4258699088369875E-12</v>
      </c>
      <c r="Q123" s="22">
        <f t="shared" si="107"/>
        <v>6.4094616558195571E-12</v>
      </c>
      <c r="R123" s="62">
        <f t="shared" si="55"/>
        <v>282.10816074348304</v>
      </c>
      <c r="S123" s="62">
        <f ca="1">AVERAGE(OFFSET($R$3,0,0,'Données projet'!$E$9+1,1))-AVERAGE(OFFSET($H$3,0,0,'Données projet'!$E$9+1,1))</f>
        <v>367.03450586441784</v>
      </c>
      <c r="T123" s="62">
        <f t="shared" si="88"/>
        <v>413.14502442862897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projet'!$B$9,Paramètres!$A$1:$I$88,7,0))</f>
        <v>0</v>
      </c>
      <c r="X123" s="17">
        <f>IF(ISNA(VLOOKUP(A123,'Données projet'!$A$35:$I$55,6,0)),0%,VLOOKUP(A123,'Données projet'!$A$35:$I$55,6,0)*VLOOKUP('Données projet'!$B$9,Paramètres!$A$1:$I$88,7,0))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projet'!$B$9,Paramètres!$A$1:$I$88,3,0)*0.475*44/12</f>
        <v>72.979014872266575</v>
      </c>
      <c r="AA123" s="23">
        <f>EXP(-LN(2)/25)*AA122+(1-EXP(-LN(2)/25))/(LN(2)/25)*Calculateur!V123*Calculateur!X123*VLOOKUP('Données projet'!$B$9,Paramètres!$A$1:$I$88,3,0)*0.475*44/12</f>
        <v>25.047283889752691</v>
      </c>
      <c r="AB123" s="23">
        <f>EXP(-LN(2)/2)*AB122+(1-EXP(-LN(2)/2))/(LN(2)/2)*V123*Y123*VLOOKUP('Données projet'!$B$9,Paramètres!$A$1:$I$88,3,0)*0.475*44/12</f>
        <v>0</v>
      </c>
      <c r="AC123" s="24">
        <f t="shared" si="57"/>
        <v>98.026298762019266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projet'!$B$10,Paramètres!$A$1:$I$88,3,0)*VLOOKUP('Données projet'!$B$10,Paramètres!$A$1:$I$88,5,0)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projet'!$B$10,Paramètres!$A$1:$I$88,7,0))</f>
        <v>0</v>
      </c>
      <c r="AS123" s="17">
        <f>IF(ISNA(VLOOKUP(A123,'Données projet'!$A$61:$I$81,6,0)),0%,VLOOKUP(A123,'Données projet'!$A$61:$I$81,6,0)*VLOOKUP('Données projet'!$B$10,Paramètres!$A$1:$I$88,7,0))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projet'!$B$10,Paramètres!$A$1:$I$88,3,0)*0.475*44/12</f>
        <v>#N/A</v>
      </c>
      <c r="AV123" s="23" t="e">
        <f>EXP(-LN(2)/25)*AV122+(1-EXP(-LN(2)/25))/(LN(2)/25)*Calculateur!AQ123*Calculateur!AS123*VLOOKUP('Données projet'!$B$10,Paramètres!$A$1:$I$88,3,0)*0.475*44/12</f>
        <v>#N/A</v>
      </c>
      <c r="AW123" s="23" t="e">
        <f>EXP(-LN(2)/2)*AW122+(1-EXP(-LN(2)/2))/(LN(2)/2)*AQ123*AT123*VLOOKUP('Données projet'!$B$10,Paramètres!$A$1:$I$88,3,0)*0.475*44/12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projet'!$B$11,Paramètres!$A$1:$I$88,3,0)*VLOOKUP('Données projet'!$B$11,Paramètres!$A$1:$I$88,5,0)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projet'!$B$11,Paramètres!$A$1:$I$88,7,0))</f>
        <v>0</v>
      </c>
      <c r="BN123" s="17">
        <f>IF(ISNA(VLOOKUP(A123,'Données projet'!$A$87:$I$107,6,0)),0%,VLOOKUP(A123,'Données projet'!$A$87:$I$107,6,0)*VLOOKUP('Données projet'!$B$11,Paramètres!$A$1:$I$88,7,0))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projet'!$B$11,Paramètres!$A$1:$I$88,3,0)*0.475*44/12</f>
        <v>#N/A</v>
      </c>
      <c r="BQ123" s="23" t="e">
        <f>EXP(-LN(2)/25)*BQ122+(1-EXP(-LN(2)/25))/(LN(2)/25)*Calculateur!BL123*Calculateur!BN123*VLOOKUP('Données projet'!$B$11,Paramètres!$A$1:$I$88,3,0)*0.475*44/12</f>
        <v>#N/A</v>
      </c>
      <c r="BR123" s="23" t="e">
        <f>EXP(-LN(2)/2)*BR122+(1-EXP(-LN(2)/2))/(LN(2)/2)*BL123*BO123*VLOOKUP('Données projet'!$B$11,Paramètres!$A$1:$I$88,3,0)*0.475*44/12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projet'!$B$12,Paramètres!$A$1:$I$88,3,0)*VLOOKUP('Données projet'!$B$12,Paramètres!$A$1:$I$88,5,0)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projet'!$B$12,Paramètres!$A$1:$I$88,7,0))</f>
        <v>0</v>
      </c>
      <c r="CI123" s="17">
        <f>IF(ISNA(VLOOKUP(A123,'Données projet'!$A$113:$I$133,6,0)),0%,VLOOKUP(A123,'Données projet'!$A$113:$I$133,6,0)*VLOOKUP('Données projet'!$B$12,Paramètres!$A$1:$I$88,7,0))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projet'!$B$12,Paramètres!$A$1:$I$88,3,0)*0.475*44/12</f>
        <v>#N/A</v>
      </c>
      <c r="CL123" s="23" t="e">
        <f>EXP(-LN(2)/25)*CL122+(1-EXP(-LN(2)/25))/(LN(2)/25)*Calculateur!CG123*Calculateur!CI123*VLOOKUP('Données projet'!$B$12,Paramètres!$A$1:$I$88,3,0)*0.475*44/12</f>
        <v>#N/A</v>
      </c>
      <c r="CM123" s="23" t="e">
        <f>EXP(-LN(2)/2)*CM122+(1-EXP(-LN(2)/2))/(LN(2)/2)*CG123*CJ123*VLOOKUP('Données projet'!$B$12,Paramètres!$A$1:$I$88,3,0)*0.475*44/12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projet'!$B$13,Paramètres!$A$1:$I$88,3,0)*VLOOKUP('Données projet'!$B$13,Paramètres!$A$1:$I$88,5,0)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projet'!$B$13,Paramètres!$A$1:$I$88,7,0))</f>
        <v>0</v>
      </c>
      <c r="DD123" s="17">
        <f>IF(ISNA(VLOOKUP(A123,'Données projet'!$A$139:$I$159,6,0)),0%,VLOOKUP(A123,'Données projet'!$A$139:$I$159,6,0)*VLOOKUP('Données projet'!$B$13,Paramètres!$A$1:$I$88,7,0))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projet'!$B$13,Paramètres!$A$1:$I$88,3,0)*0.475*44/12</f>
        <v>#N/A</v>
      </c>
      <c r="DG123" s="23" t="e">
        <f>EXP(-LN(2)/25)*DG122+(1-EXP(-LN(2)/25))/(LN(2)/25)*Calculateur!DB123*Calculateur!DD123*VLOOKUP('Données projet'!$B$13,Paramètres!$A$1:$I$88,3,0)*0.475*44/12</f>
        <v>#N/A</v>
      </c>
      <c r="DH123" s="23" t="e">
        <f>EXP(-LN(2)/2)*DH122+(1-EXP(-LN(2)/2))/(LN(2)/2)*DB123*DE123*VLOOKUP('Données projet'!$B$13,Paramètres!$A$1:$I$88,3,0)*0.475*44/12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projet'!$B$14,Paramètres!$A$1:$I$88,3,0)*VLOOKUP('Données projet'!$B$14,Paramètres!$A$1:$I$88,5,0)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projet'!$B$14,Paramètres!$A$1:$I$88,7,0))</f>
        <v>0</v>
      </c>
      <c r="DY123" s="17">
        <f>IF(ISNA(VLOOKUP(A123,'Données projet'!$A$165:$I$185,6,0)),0%,VLOOKUP(A123,'Données projet'!$A$165:$I$185,6,0)*VLOOKUP('Données projet'!$B$14,Paramètres!$A$1:$I$88,7,0))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projet'!$B$14,Paramètres!$A$1:$I$88,3,0)*0.475*44/12</f>
        <v>#N/A</v>
      </c>
      <c r="EB123" s="23" t="e">
        <f>EXP(-LN(2)/25)*EB122+(1-EXP(-LN(2)/25))/(LN(2)/25)*Calculateur!DW123*Calculateur!DY123*VLOOKUP('Données projet'!$B$14,Paramètres!$A$1:$I$88,3,0)*0.475*44/12</f>
        <v>#N/A</v>
      </c>
      <c r="EC123" s="23" t="e">
        <f>EXP(-LN(2)/2)*EC122+(1-EXP(-LN(2)/2))/(LN(2)/2)*DW123*DZ123*VLOOKUP('Données projet'!$B$14,Paramètres!$A$1:$I$88,3,0)*0.475*44/12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projet'!$B$15,Paramètres!$A$1:$I$88,3,0)*VLOOKUP('Données projet'!$B$15,Paramètres!$A$1:$I$88,5,0)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projet'!$B$15,Paramètres!$A$1:$I$88,7,0))</f>
        <v>0</v>
      </c>
      <c r="ET123" s="17">
        <f>IF(ISNA(VLOOKUP(A123,'Données projet'!$A$191:$I$211,6,0)),0%,VLOOKUP(A123,'Données projet'!$A$191:$I$211,6,0)*VLOOKUP('Données projet'!$B$15,Paramètres!$A$1:$I$88,7,0))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projet'!$B$15,Paramètres!$A$1:$I$88,3,0)*0.475*44/12</f>
        <v>#N/A</v>
      </c>
      <c r="EW123" s="23" t="e">
        <f>EXP(-LN(2)/25)*EW122+(1-EXP(-LN(2)/25))/(LN(2)/25)*Calculateur!ER123*Calculateur!ET123*VLOOKUP('Données projet'!$B$15,Paramètres!$A$1:$I$88,3,0)*0.475*44/12</f>
        <v>#N/A</v>
      </c>
      <c r="EX123" s="23" t="e">
        <f>EXP(-LN(2)/2)*EX122+(1-EXP(-LN(2)/2))/(LN(2)/2)*ER123*EU123*VLOOKUP('Données projet'!$B$15,Paramètres!$A$1:$I$88,3,0)*0.475*44/12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projet'!$B$16,Paramètres!$A$1:$I$88,3,0)*VLOOKUP('Données projet'!$B$16,Paramètres!$A$1:$I$88,5,0)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projet'!$B$16,Paramètres!$A$1:$I$88,7,0))</f>
        <v>0</v>
      </c>
      <c r="FO123" s="17">
        <f>IF(ISNA(VLOOKUP(A123,'Données projet'!$A$217:$I$237,6,0)),0%,VLOOKUP(A123,'Données projet'!$A$217:$I$237,6,0)*VLOOKUP('Données projet'!$B$16,Paramètres!$A$1:$I$88,7,0))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projet'!$B$16,Paramètres!$A$1:$I$88,3,0)*0.475*44/12</f>
        <v>#N/A</v>
      </c>
      <c r="FR123" s="23" t="e">
        <f>EXP(-LN(2)/25)*FR122+(1-EXP(-LN(2)/25))/(LN(2)/25)*Calculateur!FM123*Calculateur!FO123*VLOOKUP('Données projet'!$B$16,Paramètres!$A$1:$I$88,3,0)*0.475*44/12</f>
        <v>#N/A</v>
      </c>
      <c r="FS123" s="23" t="e">
        <f>EXP(-LN(2)/2)*FS122+(1-EXP(-LN(2)/2))/(LN(2)/2)*FM123*FP123*VLOOKUP('Données projet'!$B$16,Paramètres!$A$1:$I$88,3,0)*0.475*44/12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projet'!$B$17,Paramètres!$A$1:$I$88,3,0)*VLOOKUP('Données projet'!$B$17,Paramètres!$A$1:$I$88,5,0)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projet'!$B$17,Paramètres!$A$1:$I$88,7,0))</f>
        <v>0</v>
      </c>
      <c r="GJ123" s="17">
        <f>IF(ISNA(VLOOKUP(A123,'Données projet'!$A$243:$I$263,6,0)),0%,VLOOKUP(A123,'Données projet'!$A$243:$I$263,6,0)*VLOOKUP('Données projet'!$B$17,Paramètres!$A$1:$I$88,7,0))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projet'!$B$17,Paramètres!$A$1:$I$88,3,0)*0.475*44/12</f>
        <v>#N/A</v>
      </c>
      <c r="GM123" s="23" t="e">
        <f>EXP(-LN(2)/25)*GM122+(1-EXP(-LN(2)/25))/(LN(2)/25)*Calculateur!GH123*Calculateur!GJ123*VLOOKUP('Données projet'!$B$17,Paramètres!$A$1:$I$88,3,0)*0.475*44/12</f>
        <v>#N/A</v>
      </c>
      <c r="GN123" s="23" t="e">
        <f>EXP(-LN(2)/2)*GN122+(1-EXP(-LN(2)/2))/(LN(2)/2)*GH123*GK123*VLOOKUP('Données projet'!$B$17,Paramètres!$A$1:$I$88,3,0)*0.475*44/12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projet'!$B$18,Paramètres!$A$1:$I$88,3,0)*VLOOKUP('Données projet'!$B$18,Paramètres!$A$1:$I$88,5,0)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projet'!$B$18,Paramètres!$A$1:$I$88,7,0))</f>
        <v>0</v>
      </c>
      <c r="HE123" s="17">
        <f>IF(ISNA(VLOOKUP(A123,'Données projet'!$A$269:$I$289,6,0)),0%,VLOOKUP(A123,'Données projet'!$A$269:$I$289,6,0)*VLOOKUP('Données projet'!$B$18,Paramètres!$A$1:$I$88,7,0))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projet'!$B$18,Paramètres!$A$1:$I$88,3,0)*0.475*44/12</f>
        <v>#N/A</v>
      </c>
      <c r="HH123" s="23" t="e">
        <f>EXP(-LN(2)/25)*HH122+(1-EXP(-LN(2)/25))/(LN(2)/25)*Calculateur!HC123*Calculateur!HE123*VLOOKUP('Données projet'!$B$18,Paramètres!$A$1:$I$88,3,0)*0.475*44/12</f>
        <v>#N/A</v>
      </c>
      <c r="HI123" s="23" t="e">
        <f>EXP(-LN(2)/2)*HI122+(1-EXP(-LN(2)/2))/(LN(2)/2)*HC123*HF123*VLOOKUP('Données projet'!$B$18,Paramètres!$A$1:$I$88,3,0)*0.475*44/12</f>
        <v>#N/A</v>
      </c>
      <c r="HJ123" s="24" t="e">
        <f t="shared" si="84"/>
        <v>#N/A</v>
      </c>
    </row>
    <row r="124" spans="1:218" s="5" customFormat="1" x14ac:dyDescent="0.3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4.5474735088646412E-13</v>
      </c>
      <c r="O124" s="14">
        <f>N124*VLOOKUP('Données projet'!$B$9,Paramètres!$A$1:$I$88,3,0)*VLOOKUP('Données projet'!$B$9,Paramètres!$A$1:$I$88,5,0)</f>
        <v>2.5420376914553347E-13</v>
      </c>
      <c r="P124" s="14">
        <f t="shared" si="87"/>
        <v>3.4258699088369875E-12</v>
      </c>
      <c r="Q124" s="22">
        <f t="shared" si="107"/>
        <v>6.4094616558195571E-12</v>
      </c>
      <c r="R124" s="62">
        <f t="shared" si="55"/>
        <v>282.30289239219081</v>
      </c>
      <c r="S124" s="62">
        <f ca="1">AVERAGE(OFFSET($R$3,0,0,'Données projet'!$E$9+1,1))-AVERAGE(OFFSET($H$3,0,0,'Données projet'!$E$9+1,1))</f>
        <v>367.03450586441784</v>
      </c>
      <c r="T124" s="62">
        <f t="shared" si="88"/>
        <v>413.14502442862897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projet'!$B$9,Paramètres!$A$1:$I$88,7,0))</f>
        <v>0</v>
      </c>
      <c r="X124" s="17">
        <f>IF(ISNA(VLOOKUP(A124,'Données projet'!$A$35:$I$55,6,0)),0%,VLOOKUP(A124,'Données projet'!$A$35:$I$55,6,0)*VLOOKUP('Données projet'!$B$9,Paramètres!$A$1:$I$88,7,0))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projet'!$B$9,Paramètres!$A$1:$I$88,3,0)*0.475*44/12</f>
        <v>71.547940903425228</v>
      </c>
      <c r="AA124" s="23">
        <f>EXP(-LN(2)/25)*AA123+(1-EXP(-LN(2)/25))/(LN(2)/25)*Calculateur!V124*Calculateur!X124*VLOOKUP('Données projet'!$B$9,Paramètres!$A$1:$I$88,3,0)*0.475*44/12</f>
        <v>24.362364594607989</v>
      </c>
      <c r="AB124" s="23">
        <f>EXP(-LN(2)/2)*AB123+(1-EXP(-LN(2)/2))/(LN(2)/2)*V124*Y124*VLOOKUP('Données projet'!$B$9,Paramètres!$A$1:$I$88,3,0)*0.475*44/12</f>
        <v>0</v>
      </c>
      <c r="AC124" s="24">
        <f t="shared" si="57"/>
        <v>95.91030549803321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projet'!$B$10,Paramètres!$A$1:$I$88,3,0)*VLOOKUP('Données projet'!$B$10,Paramètres!$A$1:$I$88,5,0)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projet'!$B$10,Paramètres!$A$1:$I$88,7,0))</f>
        <v>0</v>
      </c>
      <c r="AS124" s="17">
        <f>IF(ISNA(VLOOKUP(A124,'Données projet'!$A$61:$I$81,6,0)),0%,VLOOKUP(A124,'Données projet'!$A$61:$I$81,6,0)*VLOOKUP('Données projet'!$B$10,Paramètres!$A$1:$I$88,7,0))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projet'!$B$10,Paramètres!$A$1:$I$88,3,0)*0.475*44/12</f>
        <v>#N/A</v>
      </c>
      <c r="AV124" s="23" t="e">
        <f>EXP(-LN(2)/25)*AV123+(1-EXP(-LN(2)/25))/(LN(2)/25)*Calculateur!AQ124*Calculateur!AS124*VLOOKUP('Données projet'!$B$10,Paramètres!$A$1:$I$88,3,0)*0.475*44/12</f>
        <v>#N/A</v>
      </c>
      <c r="AW124" s="23" t="e">
        <f>EXP(-LN(2)/2)*AW123+(1-EXP(-LN(2)/2))/(LN(2)/2)*AQ124*AT124*VLOOKUP('Données projet'!$B$10,Paramètres!$A$1:$I$88,3,0)*0.475*44/12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projet'!$B$11,Paramètres!$A$1:$I$88,3,0)*VLOOKUP('Données projet'!$B$11,Paramètres!$A$1:$I$88,5,0)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projet'!$B$11,Paramètres!$A$1:$I$88,7,0))</f>
        <v>0</v>
      </c>
      <c r="BN124" s="17">
        <f>IF(ISNA(VLOOKUP(A124,'Données projet'!$A$87:$I$107,6,0)),0%,VLOOKUP(A124,'Données projet'!$A$87:$I$107,6,0)*VLOOKUP('Données projet'!$B$11,Paramètres!$A$1:$I$88,7,0))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projet'!$B$11,Paramètres!$A$1:$I$88,3,0)*0.475*44/12</f>
        <v>#N/A</v>
      </c>
      <c r="BQ124" s="23" t="e">
        <f>EXP(-LN(2)/25)*BQ123+(1-EXP(-LN(2)/25))/(LN(2)/25)*Calculateur!BL124*Calculateur!BN124*VLOOKUP('Données projet'!$B$11,Paramètres!$A$1:$I$88,3,0)*0.475*44/12</f>
        <v>#N/A</v>
      </c>
      <c r="BR124" s="23" t="e">
        <f>EXP(-LN(2)/2)*BR123+(1-EXP(-LN(2)/2))/(LN(2)/2)*BL124*BO124*VLOOKUP('Données projet'!$B$11,Paramètres!$A$1:$I$88,3,0)*0.475*44/12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projet'!$B$12,Paramètres!$A$1:$I$88,3,0)*VLOOKUP('Données projet'!$B$12,Paramètres!$A$1:$I$88,5,0)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projet'!$B$12,Paramètres!$A$1:$I$88,7,0))</f>
        <v>0</v>
      </c>
      <c r="CI124" s="17">
        <f>IF(ISNA(VLOOKUP(A124,'Données projet'!$A$113:$I$133,6,0)),0%,VLOOKUP(A124,'Données projet'!$A$113:$I$133,6,0)*VLOOKUP('Données projet'!$B$12,Paramètres!$A$1:$I$88,7,0))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projet'!$B$12,Paramètres!$A$1:$I$88,3,0)*0.475*44/12</f>
        <v>#N/A</v>
      </c>
      <c r="CL124" s="23" t="e">
        <f>EXP(-LN(2)/25)*CL123+(1-EXP(-LN(2)/25))/(LN(2)/25)*Calculateur!CG124*Calculateur!CI124*VLOOKUP('Données projet'!$B$12,Paramètres!$A$1:$I$88,3,0)*0.475*44/12</f>
        <v>#N/A</v>
      </c>
      <c r="CM124" s="23" t="e">
        <f>EXP(-LN(2)/2)*CM123+(1-EXP(-LN(2)/2))/(LN(2)/2)*CG124*CJ124*VLOOKUP('Données projet'!$B$12,Paramètres!$A$1:$I$88,3,0)*0.475*44/12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projet'!$B$13,Paramètres!$A$1:$I$88,3,0)*VLOOKUP('Données projet'!$B$13,Paramètres!$A$1:$I$88,5,0)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projet'!$B$13,Paramètres!$A$1:$I$88,7,0))</f>
        <v>0</v>
      </c>
      <c r="DD124" s="17">
        <f>IF(ISNA(VLOOKUP(A124,'Données projet'!$A$139:$I$159,6,0)),0%,VLOOKUP(A124,'Données projet'!$A$139:$I$159,6,0)*VLOOKUP('Données projet'!$B$13,Paramètres!$A$1:$I$88,7,0))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projet'!$B$13,Paramètres!$A$1:$I$88,3,0)*0.475*44/12</f>
        <v>#N/A</v>
      </c>
      <c r="DG124" s="23" t="e">
        <f>EXP(-LN(2)/25)*DG123+(1-EXP(-LN(2)/25))/(LN(2)/25)*Calculateur!DB124*Calculateur!DD124*VLOOKUP('Données projet'!$B$13,Paramètres!$A$1:$I$88,3,0)*0.475*44/12</f>
        <v>#N/A</v>
      </c>
      <c r="DH124" s="23" t="e">
        <f>EXP(-LN(2)/2)*DH123+(1-EXP(-LN(2)/2))/(LN(2)/2)*DB124*DE124*VLOOKUP('Données projet'!$B$13,Paramètres!$A$1:$I$88,3,0)*0.475*44/12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projet'!$B$14,Paramètres!$A$1:$I$88,3,0)*VLOOKUP('Données projet'!$B$14,Paramètres!$A$1:$I$88,5,0)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projet'!$B$14,Paramètres!$A$1:$I$88,7,0))</f>
        <v>0</v>
      </c>
      <c r="DY124" s="17">
        <f>IF(ISNA(VLOOKUP(A124,'Données projet'!$A$165:$I$185,6,0)),0%,VLOOKUP(A124,'Données projet'!$A$165:$I$185,6,0)*VLOOKUP('Données projet'!$B$14,Paramètres!$A$1:$I$88,7,0))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projet'!$B$14,Paramètres!$A$1:$I$88,3,0)*0.475*44/12</f>
        <v>#N/A</v>
      </c>
      <c r="EB124" s="23" t="e">
        <f>EXP(-LN(2)/25)*EB123+(1-EXP(-LN(2)/25))/(LN(2)/25)*Calculateur!DW124*Calculateur!DY124*VLOOKUP('Données projet'!$B$14,Paramètres!$A$1:$I$88,3,0)*0.475*44/12</f>
        <v>#N/A</v>
      </c>
      <c r="EC124" s="23" t="e">
        <f>EXP(-LN(2)/2)*EC123+(1-EXP(-LN(2)/2))/(LN(2)/2)*DW124*DZ124*VLOOKUP('Données projet'!$B$14,Paramètres!$A$1:$I$88,3,0)*0.475*44/12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projet'!$B$15,Paramètres!$A$1:$I$88,3,0)*VLOOKUP('Données projet'!$B$15,Paramètres!$A$1:$I$88,5,0)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projet'!$B$15,Paramètres!$A$1:$I$88,7,0))</f>
        <v>0</v>
      </c>
      <c r="ET124" s="17">
        <f>IF(ISNA(VLOOKUP(A124,'Données projet'!$A$191:$I$211,6,0)),0%,VLOOKUP(A124,'Données projet'!$A$191:$I$211,6,0)*VLOOKUP('Données projet'!$B$15,Paramètres!$A$1:$I$88,7,0))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projet'!$B$15,Paramètres!$A$1:$I$88,3,0)*0.475*44/12</f>
        <v>#N/A</v>
      </c>
      <c r="EW124" s="23" t="e">
        <f>EXP(-LN(2)/25)*EW123+(1-EXP(-LN(2)/25))/(LN(2)/25)*Calculateur!ER124*Calculateur!ET124*VLOOKUP('Données projet'!$B$15,Paramètres!$A$1:$I$88,3,0)*0.475*44/12</f>
        <v>#N/A</v>
      </c>
      <c r="EX124" s="23" t="e">
        <f>EXP(-LN(2)/2)*EX123+(1-EXP(-LN(2)/2))/(LN(2)/2)*ER124*EU124*VLOOKUP('Données projet'!$B$15,Paramètres!$A$1:$I$88,3,0)*0.475*44/12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projet'!$B$16,Paramètres!$A$1:$I$88,3,0)*VLOOKUP('Données projet'!$B$16,Paramètres!$A$1:$I$88,5,0)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projet'!$B$16,Paramètres!$A$1:$I$88,7,0))</f>
        <v>0</v>
      </c>
      <c r="FO124" s="17">
        <f>IF(ISNA(VLOOKUP(A124,'Données projet'!$A$217:$I$237,6,0)),0%,VLOOKUP(A124,'Données projet'!$A$217:$I$237,6,0)*VLOOKUP('Données projet'!$B$16,Paramètres!$A$1:$I$88,7,0))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projet'!$B$16,Paramètres!$A$1:$I$88,3,0)*0.475*44/12</f>
        <v>#N/A</v>
      </c>
      <c r="FR124" s="23" t="e">
        <f>EXP(-LN(2)/25)*FR123+(1-EXP(-LN(2)/25))/(LN(2)/25)*Calculateur!FM124*Calculateur!FO124*VLOOKUP('Données projet'!$B$16,Paramètres!$A$1:$I$88,3,0)*0.475*44/12</f>
        <v>#N/A</v>
      </c>
      <c r="FS124" s="23" t="e">
        <f>EXP(-LN(2)/2)*FS123+(1-EXP(-LN(2)/2))/(LN(2)/2)*FM124*FP124*VLOOKUP('Données projet'!$B$16,Paramètres!$A$1:$I$88,3,0)*0.475*44/12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projet'!$B$17,Paramètres!$A$1:$I$88,3,0)*VLOOKUP('Données projet'!$B$17,Paramètres!$A$1:$I$88,5,0)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projet'!$B$17,Paramètres!$A$1:$I$88,7,0))</f>
        <v>0</v>
      </c>
      <c r="GJ124" s="17">
        <f>IF(ISNA(VLOOKUP(A124,'Données projet'!$A$243:$I$263,6,0)),0%,VLOOKUP(A124,'Données projet'!$A$243:$I$263,6,0)*VLOOKUP('Données projet'!$B$17,Paramètres!$A$1:$I$88,7,0))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projet'!$B$17,Paramètres!$A$1:$I$88,3,0)*0.475*44/12</f>
        <v>#N/A</v>
      </c>
      <c r="GM124" s="23" t="e">
        <f>EXP(-LN(2)/25)*GM123+(1-EXP(-LN(2)/25))/(LN(2)/25)*Calculateur!GH124*Calculateur!GJ124*VLOOKUP('Données projet'!$B$17,Paramètres!$A$1:$I$88,3,0)*0.475*44/12</f>
        <v>#N/A</v>
      </c>
      <c r="GN124" s="23" t="e">
        <f>EXP(-LN(2)/2)*GN123+(1-EXP(-LN(2)/2))/(LN(2)/2)*GH124*GK124*VLOOKUP('Données projet'!$B$17,Paramètres!$A$1:$I$88,3,0)*0.475*44/12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projet'!$B$18,Paramètres!$A$1:$I$88,3,0)*VLOOKUP('Données projet'!$B$18,Paramètres!$A$1:$I$88,5,0)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projet'!$B$18,Paramètres!$A$1:$I$88,7,0))</f>
        <v>0</v>
      </c>
      <c r="HE124" s="17">
        <f>IF(ISNA(VLOOKUP(A124,'Données projet'!$A$269:$I$289,6,0)),0%,VLOOKUP(A124,'Données projet'!$A$269:$I$289,6,0)*VLOOKUP('Données projet'!$B$18,Paramètres!$A$1:$I$88,7,0))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projet'!$B$18,Paramètres!$A$1:$I$88,3,0)*0.475*44/12</f>
        <v>#N/A</v>
      </c>
      <c r="HH124" s="23" t="e">
        <f>EXP(-LN(2)/25)*HH123+(1-EXP(-LN(2)/25))/(LN(2)/25)*Calculateur!HC124*Calculateur!HE124*VLOOKUP('Données projet'!$B$18,Paramètres!$A$1:$I$88,3,0)*0.475*44/12</f>
        <v>#N/A</v>
      </c>
      <c r="HI124" s="23" t="e">
        <f>EXP(-LN(2)/2)*HI123+(1-EXP(-LN(2)/2))/(LN(2)/2)*HC124*HF124*VLOOKUP('Données projet'!$B$18,Paramètres!$A$1:$I$88,3,0)*0.475*44/12</f>
        <v>#N/A</v>
      </c>
      <c r="HJ124" s="24" t="e">
        <f t="shared" si="84"/>
        <v>#N/A</v>
      </c>
    </row>
    <row r="125" spans="1:218" s="5" customFormat="1" x14ac:dyDescent="0.3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4.5474735088646412E-13</v>
      </c>
      <c r="O125" s="14">
        <f>N125*VLOOKUP('Données projet'!$B$9,Paramètres!$A$1:$I$88,3,0)*VLOOKUP('Données projet'!$B$9,Paramètres!$A$1:$I$88,5,0)</f>
        <v>2.5420376914553347E-13</v>
      </c>
      <c r="P125" s="14">
        <f t="shared" si="87"/>
        <v>3.4258699088369875E-12</v>
      </c>
      <c r="Q125" s="22">
        <f t="shared" si="107"/>
        <v>6.4094616558195571E-12</v>
      </c>
      <c r="R125" s="62">
        <f t="shared" si="55"/>
        <v>282.49424588214822</v>
      </c>
      <c r="S125" s="62">
        <f ca="1">AVERAGE(OFFSET($R$3,0,0,'Données projet'!$E$9+1,1))-AVERAGE(OFFSET($H$3,0,0,'Données projet'!$E$9+1,1))</f>
        <v>367.03450586441784</v>
      </c>
      <c r="T125" s="62">
        <f t="shared" si="88"/>
        <v>413.14502442862897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projet'!$B$9,Paramètres!$A$1:$I$88,7,0))</f>
        <v>0</v>
      </c>
      <c r="X125" s="17">
        <f>IF(ISNA(VLOOKUP(A125,'Données projet'!$A$35:$I$55,6,0)),0%,VLOOKUP(A125,'Données projet'!$A$35:$I$55,6,0)*VLOOKUP('Données projet'!$B$9,Paramètres!$A$1:$I$88,7,0))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projet'!$B$9,Paramètres!$A$1:$I$88,3,0)*0.475*44/12</f>
        <v>70.144929422243919</v>
      </c>
      <c r="AA125" s="23">
        <f>EXP(-LN(2)/25)*AA124+(1-EXP(-LN(2)/25))/(LN(2)/25)*Calculateur!V125*Calculateur!X125*VLOOKUP('Données projet'!$B$9,Paramètres!$A$1:$I$88,3,0)*0.475*44/12</f>
        <v>23.696174453607359</v>
      </c>
      <c r="AB125" s="23">
        <f>EXP(-LN(2)/2)*AB124+(1-EXP(-LN(2)/2))/(LN(2)/2)*V125*Y125*VLOOKUP('Données projet'!$B$9,Paramètres!$A$1:$I$88,3,0)*0.475*44/12</f>
        <v>0</v>
      </c>
      <c r="AC125" s="24">
        <f t="shared" si="57"/>
        <v>93.841103875851275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projet'!$B$10,Paramètres!$A$1:$I$88,3,0)*VLOOKUP('Données projet'!$B$10,Paramètres!$A$1:$I$88,5,0)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projet'!$B$10,Paramètres!$A$1:$I$88,7,0))</f>
        <v>0</v>
      </c>
      <c r="AS125" s="17">
        <f>IF(ISNA(VLOOKUP(A125,'Données projet'!$A$61:$I$81,6,0)),0%,VLOOKUP(A125,'Données projet'!$A$61:$I$81,6,0)*VLOOKUP('Données projet'!$B$10,Paramètres!$A$1:$I$88,7,0))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projet'!$B$10,Paramètres!$A$1:$I$88,3,0)*0.475*44/12</f>
        <v>#N/A</v>
      </c>
      <c r="AV125" s="23" t="e">
        <f>EXP(-LN(2)/25)*AV124+(1-EXP(-LN(2)/25))/(LN(2)/25)*Calculateur!AQ125*Calculateur!AS125*VLOOKUP('Données projet'!$B$10,Paramètres!$A$1:$I$88,3,0)*0.475*44/12</f>
        <v>#N/A</v>
      </c>
      <c r="AW125" s="23" t="e">
        <f>EXP(-LN(2)/2)*AW124+(1-EXP(-LN(2)/2))/(LN(2)/2)*AQ125*AT125*VLOOKUP('Données projet'!$B$10,Paramètres!$A$1:$I$88,3,0)*0.475*44/12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projet'!$B$11,Paramètres!$A$1:$I$88,3,0)*VLOOKUP('Données projet'!$B$11,Paramètres!$A$1:$I$88,5,0)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projet'!$B$11,Paramètres!$A$1:$I$88,7,0))</f>
        <v>0</v>
      </c>
      <c r="BN125" s="17">
        <f>IF(ISNA(VLOOKUP(A125,'Données projet'!$A$87:$I$107,6,0)),0%,VLOOKUP(A125,'Données projet'!$A$87:$I$107,6,0)*VLOOKUP('Données projet'!$B$11,Paramètres!$A$1:$I$88,7,0))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projet'!$B$11,Paramètres!$A$1:$I$88,3,0)*0.475*44/12</f>
        <v>#N/A</v>
      </c>
      <c r="BQ125" s="23" t="e">
        <f>EXP(-LN(2)/25)*BQ124+(1-EXP(-LN(2)/25))/(LN(2)/25)*Calculateur!BL125*Calculateur!BN125*VLOOKUP('Données projet'!$B$11,Paramètres!$A$1:$I$88,3,0)*0.475*44/12</f>
        <v>#N/A</v>
      </c>
      <c r="BR125" s="23" t="e">
        <f>EXP(-LN(2)/2)*BR124+(1-EXP(-LN(2)/2))/(LN(2)/2)*BL125*BO125*VLOOKUP('Données projet'!$B$11,Paramètres!$A$1:$I$88,3,0)*0.475*44/12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projet'!$B$12,Paramètres!$A$1:$I$88,3,0)*VLOOKUP('Données projet'!$B$12,Paramètres!$A$1:$I$88,5,0)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projet'!$B$12,Paramètres!$A$1:$I$88,7,0))</f>
        <v>0</v>
      </c>
      <c r="CI125" s="17">
        <f>IF(ISNA(VLOOKUP(A125,'Données projet'!$A$113:$I$133,6,0)),0%,VLOOKUP(A125,'Données projet'!$A$113:$I$133,6,0)*VLOOKUP('Données projet'!$B$12,Paramètres!$A$1:$I$88,7,0))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projet'!$B$12,Paramètres!$A$1:$I$88,3,0)*0.475*44/12</f>
        <v>#N/A</v>
      </c>
      <c r="CL125" s="23" t="e">
        <f>EXP(-LN(2)/25)*CL124+(1-EXP(-LN(2)/25))/(LN(2)/25)*Calculateur!CG125*Calculateur!CI125*VLOOKUP('Données projet'!$B$12,Paramètres!$A$1:$I$88,3,0)*0.475*44/12</f>
        <v>#N/A</v>
      </c>
      <c r="CM125" s="23" t="e">
        <f>EXP(-LN(2)/2)*CM124+(1-EXP(-LN(2)/2))/(LN(2)/2)*CG125*CJ125*VLOOKUP('Données projet'!$B$12,Paramètres!$A$1:$I$88,3,0)*0.475*44/12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projet'!$B$13,Paramètres!$A$1:$I$88,3,0)*VLOOKUP('Données projet'!$B$13,Paramètres!$A$1:$I$88,5,0)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projet'!$B$13,Paramètres!$A$1:$I$88,7,0))</f>
        <v>0</v>
      </c>
      <c r="DD125" s="17">
        <f>IF(ISNA(VLOOKUP(A125,'Données projet'!$A$139:$I$159,6,0)),0%,VLOOKUP(A125,'Données projet'!$A$139:$I$159,6,0)*VLOOKUP('Données projet'!$B$13,Paramètres!$A$1:$I$88,7,0))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projet'!$B$13,Paramètres!$A$1:$I$88,3,0)*0.475*44/12</f>
        <v>#N/A</v>
      </c>
      <c r="DG125" s="23" t="e">
        <f>EXP(-LN(2)/25)*DG124+(1-EXP(-LN(2)/25))/(LN(2)/25)*Calculateur!DB125*Calculateur!DD125*VLOOKUP('Données projet'!$B$13,Paramètres!$A$1:$I$88,3,0)*0.475*44/12</f>
        <v>#N/A</v>
      </c>
      <c r="DH125" s="23" t="e">
        <f>EXP(-LN(2)/2)*DH124+(1-EXP(-LN(2)/2))/(LN(2)/2)*DB125*DE125*VLOOKUP('Données projet'!$B$13,Paramètres!$A$1:$I$88,3,0)*0.475*44/12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projet'!$B$14,Paramètres!$A$1:$I$88,3,0)*VLOOKUP('Données projet'!$B$14,Paramètres!$A$1:$I$88,5,0)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projet'!$B$14,Paramètres!$A$1:$I$88,7,0))</f>
        <v>0</v>
      </c>
      <c r="DY125" s="17">
        <f>IF(ISNA(VLOOKUP(A125,'Données projet'!$A$165:$I$185,6,0)),0%,VLOOKUP(A125,'Données projet'!$A$165:$I$185,6,0)*VLOOKUP('Données projet'!$B$14,Paramètres!$A$1:$I$88,7,0))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projet'!$B$14,Paramètres!$A$1:$I$88,3,0)*0.475*44/12</f>
        <v>#N/A</v>
      </c>
      <c r="EB125" s="23" t="e">
        <f>EXP(-LN(2)/25)*EB124+(1-EXP(-LN(2)/25))/(LN(2)/25)*Calculateur!DW125*Calculateur!DY125*VLOOKUP('Données projet'!$B$14,Paramètres!$A$1:$I$88,3,0)*0.475*44/12</f>
        <v>#N/A</v>
      </c>
      <c r="EC125" s="23" t="e">
        <f>EXP(-LN(2)/2)*EC124+(1-EXP(-LN(2)/2))/(LN(2)/2)*DW125*DZ125*VLOOKUP('Données projet'!$B$14,Paramètres!$A$1:$I$88,3,0)*0.475*44/12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projet'!$B$15,Paramètres!$A$1:$I$88,3,0)*VLOOKUP('Données projet'!$B$15,Paramètres!$A$1:$I$88,5,0)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projet'!$B$15,Paramètres!$A$1:$I$88,7,0))</f>
        <v>0</v>
      </c>
      <c r="ET125" s="17">
        <f>IF(ISNA(VLOOKUP(A125,'Données projet'!$A$191:$I$211,6,0)),0%,VLOOKUP(A125,'Données projet'!$A$191:$I$211,6,0)*VLOOKUP('Données projet'!$B$15,Paramètres!$A$1:$I$88,7,0))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projet'!$B$15,Paramètres!$A$1:$I$88,3,0)*0.475*44/12</f>
        <v>#N/A</v>
      </c>
      <c r="EW125" s="23" t="e">
        <f>EXP(-LN(2)/25)*EW124+(1-EXP(-LN(2)/25))/(LN(2)/25)*Calculateur!ER125*Calculateur!ET125*VLOOKUP('Données projet'!$B$15,Paramètres!$A$1:$I$88,3,0)*0.475*44/12</f>
        <v>#N/A</v>
      </c>
      <c r="EX125" s="23" t="e">
        <f>EXP(-LN(2)/2)*EX124+(1-EXP(-LN(2)/2))/(LN(2)/2)*ER125*EU125*VLOOKUP('Données projet'!$B$15,Paramètres!$A$1:$I$88,3,0)*0.475*44/12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projet'!$B$16,Paramètres!$A$1:$I$88,3,0)*VLOOKUP('Données projet'!$B$16,Paramètres!$A$1:$I$88,5,0)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projet'!$B$16,Paramètres!$A$1:$I$88,7,0))</f>
        <v>0</v>
      </c>
      <c r="FO125" s="17">
        <f>IF(ISNA(VLOOKUP(A125,'Données projet'!$A$217:$I$237,6,0)),0%,VLOOKUP(A125,'Données projet'!$A$217:$I$237,6,0)*VLOOKUP('Données projet'!$B$16,Paramètres!$A$1:$I$88,7,0))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projet'!$B$16,Paramètres!$A$1:$I$88,3,0)*0.475*44/12</f>
        <v>#N/A</v>
      </c>
      <c r="FR125" s="23" t="e">
        <f>EXP(-LN(2)/25)*FR124+(1-EXP(-LN(2)/25))/(LN(2)/25)*Calculateur!FM125*Calculateur!FO125*VLOOKUP('Données projet'!$B$16,Paramètres!$A$1:$I$88,3,0)*0.475*44/12</f>
        <v>#N/A</v>
      </c>
      <c r="FS125" s="23" t="e">
        <f>EXP(-LN(2)/2)*FS124+(1-EXP(-LN(2)/2))/(LN(2)/2)*FM125*FP125*VLOOKUP('Données projet'!$B$16,Paramètres!$A$1:$I$88,3,0)*0.475*44/12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projet'!$B$17,Paramètres!$A$1:$I$88,3,0)*VLOOKUP('Données projet'!$B$17,Paramètres!$A$1:$I$88,5,0)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projet'!$B$17,Paramètres!$A$1:$I$88,7,0))</f>
        <v>0</v>
      </c>
      <c r="GJ125" s="17">
        <f>IF(ISNA(VLOOKUP(A125,'Données projet'!$A$243:$I$263,6,0)),0%,VLOOKUP(A125,'Données projet'!$A$243:$I$263,6,0)*VLOOKUP('Données projet'!$B$17,Paramètres!$A$1:$I$88,7,0))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projet'!$B$17,Paramètres!$A$1:$I$88,3,0)*0.475*44/12</f>
        <v>#N/A</v>
      </c>
      <c r="GM125" s="23" t="e">
        <f>EXP(-LN(2)/25)*GM124+(1-EXP(-LN(2)/25))/(LN(2)/25)*Calculateur!GH125*Calculateur!GJ125*VLOOKUP('Données projet'!$B$17,Paramètres!$A$1:$I$88,3,0)*0.475*44/12</f>
        <v>#N/A</v>
      </c>
      <c r="GN125" s="23" t="e">
        <f>EXP(-LN(2)/2)*GN124+(1-EXP(-LN(2)/2))/(LN(2)/2)*GH125*GK125*VLOOKUP('Données projet'!$B$17,Paramètres!$A$1:$I$88,3,0)*0.475*44/12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projet'!$B$18,Paramètres!$A$1:$I$88,3,0)*VLOOKUP('Données projet'!$B$18,Paramètres!$A$1:$I$88,5,0)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projet'!$B$18,Paramètres!$A$1:$I$88,7,0))</f>
        <v>0</v>
      </c>
      <c r="HE125" s="17">
        <f>IF(ISNA(VLOOKUP(A125,'Données projet'!$A$269:$I$289,6,0)),0%,VLOOKUP(A125,'Données projet'!$A$269:$I$289,6,0)*VLOOKUP('Données projet'!$B$18,Paramètres!$A$1:$I$88,7,0))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projet'!$B$18,Paramètres!$A$1:$I$88,3,0)*0.475*44/12</f>
        <v>#N/A</v>
      </c>
      <c r="HH125" s="23" t="e">
        <f>EXP(-LN(2)/25)*HH124+(1-EXP(-LN(2)/25))/(LN(2)/25)*Calculateur!HC125*Calculateur!HE125*VLOOKUP('Données projet'!$B$18,Paramètres!$A$1:$I$88,3,0)*0.475*44/12</f>
        <v>#N/A</v>
      </c>
      <c r="HI125" s="23" t="e">
        <f>EXP(-LN(2)/2)*HI124+(1-EXP(-LN(2)/2))/(LN(2)/2)*HC125*HF125*VLOOKUP('Données projet'!$B$18,Paramètres!$A$1:$I$88,3,0)*0.475*44/12</f>
        <v>#N/A</v>
      </c>
      <c r="HJ125" s="24" t="e">
        <f t="shared" si="84"/>
        <v>#N/A</v>
      </c>
    </row>
    <row r="126" spans="1:218" s="5" customFormat="1" x14ac:dyDescent="0.3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4.5474735088646412E-13</v>
      </c>
      <c r="O126" s="14">
        <f>N126*VLOOKUP('Données projet'!$B$9,Paramètres!$A$1:$I$88,3,0)*VLOOKUP('Données projet'!$B$9,Paramètres!$A$1:$I$88,5,0)</f>
        <v>2.5420376914553347E-13</v>
      </c>
      <c r="P126" s="14">
        <f t="shared" si="87"/>
        <v>3.4258699088369875E-12</v>
      </c>
      <c r="Q126" s="22">
        <f t="shared" si="107"/>
        <v>6.4094616558195571E-12</v>
      </c>
      <c r="R126" s="62">
        <f t="shared" si="55"/>
        <v>282.68227981685709</v>
      </c>
      <c r="S126" s="62">
        <f ca="1">AVERAGE(OFFSET($R$3,0,0,'Données projet'!$E$9+1,1))-AVERAGE(OFFSET($H$3,0,0,'Données projet'!$E$9+1,1))</f>
        <v>367.03450586441784</v>
      </c>
      <c r="T126" s="62">
        <f t="shared" si="88"/>
        <v>413.14502442862897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projet'!$B$9,Paramètres!$A$1:$I$88,7,0))</f>
        <v>0</v>
      </c>
      <c r="X126" s="17">
        <f>IF(ISNA(VLOOKUP(A126,'Données projet'!$A$35:$I$55,6,0)),0%,VLOOKUP(A126,'Données projet'!$A$35:$I$55,6,0)*VLOOKUP('Données projet'!$B$9,Paramètres!$A$1:$I$88,7,0))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projet'!$B$9,Paramètres!$A$1:$I$88,3,0)*0.475*44/12</f>
        <v>68.76943014045608</v>
      </c>
      <c r="AA126" s="23">
        <f>EXP(-LN(2)/25)*AA125+(1-EXP(-LN(2)/25))/(LN(2)/25)*Calculateur!V126*Calculateur!X126*VLOOKUP('Données projet'!$B$9,Paramètres!$A$1:$I$88,3,0)*0.475*44/12</f>
        <v>23.048201317045809</v>
      </c>
      <c r="AB126" s="23">
        <f>EXP(-LN(2)/2)*AB125+(1-EXP(-LN(2)/2))/(LN(2)/2)*V126*Y126*VLOOKUP('Données projet'!$B$9,Paramètres!$A$1:$I$88,3,0)*0.475*44/12</f>
        <v>0</v>
      </c>
      <c r="AC126" s="24">
        <f t="shared" si="57"/>
        <v>91.817631457501889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projet'!$B$10,Paramètres!$A$1:$I$88,3,0)*VLOOKUP('Données projet'!$B$10,Paramètres!$A$1:$I$88,5,0)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projet'!$B$10,Paramètres!$A$1:$I$88,7,0))</f>
        <v>0</v>
      </c>
      <c r="AS126" s="17">
        <f>IF(ISNA(VLOOKUP(A126,'Données projet'!$A$61:$I$81,6,0)),0%,VLOOKUP(A126,'Données projet'!$A$61:$I$81,6,0)*VLOOKUP('Données projet'!$B$10,Paramètres!$A$1:$I$88,7,0))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projet'!$B$10,Paramètres!$A$1:$I$88,3,0)*0.475*44/12</f>
        <v>#N/A</v>
      </c>
      <c r="AV126" s="23" t="e">
        <f>EXP(-LN(2)/25)*AV125+(1-EXP(-LN(2)/25))/(LN(2)/25)*Calculateur!AQ126*Calculateur!AS126*VLOOKUP('Données projet'!$B$10,Paramètres!$A$1:$I$88,3,0)*0.475*44/12</f>
        <v>#N/A</v>
      </c>
      <c r="AW126" s="23" t="e">
        <f>EXP(-LN(2)/2)*AW125+(1-EXP(-LN(2)/2))/(LN(2)/2)*AQ126*AT126*VLOOKUP('Données projet'!$B$10,Paramètres!$A$1:$I$88,3,0)*0.475*44/12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projet'!$B$11,Paramètres!$A$1:$I$88,3,0)*VLOOKUP('Données projet'!$B$11,Paramètres!$A$1:$I$88,5,0)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projet'!$B$11,Paramètres!$A$1:$I$88,7,0))</f>
        <v>0</v>
      </c>
      <c r="BN126" s="17">
        <f>IF(ISNA(VLOOKUP(A126,'Données projet'!$A$87:$I$107,6,0)),0%,VLOOKUP(A126,'Données projet'!$A$87:$I$107,6,0)*VLOOKUP('Données projet'!$B$11,Paramètres!$A$1:$I$88,7,0))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projet'!$B$11,Paramètres!$A$1:$I$88,3,0)*0.475*44/12</f>
        <v>#N/A</v>
      </c>
      <c r="BQ126" s="23" t="e">
        <f>EXP(-LN(2)/25)*BQ125+(1-EXP(-LN(2)/25))/(LN(2)/25)*Calculateur!BL126*Calculateur!BN126*VLOOKUP('Données projet'!$B$11,Paramètres!$A$1:$I$88,3,0)*0.475*44/12</f>
        <v>#N/A</v>
      </c>
      <c r="BR126" s="23" t="e">
        <f>EXP(-LN(2)/2)*BR125+(1-EXP(-LN(2)/2))/(LN(2)/2)*BL126*BO126*VLOOKUP('Données projet'!$B$11,Paramètres!$A$1:$I$88,3,0)*0.475*44/12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projet'!$B$12,Paramètres!$A$1:$I$88,3,0)*VLOOKUP('Données projet'!$B$12,Paramètres!$A$1:$I$88,5,0)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projet'!$B$12,Paramètres!$A$1:$I$88,7,0))</f>
        <v>0</v>
      </c>
      <c r="CI126" s="17">
        <f>IF(ISNA(VLOOKUP(A126,'Données projet'!$A$113:$I$133,6,0)),0%,VLOOKUP(A126,'Données projet'!$A$113:$I$133,6,0)*VLOOKUP('Données projet'!$B$12,Paramètres!$A$1:$I$88,7,0))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projet'!$B$12,Paramètres!$A$1:$I$88,3,0)*0.475*44/12</f>
        <v>#N/A</v>
      </c>
      <c r="CL126" s="23" t="e">
        <f>EXP(-LN(2)/25)*CL125+(1-EXP(-LN(2)/25))/(LN(2)/25)*Calculateur!CG126*Calculateur!CI126*VLOOKUP('Données projet'!$B$12,Paramètres!$A$1:$I$88,3,0)*0.475*44/12</f>
        <v>#N/A</v>
      </c>
      <c r="CM126" s="23" t="e">
        <f>EXP(-LN(2)/2)*CM125+(1-EXP(-LN(2)/2))/(LN(2)/2)*CG126*CJ126*VLOOKUP('Données projet'!$B$12,Paramètres!$A$1:$I$88,3,0)*0.475*44/12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projet'!$B$13,Paramètres!$A$1:$I$88,3,0)*VLOOKUP('Données projet'!$B$13,Paramètres!$A$1:$I$88,5,0)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projet'!$B$13,Paramètres!$A$1:$I$88,7,0))</f>
        <v>0</v>
      </c>
      <c r="DD126" s="17">
        <f>IF(ISNA(VLOOKUP(A126,'Données projet'!$A$139:$I$159,6,0)),0%,VLOOKUP(A126,'Données projet'!$A$139:$I$159,6,0)*VLOOKUP('Données projet'!$B$13,Paramètres!$A$1:$I$88,7,0))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projet'!$B$13,Paramètres!$A$1:$I$88,3,0)*0.475*44/12</f>
        <v>#N/A</v>
      </c>
      <c r="DG126" s="23" t="e">
        <f>EXP(-LN(2)/25)*DG125+(1-EXP(-LN(2)/25))/(LN(2)/25)*Calculateur!DB126*Calculateur!DD126*VLOOKUP('Données projet'!$B$13,Paramètres!$A$1:$I$88,3,0)*0.475*44/12</f>
        <v>#N/A</v>
      </c>
      <c r="DH126" s="23" t="e">
        <f>EXP(-LN(2)/2)*DH125+(1-EXP(-LN(2)/2))/(LN(2)/2)*DB126*DE126*VLOOKUP('Données projet'!$B$13,Paramètres!$A$1:$I$88,3,0)*0.475*44/12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projet'!$B$14,Paramètres!$A$1:$I$88,3,0)*VLOOKUP('Données projet'!$B$14,Paramètres!$A$1:$I$88,5,0)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projet'!$B$14,Paramètres!$A$1:$I$88,7,0))</f>
        <v>0</v>
      </c>
      <c r="DY126" s="17">
        <f>IF(ISNA(VLOOKUP(A126,'Données projet'!$A$165:$I$185,6,0)),0%,VLOOKUP(A126,'Données projet'!$A$165:$I$185,6,0)*VLOOKUP('Données projet'!$B$14,Paramètres!$A$1:$I$88,7,0))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projet'!$B$14,Paramètres!$A$1:$I$88,3,0)*0.475*44/12</f>
        <v>#N/A</v>
      </c>
      <c r="EB126" s="23" t="e">
        <f>EXP(-LN(2)/25)*EB125+(1-EXP(-LN(2)/25))/(LN(2)/25)*Calculateur!DW126*Calculateur!DY126*VLOOKUP('Données projet'!$B$14,Paramètres!$A$1:$I$88,3,0)*0.475*44/12</f>
        <v>#N/A</v>
      </c>
      <c r="EC126" s="23" t="e">
        <f>EXP(-LN(2)/2)*EC125+(1-EXP(-LN(2)/2))/(LN(2)/2)*DW126*DZ126*VLOOKUP('Données projet'!$B$14,Paramètres!$A$1:$I$88,3,0)*0.475*44/12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projet'!$B$15,Paramètres!$A$1:$I$88,3,0)*VLOOKUP('Données projet'!$B$15,Paramètres!$A$1:$I$88,5,0)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projet'!$B$15,Paramètres!$A$1:$I$88,7,0))</f>
        <v>0</v>
      </c>
      <c r="ET126" s="17">
        <f>IF(ISNA(VLOOKUP(A126,'Données projet'!$A$191:$I$211,6,0)),0%,VLOOKUP(A126,'Données projet'!$A$191:$I$211,6,0)*VLOOKUP('Données projet'!$B$15,Paramètres!$A$1:$I$88,7,0))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projet'!$B$15,Paramètres!$A$1:$I$88,3,0)*0.475*44/12</f>
        <v>#N/A</v>
      </c>
      <c r="EW126" s="23" t="e">
        <f>EXP(-LN(2)/25)*EW125+(1-EXP(-LN(2)/25))/(LN(2)/25)*Calculateur!ER126*Calculateur!ET126*VLOOKUP('Données projet'!$B$15,Paramètres!$A$1:$I$88,3,0)*0.475*44/12</f>
        <v>#N/A</v>
      </c>
      <c r="EX126" s="23" t="e">
        <f>EXP(-LN(2)/2)*EX125+(1-EXP(-LN(2)/2))/(LN(2)/2)*ER126*EU126*VLOOKUP('Données projet'!$B$15,Paramètres!$A$1:$I$88,3,0)*0.475*44/12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projet'!$B$16,Paramètres!$A$1:$I$88,3,0)*VLOOKUP('Données projet'!$B$16,Paramètres!$A$1:$I$88,5,0)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projet'!$B$16,Paramètres!$A$1:$I$88,7,0))</f>
        <v>0</v>
      </c>
      <c r="FO126" s="17">
        <f>IF(ISNA(VLOOKUP(A126,'Données projet'!$A$217:$I$237,6,0)),0%,VLOOKUP(A126,'Données projet'!$A$217:$I$237,6,0)*VLOOKUP('Données projet'!$B$16,Paramètres!$A$1:$I$88,7,0))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projet'!$B$16,Paramètres!$A$1:$I$88,3,0)*0.475*44/12</f>
        <v>#N/A</v>
      </c>
      <c r="FR126" s="23" t="e">
        <f>EXP(-LN(2)/25)*FR125+(1-EXP(-LN(2)/25))/(LN(2)/25)*Calculateur!FM126*Calculateur!FO126*VLOOKUP('Données projet'!$B$16,Paramètres!$A$1:$I$88,3,0)*0.475*44/12</f>
        <v>#N/A</v>
      </c>
      <c r="FS126" s="23" t="e">
        <f>EXP(-LN(2)/2)*FS125+(1-EXP(-LN(2)/2))/(LN(2)/2)*FM126*FP126*VLOOKUP('Données projet'!$B$16,Paramètres!$A$1:$I$88,3,0)*0.475*44/12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projet'!$B$17,Paramètres!$A$1:$I$88,3,0)*VLOOKUP('Données projet'!$B$17,Paramètres!$A$1:$I$88,5,0)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projet'!$B$17,Paramètres!$A$1:$I$88,7,0))</f>
        <v>0</v>
      </c>
      <c r="GJ126" s="17">
        <f>IF(ISNA(VLOOKUP(A126,'Données projet'!$A$243:$I$263,6,0)),0%,VLOOKUP(A126,'Données projet'!$A$243:$I$263,6,0)*VLOOKUP('Données projet'!$B$17,Paramètres!$A$1:$I$88,7,0))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projet'!$B$17,Paramètres!$A$1:$I$88,3,0)*0.475*44/12</f>
        <v>#N/A</v>
      </c>
      <c r="GM126" s="23" t="e">
        <f>EXP(-LN(2)/25)*GM125+(1-EXP(-LN(2)/25))/(LN(2)/25)*Calculateur!GH126*Calculateur!GJ126*VLOOKUP('Données projet'!$B$17,Paramètres!$A$1:$I$88,3,0)*0.475*44/12</f>
        <v>#N/A</v>
      </c>
      <c r="GN126" s="23" t="e">
        <f>EXP(-LN(2)/2)*GN125+(1-EXP(-LN(2)/2))/(LN(2)/2)*GH126*GK126*VLOOKUP('Données projet'!$B$17,Paramètres!$A$1:$I$88,3,0)*0.475*44/12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projet'!$B$18,Paramètres!$A$1:$I$88,3,0)*VLOOKUP('Données projet'!$B$18,Paramètres!$A$1:$I$88,5,0)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projet'!$B$18,Paramètres!$A$1:$I$88,7,0))</f>
        <v>0</v>
      </c>
      <c r="HE126" s="17">
        <f>IF(ISNA(VLOOKUP(A126,'Données projet'!$A$269:$I$289,6,0)),0%,VLOOKUP(A126,'Données projet'!$A$269:$I$289,6,0)*VLOOKUP('Données projet'!$B$18,Paramètres!$A$1:$I$88,7,0))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projet'!$B$18,Paramètres!$A$1:$I$88,3,0)*0.475*44/12</f>
        <v>#N/A</v>
      </c>
      <c r="HH126" s="23" t="e">
        <f>EXP(-LN(2)/25)*HH125+(1-EXP(-LN(2)/25))/(LN(2)/25)*Calculateur!HC126*Calculateur!HE126*VLOOKUP('Données projet'!$B$18,Paramètres!$A$1:$I$88,3,0)*0.475*44/12</f>
        <v>#N/A</v>
      </c>
      <c r="HI126" s="23" t="e">
        <f>EXP(-LN(2)/2)*HI125+(1-EXP(-LN(2)/2))/(LN(2)/2)*HC126*HF126*VLOOKUP('Données projet'!$B$18,Paramètres!$A$1:$I$88,3,0)*0.475*44/12</f>
        <v>#N/A</v>
      </c>
      <c r="HJ126" s="24" t="e">
        <f t="shared" si="84"/>
        <v>#N/A</v>
      </c>
    </row>
    <row r="127" spans="1:218" s="5" customFormat="1" x14ac:dyDescent="0.3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4.5474735088646412E-13</v>
      </c>
      <c r="O127" s="14">
        <f>N127*VLOOKUP('Données projet'!$B$9,Paramètres!$A$1:$I$88,3,0)*VLOOKUP('Données projet'!$B$9,Paramètres!$A$1:$I$88,5,0)</f>
        <v>2.5420376914553347E-13</v>
      </c>
      <c r="P127" s="14">
        <f t="shared" si="87"/>
        <v>3.4258699088369875E-12</v>
      </c>
      <c r="Q127" s="22">
        <f t="shared" si="107"/>
        <v>6.4094616558195571E-12</v>
      </c>
      <c r="R127" s="62">
        <f t="shared" si="55"/>
        <v>282.86705178317976</v>
      </c>
      <c r="S127" s="62">
        <f ca="1">AVERAGE(OFFSET($R$3,0,0,'Données projet'!$E$9+1,1))-AVERAGE(OFFSET($H$3,0,0,'Données projet'!$E$9+1,1))</f>
        <v>367.03450586441784</v>
      </c>
      <c r="T127" s="62">
        <f t="shared" si="88"/>
        <v>413.14502442862897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projet'!$B$9,Paramètres!$A$1:$I$88,7,0))</f>
        <v>0</v>
      </c>
      <c r="X127" s="17">
        <f>IF(ISNA(VLOOKUP(A127,'Données projet'!$A$35:$I$55,6,0)),0%,VLOOKUP(A127,'Données projet'!$A$35:$I$55,6,0)*VLOOKUP('Données projet'!$B$9,Paramètres!$A$1:$I$88,7,0))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projet'!$B$9,Paramètres!$A$1:$I$88,3,0)*0.475*44/12</f>
        <v>67.420903560612373</v>
      </c>
      <c r="AA127" s="23">
        <f>EXP(-LN(2)/25)*AA126+(1-EXP(-LN(2)/25))/(LN(2)/25)*Calculateur!V127*Calculateur!X127*VLOOKUP('Données projet'!$B$9,Paramètres!$A$1:$I$88,3,0)*0.475*44/12</f>
        <v>22.417947039978962</v>
      </c>
      <c r="AB127" s="23">
        <f>EXP(-LN(2)/2)*AB126+(1-EXP(-LN(2)/2))/(LN(2)/2)*V127*Y127*VLOOKUP('Données projet'!$B$9,Paramètres!$A$1:$I$88,3,0)*0.475*44/12</f>
        <v>0</v>
      </c>
      <c r="AC127" s="24">
        <f t="shared" si="57"/>
        <v>89.838850600591343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projet'!$B$10,Paramètres!$A$1:$I$88,3,0)*VLOOKUP('Données projet'!$B$10,Paramètres!$A$1:$I$88,5,0)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projet'!$B$10,Paramètres!$A$1:$I$88,7,0))</f>
        <v>0</v>
      </c>
      <c r="AS127" s="17">
        <f>IF(ISNA(VLOOKUP(A127,'Données projet'!$A$61:$I$81,6,0)),0%,VLOOKUP(A127,'Données projet'!$A$61:$I$81,6,0)*VLOOKUP('Données projet'!$B$10,Paramètres!$A$1:$I$88,7,0))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projet'!$B$10,Paramètres!$A$1:$I$88,3,0)*0.475*44/12</f>
        <v>#N/A</v>
      </c>
      <c r="AV127" s="23" t="e">
        <f>EXP(-LN(2)/25)*AV126+(1-EXP(-LN(2)/25))/(LN(2)/25)*Calculateur!AQ127*Calculateur!AS127*VLOOKUP('Données projet'!$B$10,Paramètres!$A$1:$I$88,3,0)*0.475*44/12</f>
        <v>#N/A</v>
      </c>
      <c r="AW127" s="23" t="e">
        <f>EXP(-LN(2)/2)*AW126+(1-EXP(-LN(2)/2))/(LN(2)/2)*AQ127*AT127*VLOOKUP('Données projet'!$B$10,Paramètres!$A$1:$I$88,3,0)*0.475*44/12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projet'!$B$11,Paramètres!$A$1:$I$88,3,0)*VLOOKUP('Données projet'!$B$11,Paramètres!$A$1:$I$88,5,0)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projet'!$B$11,Paramètres!$A$1:$I$88,7,0))</f>
        <v>0</v>
      </c>
      <c r="BN127" s="17">
        <f>IF(ISNA(VLOOKUP(A127,'Données projet'!$A$87:$I$107,6,0)),0%,VLOOKUP(A127,'Données projet'!$A$87:$I$107,6,0)*VLOOKUP('Données projet'!$B$11,Paramètres!$A$1:$I$88,7,0))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projet'!$B$11,Paramètres!$A$1:$I$88,3,0)*0.475*44/12</f>
        <v>#N/A</v>
      </c>
      <c r="BQ127" s="23" t="e">
        <f>EXP(-LN(2)/25)*BQ126+(1-EXP(-LN(2)/25))/(LN(2)/25)*Calculateur!BL127*Calculateur!BN127*VLOOKUP('Données projet'!$B$11,Paramètres!$A$1:$I$88,3,0)*0.475*44/12</f>
        <v>#N/A</v>
      </c>
      <c r="BR127" s="23" t="e">
        <f>EXP(-LN(2)/2)*BR126+(1-EXP(-LN(2)/2))/(LN(2)/2)*BL127*BO127*VLOOKUP('Données projet'!$B$11,Paramètres!$A$1:$I$88,3,0)*0.475*44/12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projet'!$B$12,Paramètres!$A$1:$I$88,3,0)*VLOOKUP('Données projet'!$B$12,Paramètres!$A$1:$I$88,5,0)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projet'!$B$12,Paramètres!$A$1:$I$88,7,0))</f>
        <v>0</v>
      </c>
      <c r="CI127" s="17">
        <f>IF(ISNA(VLOOKUP(A127,'Données projet'!$A$113:$I$133,6,0)),0%,VLOOKUP(A127,'Données projet'!$A$113:$I$133,6,0)*VLOOKUP('Données projet'!$B$12,Paramètres!$A$1:$I$88,7,0))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projet'!$B$12,Paramètres!$A$1:$I$88,3,0)*0.475*44/12</f>
        <v>#N/A</v>
      </c>
      <c r="CL127" s="23" t="e">
        <f>EXP(-LN(2)/25)*CL126+(1-EXP(-LN(2)/25))/(LN(2)/25)*Calculateur!CG127*Calculateur!CI127*VLOOKUP('Données projet'!$B$12,Paramètres!$A$1:$I$88,3,0)*0.475*44/12</f>
        <v>#N/A</v>
      </c>
      <c r="CM127" s="23" t="e">
        <f>EXP(-LN(2)/2)*CM126+(1-EXP(-LN(2)/2))/(LN(2)/2)*CG127*CJ127*VLOOKUP('Données projet'!$B$12,Paramètres!$A$1:$I$88,3,0)*0.475*44/12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projet'!$B$13,Paramètres!$A$1:$I$88,3,0)*VLOOKUP('Données projet'!$B$13,Paramètres!$A$1:$I$88,5,0)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projet'!$B$13,Paramètres!$A$1:$I$88,7,0))</f>
        <v>0</v>
      </c>
      <c r="DD127" s="17">
        <f>IF(ISNA(VLOOKUP(A127,'Données projet'!$A$139:$I$159,6,0)),0%,VLOOKUP(A127,'Données projet'!$A$139:$I$159,6,0)*VLOOKUP('Données projet'!$B$13,Paramètres!$A$1:$I$88,7,0))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projet'!$B$13,Paramètres!$A$1:$I$88,3,0)*0.475*44/12</f>
        <v>#N/A</v>
      </c>
      <c r="DG127" s="23" t="e">
        <f>EXP(-LN(2)/25)*DG126+(1-EXP(-LN(2)/25))/(LN(2)/25)*Calculateur!DB127*Calculateur!DD127*VLOOKUP('Données projet'!$B$13,Paramètres!$A$1:$I$88,3,0)*0.475*44/12</f>
        <v>#N/A</v>
      </c>
      <c r="DH127" s="23" t="e">
        <f>EXP(-LN(2)/2)*DH126+(1-EXP(-LN(2)/2))/(LN(2)/2)*DB127*DE127*VLOOKUP('Données projet'!$B$13,Paramètres!$A$1:$I$88,3,0)*0.475*44/12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projet'!$B$14,Paramètres!$A$1:$I$88,3,0)*VLOOKUP('Données projet'!$B$14,Paramètres!$A$1:$I$88,5,0)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projet'!$B$14,Paramètres!$A$1:$I$88,7,0))</f>
        <v>0</v>
      </c>
      <c r="DY127" s="17">
        <f>IF(ISNA(VLOOKUP(A127,'Données projet'!$A$165:$I$185,6,0)),0%,VLOOKUP(A127,'Données projet'!$A$165:$I$185,6,0)*VLOOKUP('Données projet'!$B$14,Paramètres!$A$1:$I$88,7,0))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projet'!$B$14,Paramètres!$A$1:$I$88,3,0)*0.475*44/12</f>
        <v>#N/A</v>
      </c>
      <c r="EB127" s="23" t="e">
        <f>EXP(-LN(2)/25)*EB126+(1-EXP(-LN(2)/25))/(LN(2)/25)*Calculateur!DW127*Calculateur!DY127*VLOOKUP('Données projet'!$B$14,Paramètres!$A$1:$I$88,3,0)*0.475*44/12</f>
        <v>#N/A</v>
      </c>
      <c r="EC127" s="23" t="e">
        <f>EXP(-LN(2)/2)*EC126+(1-EXP(-LN(2)/2))/(LN(2)/2)*DW127*DZ127*VLOOKUP('Données projet'!$B$14,Paramètres!$A$1:$I$88,3,0)*0.475*44/12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projet'!$B$15,Paramètres!$A$1:$I$88,3,0)*VLOOKUP('Données projet'!$B$15,Paramètres!$A$1:$I$88,5,0)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projet'!$B$15,Paramètres!$A$1:$I$88,7,0))</f>
        <v>0</v>
      </c>
      <c r="ET127" s="17">
        <f>IF(ISNA(VLOOKUP(A127,'Données projet'!$A$191:$I$211,6,0)),0%,VLOOKUP(A127,'Données projet'!$A$191:$I$211,6,0)*VLOOKUP('Données projet'!$B$15,Paramètres!$A$1:$I$88,7,0))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projet'!$B$15,Paramètres!$A$1:$I$88,3,0)*0.475*44/12</f>
        <v>#N/A</v>
      </c>
      <c r="EW127" s="23" t="e">
        <f>EXP(-LN(2)/25)*EW126+(1-EXP(-LN(2)/25))/(LN(2)/25)*Calculateur!ER127*Calculateur!ET127*VLOOKUP('Données projet'!$B$15,Paramètres!$A$1:$I$88,3,0)*0.475*44/12</f>
        <v>#N/A</v>
      </c>
      <c r="EX127" s="23" t="e">
        <f>EXP(-LN(2)/2)*EX126+(1-EXP(-LN(2)/2))/(LN(2)/2)*ER127*EU127*VLOOKUP('Données projet'!$B$15,Paramètres!$A$1:$I$88,3,0)*0.475*44/12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projet'!$B$16,Paramètres!$A$1:$I$88,3,0)*VLOOKUP('Données projet'!$B$16,Paramètres!$A$1:$I$88,5,0)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projet'!$B$16,Paramètres!$A$1:$I$88,7,0))</f>
        <v>0</v>
      </c>
      <c r="FO127" s="17">
        <f>IF(ISNA(VLOOKUP(A127,'Données projet'!$A$217:$I$237,6,0)),0%,VLOOKUP(A127,'Données projet'!$A$217:$I$237,6,0)*VLOOKUP('Données projet'!$B$16,Paramètres!$A$1:$I$88,7,0))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projet'!$B$16,Paramètres!$A$1:$I$88,3,0)*0.475*44/12</f>
        <v>#N/A</v>
      </c>
      <c r="FR127" s="23" t="e">
        <f>EXP(-LN(2)/25)*FR126+(1-EXP(-LN(2)/25))/(LN(2)/25)*Calculateur!FM127*Calculateur!FO127*VLOOKUP('Données projet'!$B$16,Paramètres!$A$1:$I$88,3,0)*0.475*44/12</f>
        <v>#N/A</v>
      </c>
      <c r="FS127" s="23" t="e">
        <f>EXP(-LN(2)/2)*FS126+(1-EXP(-LN(2)/2))/(LN(2)/2)*FM127*FP127*VLOOKUP('Données projet'!$B$16,Paramètres!$A$1:$I$88,3,0)*0.475*44/12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projet'!$B$17,Paramètres!$A$1:$I$88,3,0)*VLOOKUP('Données projet'!$B$17,Paramètres!$A$1:$I$88,5,0)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projet'!$B$17,Paramètres!$A$1:$I$88,7,0))</f>
        <v>0</v>
      </c>
      <c r="GJ127" s="17">
        <f>IF(ISNA(VLOOKUP(A127,'Données projet'!$A$243:$I$263,6,0)),0%,VLOOKUP(A127,'Données projet'!$A$243:$I$263,6,0)*VLOOKUP('Données projet'!$B$17,Paramètres!$A$1:$I$88,7,0))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projet'!$B$17,Paramètres!$A$1:$I$88,3,0)*0.475*44/12</f>
        <v>#N/A</v>
      </c>
      <c r="GM127" s="23" t="e">
        <f>EXP(-LN(2)/25)*GM126+(1-EXP(-LN(2)/25))/(LN(2)/25)*Calculateur!GH127*Calculateur!GJ127*VLOOKUP('Données projet'!$B$17,Paramètres!$A$1:$I$88,3,0)*0.475*44/12</f>
        <v>#N/A</v>
      </c>
      <c r="GN127" s="23" t="e">
        <f>EXP(-LN(2)/2)*GN126+(1-EXP(-LN(2)/2))/(LN(2)/2)*GH127*GK127*VLOOKUP('Données projet'!$B$17,Paramètres!$A$1:$I$88,3,0)*0.475*44/12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projet'!$B$18,Paramètres!$A$1:$I$88,3,0)*VLOOKUP('Données projet'!$B$18,Paramètres!$A$1:$I$88,5,0)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projet'!$B$18,Paramètres!$A$1:$I$88,7,0))</f>
        <v>0</v>
      </c>
      <c r="HE127" s="17">
        <f>IF(ISNA(VLOOKUP(A127,'Données projet'!$A$269:$I$289,6,0)),0%,VLOOKUP(A127,'Données projet'!$A$269:$I$289,6,0)*VLOOKUP('Données projet'!$B$18,Paramètres!$A$1:$I$88,7,0))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projet'!$B$18,Paramètres!$A$1:$I$88,3,0)*0.475*44/12</f>
        <v>#N/A</v>
      </c>
      <c r="HH127" s="23" t="e">
        <f>EXP(-LN(2)/25)*HH126+(1-EXP(-LN(2)/25))/(LN(2)/25)*Calculateur!HC127*Calculateur!HE127*VLOOKUP('Données projet'!$B$18,Paramètres!$A$1:$I$88,3,0)*0.475*44/12</f>
        <v>#N/A</v>
      </c>
      <c r="HI127" s="23" t="e">
        <f>EXP(-LN(2)/2)*HI126+(1-EXP(-LN(2)/2))/(LN(2)/2)*HC127*HF127*VLOOKUP('Données projet'!$B$18,Paramètres!$A$1:$I$88,3,0)*0.475*44/12</f>
        <v>#N/A</v>
      </c>
      <c r="HJ127" s="24" t="e">
        <f t="shared" si="84"/>
        <v>#N/A</v>
      </c>
    </row>
    <row r="128" spans="1:218" s="5" customFormat="1" x14ac:dyDescent="0.3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4.5474735088646412E-13</v>
      </c>
      <c r="O128" s="14">
        <f>N128*VLOOKUP('Données projet'!$B$9,Paramètres!$A$1:$I$88,3,0)*VLOOKUP('Données projet'!$B$9,Paramètres!$A$1:$I$88,5,0)</f>
        <v>2.5420376914553347E-13</v>
      </c>
      <c r="P128" s="14">
        <f t="shared" si="87"/>
        <v>3.4258699088369875E-12</v>
      </c>
      <c r="Q128" s="22">
        <f t="shared" si="107"/>
        <v>6.4094616558195571E-12</v>
      </c>
      <c r="R128" s="62">
        <f t="shared" si="55"/>
        <v>283.04861836897493</v>
      </c>
      <c r="S128" s="62">
        <f ca="1">AVERAGE(OFFSET($R$3,0,0,'Données projet'!$E$9+1,1))-AVERAGE(OFFSET($H$3,0,0,'Données projet'!$E$9+1,1))</f>
        <v>367.03450586441784</v>
      </c>
      <c r="T128" s="62">
        <f t="shared" si="88"/>
        <v>413.14502442862897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projet'!$B$9,Paramètres!$A$1:$I$88,7,0))</f>
        <v>0</v>
      </c>
      <c r="X128" s="17">
        <f>IF(ISNA(VLOOKUP(A128,'Données projet'!$A$35:$I$55,6,0)),0%,VLOOKUP(A128,'Données projet'!$A$35:$I$55,6,0)*VLOOKUP('Données projet'!$B$9,Paramètres!$A$1:$I$88,7,0))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projet'!$B$9,Paramètres!$A$1:$I$88,3,0)*0.475*44/12</f>
        <v>66.098820764479413</v>
      </c>
      <c r="AA128" s="23">
        <f>EXP(-LN(2)/25)*AA127+(1-EXP(-LN(2)/25))/(LN(2)/25)*Calculateur!V128*Calculateur!X128*VLOOKUP('Données projet'!$B$9,Paramètres!$A$1:$I$88,3,0)*0.475*44/12</f>
        <v>21.804927099262141</v>
      </c>
      <c r="AB128" s="23">
        <f>EXP(-LN(2)/2)*AB127+(1-EXP(-LN(2)/2))/(LN(2)/2)*V128*Y128*VLOOKUP('Données projet'!$B$9,Paramètres!$A$1:$I$88,3,0)*0.475*44/12</f>
        <v>0</v>
      </c>
      <c r="AC128" s="24">
        <f t="shared" si="57"/>
        <v>87.903747863741557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projet'!$B$10,Paramètres!$A$1:$I$88,3,0)*VLOOKUP('Données projet'!$B$10,Paramètres!$A$1:$I$88,5,0)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projet'!$B$10,Paramètres!$A$1:$I$88,7,0))</f>
        <v>0</v>
      </c>
      <c r="AS128" s="17">
        <f>IF(ISNA(VLOOKUP(A128,'Données projet'!$A$61:$I$81,6,0)),0%,VLOOKUP(A128,'Données projet'!$A$61:$I$81,6,0)*VLOOKUP('Données projet'!$B$10,Paramètres!$A$1:$I$88,7,0))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projet'!$B$10,Paramètres!$A$1:$I$88,3,0)*0.475*44/12</f>
        <v>#N/A</v>
      </c>
      <c r="AV128" s="23" t="e">
        <f>EXP(-LN(2)/25)*AV127+(1-EXP(-LN(2)/25))/(LN(2)/25)*Calculateur!AQ128*Calculateur!AS128*VLOOKUP('Données projet'!$B$10,Paramètres!$A$1:$I$88,3,0)*0.475*44/12</f>
        <v>#N/A</v>
      </c>
      <c r="AW128" s="23" t="e">
        <f>EXP(-LN(2)/2)*AW127+(1-EXP(-LN(2)/2))/(LN(2)/2)*AQ128*AT128*VLOOKUP('Données projet'!$B$10,Paramètres!$A$1:$I$88,3,0)*0.475*44/12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projet'!$B$11,Paramètres!$A$1:$I$88,3,0)*VLOOKUP('Données projet'!$B$11,Paramètres!$A$1:$I$88,5,0)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projet'!$B$11,Paramètres!$A$1:$I$88,7,0))</f>
        <v>0</v>
      </c>
      <c r="BN128" s="17">
        <f>IF(ISNA(VLOOKUP(A128,'Données projet'!$A$87:$I$107,6,0)),0%,VLOOKUP(A128,'Données projet'!$A$87:$I$107,6,0)*VLOOKUP('Données projet'!$B$11,Paramètres!$A$1:$I$88,7,0))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projet'!$B$11,Paramètres!$A$1:$I$88,3,0)*0.475*44/12</f>
        <v>#N/A</v>
      </c>
      <c r="BQ128" s="23" t="e">
        <f>EXP(-LN(2)/25)*BQ127+(1-EXP(-LN(2)/25))/(LN(2)/25)*Calculateur!BL128*Calculateur!BN128*VLOOKUP('Données projet'!$B$11,Paramètres!$A$1:$I$88,3,0)*0.475*44/12</f>
        <v>#N/A</v>
      </c>
      <c r="BR128" s="23" t="e">
        <f>EXP(-LN(2)/2)*BR127+(1-EXP(-LN(2)/2))/(LN(2)/2)*BL128*BO128*VLOOKUP('Données projet'!$B$11,Paramètres!$A$1:$I$88,3,0)*0.475*44/12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projet'!$B$12,Paramètres!$A$1:$I$88,3,0)*VLOOKUP('Données projet'!$B$12,Paramètres!$A$1:$I$88,5,0)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projet'!$B$12,Paramètres!$A$1:$I$88,7,0))</f>
        <v>0</v>
      </c>
      <c r="CI128" s="17">
        <f>IF(ISNA(VLOOKUP(A128,'Données projet'!$A$113:$I$133,6,0)),0%,VLOOKUP(A128,'Données projet'!$A$113:$I$133,6,0)*VLOOKUP('Données projet'!$B$12,Paramètres!$A$1:$I$88,7,0))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projet'!$B$12,Paramètres!$A$1:$I$88,3,0)*0.475*44/12</f>
        <v>#N/A</v>
      </c>
      <c r="CL128" s="23" t="e">
        <f>EXP(-LN(2)/25)*CL127+(1-EXP(-LN(2)/25))/(LN(2)/25)*Calculateur!CG128*Calculateur!CI128*VLOOKUP('Données projet'!$B$12,Paramètres!$A$1:$I$88,3,0)*0.475*44/12</f>
        <v>#N/A</v>
      </c>
      <c r="CM128" s="23" t="e">
        <f>EXP(-LN(2)/2)*CM127+(1-EXP(-LN(2)/2))/(LN(2)/2)*CG128*CJ128*VLOOKUP('Données projet'!$B$12,Paramètres!$A$1:$I$88,3,0)*0.475*44/12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projet'!$B$13,Paramètres!$A$1:$I$88,3,0)*VLOOKUP('Données projet'!$B$13,Paramètres!$A$1:$I$88,5,0)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projet'!$B$13,Paramètres!$A$1:$I$88,7,0))</f>
        <v>0</v>
      </c>
      <c r="DD128" s="17">
        <f>IF(ISNA(VLOOKUP(A128,'Données projet'!$A$139:$I$159,6,0)),0%,VLOOKUP(A128,'Données projet'!$A$139:$I$159,6,0)*VLOOKUP('Données projet'!$B$13,Paramètres!$A$1:$I$88,7,0))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projet'!$B$13,Paramètres!$A$1:$I$88,3,0)*0.475*44/12</f>
        <v>#N/A</v>
      </c>
      <c r="DG128" s="23" t="e">
        <f>EXP(-LN(2)/25)*DG127+(1-EXP(-LN(2)/25))/(LN(2)/25)*Calculateur!DB128*Calculateur!DD128*VLOOKUP('Données projet'!$B$13,Paramètres!$A$1:$I$88,3,0)*0.475*44/12</f>
        <v>#N/A</v>
      </c>
      <c r="DH128" s="23" t="e">
        <f>EXP(-LN(2)/2)*DH127+(1-EXP(-LN(2)/2))/(LN(2)/2)*DB128*DE128*VLOOKUP('Données projet'!$B$13,Paramètres!$A$1:$I$88,3,0)*0.475*44/12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projet'!$B$14,Paramètres!$A$1:$I$88,3,0)*VLOOKUP('Données projet'!$B$14,Paramètres!$A$1:$I$88,5,0)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projet'!$B$14,Paramètres!$A$1:$I$88,7,0))</f>
        <v>0</v>
      </c>
      <c r="DY128" s="17">
        <f>IF(ISNA(VLOOKUP(A128,'Données projet'!$A$165:$I$185,6,0)),0%,VLOOKUP(A128,'Données projet'!$A$165:$I$185,6,0)*VLOOKUP('Données projet'!$B$14,Paramètres!$A$1:$I$88,7,0))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projet'!$B$14,Paramètres!$A$1:$I$88,3,0)*0.475*44/12</f>
        <v>#N/A</v>
      </c>
      <c r="EB128" s="23" t="e">
        <f>EXP(-LN(2)/25)*EB127+(1-EXP(-LN(2)/25))/(LN(2)/25)*Calculateur!DW128*Calculateur!DY128*VLOOKUP('Données projet'!$B$14,Paramètres!$A$1:$I$88,3,0)*0.475*44/12</f>
        <v>#N/A</v>
      </c>
      <c r="EC128" s="23" t="e">
        <f>EXP(-LN(2)/2)*EC127+(1-EXP(-LN(2)/2))/(LN(2)/2)*DW128*DZ128*VLOOKUP('Données projet'!$B$14,Paramètres!$A$1:$I$88,3,0)*0.475*44/12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projet'!$B$15,Paramètres!$A$1:$I$88,3,0)*VLOOKUP('Données projet'!$B$15,Paramètres!$A$1:$I$88,5,0)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projet'!$B$15,Paramètres!$A$1:$I$88,7,0))</f>
        <v>0</v>
      </c>
      <c r="ET128" s="17">
        <f>IF(ISNA(VLOOKUP(A128,'Données projet'!$A$191:$I$211,6,0)),0%,VLOOKUP(A128,'Données projet'!$A$191:$I$211,6,0)*VLOOKUP('Données projet'!$B$15,Paramètres!$A$1:$I$88,7,0))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projet'!$B$15,Paramètres!$A$1:$I$88,3,0)*0.475*44/12</f>
        <v>#N/A</v>
      </c>
      <c r="EW128" s="23" t="e">
        <f>EXP(-LN(2)/25)*EW127+(1-EXP(-LN(2)/25))/(LN(2)/25)*Calculateur!ER128*Calculateur!ET128*VLOOKUP('Données projet'!$B$15,Paramètres!$A$1:$I$88,3,0)*0.475*44/12</f>
        <v>#N/A</v>
      </c>
      <c r="EX128" s="23" t="e">
        <f>EXP(-LN(2)/2)*EX127+(1-EXP(-LN(2)/2))/(LN(2)/2)*ER128*EU128*VLOOKUP('Données projet'!$B$15,Paramètres!$A$1:$I$88,3,0)*0.475*44/12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projet'!$B$16,Paramètres!$A$1:$I$88,3,0)*VLOOKUP('Données projet'!$B$16,Paramètres!$A$1:$I$88,5,0)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projet'!$B$16,Paramètres!$A$1:$I$88,7,0))</f>
        <v>0</v>
      </c>
      <c r="FO128" s="17">
        <f>IF(ISNA(VLOOKUP(A128,'Données projet'!$A$217:$I$237,6,0)),0%,VLOOKUP(A128,'Données projet'!$A$217:$I$237,6,0)*VLOOKUP('Données projet'!$B$16,Paramètres!$A$1:$I$88,7,0))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projet'!$B$16,Paramètres!$A$1:$I$88,3,0)*0.475*44/12</f>
        <v>#N/A</v>
      </c>
      <c r="FR128" s="23" t="e">
        <f>EXP(-LN(2)/25)*FR127+(1-EXP(-LN(2)/25))/(LN(2)/25)*Calculateur!FM128*Calculateur!FO128*VLOOKUP('Données projet'!$B$16,Paramètres!$A$1:$I$88,3,0)*0.475*44/12</f>
        <v>#N/A</v>
      </c>
      <c r="FS128" s="23" t="e">
        <f>EXP(-LN(2)/2)*FS127+(1-EXP(-LN(2)/2))/(LN(2)/2)*FM128*FP128*VLOOKUP('Données projet'!$B$16,Paramètres!$A$1:$I$88,3,0)*0.475*44/12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projet'!$B$17,Paramètres!$A$1:$I$88,3,0)*VLOOKUP('Données projet'!$B$17,Paramètres!$A$1:$I$88,5,0)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projet'!$B$17,Paramètres!$A$1:$I$88,7,0))</f>
        <v>0</v>
      </c>
      <c r="GJ128" s="17">
        <f>IF(ISNA(VLOOKUP(A128,'Données projet'!$A$243:$I$263,6,0)),0%,VLOOKUP(A128,'Données projet'!$A$243:$I$263,6,0)*VLOOKUP('Données projet'!$B$17,Paramètres!$A$1:$I$88,7,0))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projet'!$B$17,Paramètres!$A$1:$I$88,3,0)*0.475*44/12</f>
        <v>#N/A</v>
      </c>
      <c r="GM128" s="23" t="e">
        <f>EXP(-LN(2)/25)*GM127+(1-EXP(-LN(2)/25))/(LN(2)/25)*Calculateur!GH128*Calculateur!GJ128*VLOOKUP('Données projet'!$B$17,Paramètres!$A$1:$I$88,3,0)*0.475*44/12</f>
        <v>#N/A</v>
      </c>
      <c r="GN128" s="23" t="e">
        <f>EXP(-LN(2)/2)*GN127+(1-EXP(-LN(2)/2))/(LN(2)/2)*GH128*GK128*VLOOKUP('Données projet'!$B$17,Paramètres!$A$1:$I$88,3,0)*0.475*44/12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projet'!$B$18,Paramètres!$A$1:$I$88,3,0)*VLOOKUP('Données projet'!$B$18,Paramètres!$A$1:$I$88,5,0)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projet'!$B$18,Paramètres!$A$1:$I$88,7,0))</f>
        <v>0</v>
      </c>
      <c r="HE128" s="17">
        <f>IF(ISNA(VLOOKUP(A128,'Données projet'!$A$269:$I$289,6,0)),0%,VLOOKUP(A128,'Données projet'!$A$269:$I$289,6,0)*VLOOKUP('Données projet'!$B$18,Paramètres!$A$1:$I$88,7,0))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projet'!$B$18,Paramètres!$A$1:$I$88,3,0)*0.475*44/12</f>
        <v>#N/A</v>
      </c>
      <c r="HH128" s="23" t="e">
        <f>EXP(-LN(2)/25)*HH127+(1-EXP(-LN(2)/25))/(LN(2)/25)*Calculateur!HC128*Calculateur!HE128*VLOOKUP('Données projet'!$B$18,Paramètres!$A$1:$I$88,3,0)*0.475*44/12</f>
        <v>#N/A</v>
      </c>
      <c r="HI128" s="23" t="e">
        <f>EXP(-LN(2)/2)*HI127+(1-EXP(-LN(2)/2))/(LN(2)/2)*HC128*HF128*VLOOKUP('Données projet'!$B$18,Paramètres!$A$1:$I$88,3,0)*0.475*44/12</f>
        <v>#N/A</v>
      </c>
      <c r="HJ128" s="24" t="e">
        <f t="shared" si="84"/>
        <v>#N/A</v>
      </c>
    </row>
    <row r="129" spans="1:218" s="5" customFormat="1" x14ac:dyDescent="0.3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4.5474735088646412E-13</v>
      </c>
      <c r="O129" s="14">
        <f>N129*VLOOKUP('Données projet'!$B$9,Paramètres!$A$1:$I$88,3,0)*VLOOKUP('Données projet'!$B$9,Paramètres!$A$1:$I$88,5,0)</f>
        <v>2.5420376914553347E-13</v>
      </c>
      <c r="P129" s="14">
        <f t="shared" si="87"/>
        <v>3.4258699088369875E-12</v>
      </c>
      <c r="Q129" s="22">
        <f t="shared" si="107"/>
        <v>6.4094616558195571E-12</v>
      </c>
      <c r="R129" s="62">
        <f t="shared" si="55"/>
        <v>283.22703518042863</v>
      </c>
      <c r="S129" s="62">
        <f ca="1">AVERAGE(OFFSET($R$3,0,0,'Données projet'!$E$9+1,1))-AVERAGE(OFFSET($H$3,0,0,'Données projet'!$E$9+1,1))</f>
        <v>367.03450586441784</v>
      </c>
      <c r="T129" s="62">
        <f t="shared" si="88"/>
        <v>413.14502442862897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projet'!$B$9,Paramètres!$A$1:$I$88,7,0))</f>
        <v>0</v>
      </c>
      <c r="X129" s="17">
        <f>IF(ISNA(VLOOKUP(A129,'Données projet'!$A$35:$I$55,6,0)),0%,VLOOKUP(A129,'Données projet'!$A$35:$I$55,6,0)*VLOOKUP('Données projet'!$B$9,Paramètres!$A$1:$I$88,7,0))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projet'!$B$9,Paramètres!$A$1:$I$88,3,0)*0.475*44/12</f>
        <v>64.802663205587734</v>
      </c>
      <c r="AA129" s="23">
        <f>EXP(-LN(2)/25)*AA128+(1-EXP(-LN(2)/25))/(LN(2)/25)*Calculateur!V129*Calculateur!X129*VLOOKUP('Données projet'!$B$9,Paramètres!$A$1:$I$88,3,0)*0.475*44/12</f>
        <v>21.208670221061539</v>
      </c>
      <c r="AB129" s="23">
        <f>EXP(-LN(2)/2)*AB128+(1-EXP(-LN(2)/2))/(LN(2)/2)*V129*Y129*VLOOKUP('Données projet'!$B$9,Paramètres!$A$1:$I$88,3,0)*0.475*44/12</f>
        <v>0</v>
      </c>
      <c r="AC129" s="24">
        <f t="shared" si="57"/>
        <v>86.011333426649273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projet'!$B$10,Paramètres!$A$1:$I$88,3,0)*VLOOKUP('Données projet'!$B$10,Paramètres!$A$1:$I$88,5,0)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projet'!$B$10,Paramètres!$A$1:$I$88,7,0))</f>
        <v>0</v>
      </c>
      <c r="AS129" s="17">
        <f>IF(ISNA(VLOOKUP(A129,'Données projet'!$A$61:$I$81,6,0)),0%,VLOOKUP(A129,'Données projet'!$A$61:$I$81,6,0)*VLOOKUP('Données projet'!$B$10,Paramètres!$A$1:$I$88,7,0))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projet'!$B$10,Paramètres!$A$1:$I$88,3,0)*0.475*44/12</f>
        <v>#N/A</v>
      </c>
      <c r="AV129" s="23" t="e">
        <f>EXP(-LN(2)/25)*AV128+(1-EXP(-LN(2)/25))/(LN(2)/25)*Calculateur!AQ129*Calculateur!AS129*VLOOKUP('Données projet'!$B$10,Paramètres!$A$1:$I$88,3,0)*0.475*44/12</f>
        <v>#N/A</v>
      </c>
      <c r="AW129" s="23" t="e">
        <f>EXP(-LN(2)/2)*AW128+(1-EXP(-LN(2)/2))/(LN(2)/2)*AQ129*AT129*VLOOKUP('Données projet'!$B$10,Paramètres!$A$1:$I$88,3,0)*0.475*44/12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projet'!$B$11,Paramètres!$A$1:$I$88,3,0)*VLOOKUP('Données projet'!$B$11,Paramètres!$A$1:$I$88,5,0)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projet'!$B$11,Paramètres!$A$1:$I$88,7,0))</f>
        <v>0</v>
      </c>
      <c r="BN129" s="17">
        <f>IF(ISNA(VLOOKUP(A129,'Données projet'!$A$87:$I$107,6,0)),0%,VLOOKUP(A129,'Données projet'!$A$87:$I$107,6,0)*VLOOKUP('Données projet'!$B$11,Paramètres!$A$1:$I$88,7,0))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projet'!$B$11,Paramètres!$A$1:$I$88,3,0)*0.475*44/12</f>
        <v>#N/A</v>
      </c>
      <c r="BQ129" s="23" t="e">
        <f>EXP(-LN(2)/25)*BQ128+(1-EXP(-LN(2)/25))/(LN(2)/25)*Calculateur!BL129*Calculateur!BN129*VLOOKUP('Données projet'!$B$11,Paramètres!$A$1:$I$88,3,0)*0.475*44/12</f>
        <v>#N/A</v>
      </c>
      <c r="BR129" s="23" t="e">
        <f>EXP(-LN(2)/2)*BR128+(1-EXP(-LN(2)/2))/(LN(2)/2)*BL129*BO129*VLOOKUP('Données projet'!$B$11,Paramètres!$A$1:$I$88,3,0)*0.475*44/12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projet'!$B$12,Paramètres!$A$1:$I$88,3,0)*VLOOKUP('Données projet'!$B$12,Paramètres!$A$1:$I$88,5,0)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projet'!$B$12,Paramètres!$A$1:$I$88,7,0))</f>
        <v>0</v>
      </c>
      <c r="CI129" s="17">
        <f>IF(ISNA(VLOOKUP(A129,'Données projet'!$A$113:$I$133,6,0)),0%,VLOOKUP(A129,'Données projet'!$A$113:$I$133,6,0)*VLOOKUP('Données projet'!$B$12,Paramètres!$A$1:$I$88,7,0))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projet'!$B$12,Paramètres!$A$1:$I$88,3,0)*0.475*44/12</f>
        <v>#N/A</v>
      </c>
      <c r="CL129" s="23" t="e">
        <f>EXP(-LN(2)/25)*CL128+(1-EXP(-LN(2)/25))/(LN(2)/25)*Calculateur!CG129*Calculateur!CI129*VLOOKUP('Données projet'!$B$12,Paramètres!$A$1:$I$88,3,0)*0.475*44/12</f>
        <v>#N/A</v>
      </c>
      <c r="CM129" s="23" t="e">
        <f>EXP(-LN(2)/2)*CM128+(1-EXP(-LN(2)/2))/(LN(2)/2)*CG129*CJ129*VLOOKUP('Données projet'!$B$12,Paramètres!$A$1:$I$88,3,0)*0.475*44/12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projet'!$B$13,Paramètres!$A$1:$I$88,3,0)*VLOOKUP('Données projet'!$B$13,Paramètres!$A$1:$I$88,5,0)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projet'!$B$13,Paramètres!$A$1:$I$88,7,0))</f>
        <v>0</v>
      </c>
      <c r="DD129" s="17">
        <f>IF(ISNA(VLOOKUP(A129,'Données projet'!$A$139:$I$159,6,0)),0%,VLOOKUP(A129,'Données projet'!$A$139:$I$159,6,0)*VLOOKUP('Données projet'!$B$13,Paramètres!$A$1:$I$88,7,0))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projet'!$B$13,Paramètres!$A$1:$I$88,3,0)*0.475*44/12</f>
        <v>#N/A</v>
      </c>
      <c r="DG129" s="23" t="e">
        <f>EXP(-LN(2)/25)*DG128+(1-EXP(-LN(2)/25))/(LN(2)/25)*Calculateur!DB129*Calculateur!DD129*VLOOKUP('Données projet'!$B$13,Paramètres!$A$1:$I$88,3,0)*0.475*44/12</f>
        <v>#N/A</v>
      </c>
      <c r="DH129" s="23" t="e">
        <f>EXP(-LN(2)/2)*DH128+(1-EXP(-LN(2)/2))/(LN(2)/2)*DB129*DE129*VLOOKUP('Données projet'!$B$13,Paramètres!$A$1:$I$88,3,0)*0.475*44/12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projet'!$B$14,Paramètres!$A$1:$I$88,3,0)*VLOOKUP('Données projet'!$B$14,Paramètres!$A$1:$I$88,5,0)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projet'!$B$14,Paramètres!$A$1:$I$88,7,0))</f>
        <v>0</v>
      </c>
      <c r="DY129" s="17">
        <f>IF(ISNA(VLOOKUP(A129,'Données projet'!$A$165:$I$185,6,0)),0%,VLOOKUP(A129,'Données projet'!$A$165:$I$185,6,0)*VLOOKUP('Données projet'!$B$14,Paramètres!$A$1:$I$88,7,0))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projet'!$B$14,Paramètres!$A$1:$I$88,3,0)*0.475*44/12</f>
        <v>#N/A</v>
      </c>
      <c r="EB129" s="23" t="e">
        <f>EXP(-LN(2)/25)*EB128+(1-EXP(-LN(2)/25))/(LN(2)/25)*Calculateur!DW129*Calculateur!DY129*VLOOKUP('Données projet'!$B$14,Paramètres!$A$1:$I$88,3,0)*0.475*44/12</f>
        <v>#N/A</v>
      </c>
      <c r="EC129" s="23" t="e">
        <f>EXP(-LN(2)/2)*EC128+(1-EXP(-LN(2)/2))/(LN(2)/2)*DW129*DZ129*VLOOKUP('Données projet'!$B$14,Paramètres!$A$1:$I$88,3,0)*0.475*44/12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projet'!$B$15,Paramètres!$A$1:$I$88,3,0)*VLOOKUP('Données projet'!$B$15,Paramètres!$A$1:$I$88,5,0)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projet'!$B$15,Paramètres!$A$1:$I$88,7,0))</f>
        <v>0</v>
      </c>
      <c r="ET129" s="17">
        <f>IF(ISNA(VLOOKUP(A129,'Données projet'!$A$191:$I$211,6,0)),0%,VLOOKUP(A129,'Données projet'!$A$191:$I$211,6,0)*VLOOKUP('Données projet'!$B$15,Paramètres!$A$1:$I$88,7,0))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projet'!$B$15,Paramètres!$A$1:$I$88,3,0)*0.475*44/12</f>
        <v>#N/A</v>
      </c>
      <c r="EW129" s="23" t="e">
        <f>EXP(-LN(2)/25)*EW128+(1-EXP(-LN(2)/25))/(LN(2)/25)*Calculateur!ER129*Calculateur!ET129*VLOOKUP('Données projet'!$B$15,Paramètres!$A$1:$I$88,3,0)*0.475*44/12</f>
        <v>#N/A</v>
      </c>
      <c r="EX129" s="23" t="e">
        <f>EXP(-LN(2)/2)*EX128+(1-EXP(-LN(2)/2))/(LN(2)/2)*ER129*EU129*VLOOKUP('Données projet'!$B$15,Paramètres!$A$1:$I$88,3,0)*0.475*44/12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projet'!$B$16,Paramètres!$A$1:$I$88,3,0)*VLOOKUP('Données projet'!$B$16,Paramètres!$A$1:$I$88,5,0)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projet'!$B$16,Paramètres!$A$1:$I$88,7,0))</f>
        <v>0</v>
      </c>
      <c r="FO129" s="17">
        <f>IF(ISNA(VLOOKUP(A129,'Données projet'!$A$217:$I$237,6,0)),0%,VLOOKUP(A129,'Données projet'!$A$217:$I$237,6,0)*VLOOKUP('Données projet'!$B$16,Paramètres!$A$1:$I$88,7,0))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projet'!$B$16,Paramètres!$A$1:$I$88,3,0)*0.475*44/12</f>
        <v>#N/A</v>
      </c>
      <c r="FR129" s="23" t="e">
        <f>EXP(-LN(2)/25)*FR128+(1-EXP(-LN(2)/25))/(LN(2)/25)*Calculateur!FM129*Calculateur!FO129*VLOOKUP('Données projet'!$B$16,Paramètres!$A$1:$I$88,3,0)*0.475*44/12</f>
        <v>#N/A</v>
      </c>
      <c r="FS129" s="23" t="e">
        <f>EXP(-LN(2)/2)*FS128+(1-EXP(-LN(2)/2))/(LN(2)/2)*FM129*FP129*VLOOKUP('Données projet'!$B$16,Paramètres!$A$1:$I$88,3,0)*0.475*44/12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projet'!$B$17,Paramètres!$A$1:$I$88,3,0)*VLOOKUP('Données projet'!$B$17,Paramètres!$A$1:$I$88,5,0)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projet'!$B$17,Paramètres!$A$1:$I$88,7,0))</f>
        <v>0</v>
      </c>
      <c r="GJ129" s="17">
        <f>IF(ISNA(VLOOKUP(A129,'Données projet'!$A$243:$I$263,6,0)),0%,VLOOKUP(A129,'Données projet'!$A$243:$I$263,6,0)*VLOOKUP('Données projet'!$B$17,Paramètres!$A$1:$I$88,7,0))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projet'!$B$17,Paramètres!$A$1:$I$88,3,0)*0.475*44/12</f>
        <v>#N/A</v>
      </c>
      <c r="GM129" s="23" t="e">
        <f>EXP(-LN(2)/25)*GM128+(1-EXP(-LN(2)/25))/(LN(2)/25)*Calculateur!GH129*Calculateur!GJ129*VLOOKUP('Données projet'!$B$17,Paramètres!$A$1:$I$88,3,0)*0.475*44/12</f>
        <v>#N/A</v>
      </c>
      <c r="GN129" s="23" t="e">
        <f>EXP(-LN(2)/2)*GN128+(1-EXP(-LN(2)/2))/(LN(2)/2)*GH129*GK129*VLOOKUP('Données projet'!$B$17,Paramètres!$A$1:$I$88,3,0)*0.475*44/12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projet'!$B$18,Paramètres!$A$1:$I$88,3,0)*VLOOKUP('Données projet'!$B$18,Paramètres!$A$1:$I$88,5,0)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projet'!$B$18,Paramètres!$A$1:$I$88,7,0))</f>
        <v>0</v>
      </c>
      <c r="HE129" s="17">
        <f>IF(ISNA(VLOOKUP(A129,'Données projet'!$A$269:$I$289,6,0)),0%,VLOOKUP(A129,'Données projet'!$A$269:$I$289,6,0)*VLOOKUP('Données projet'!$B$18,Paramètres!$A$1:$I$88,7,0))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projet'!$B$18,Paramètres!$A$1:$I$88,3,0)*0.475*44/12</f>
        <v>#N/A</v>
      </c>
      <c r="HH129" s="23" t="e">
        <f>EXP(-LN(2)/25)*HH128+(1-EXP(-LN(2)/25))/(LN(2)/25)*Calculateur!HC129*Calculateur!HE129*VLOOKUP('Données projet'!$B$18,Paramètres!$A$1:$I$88,3,0)*0.475*44/12</f>
        <v>#N/A</v>
      </c>
      <c r="HI129" s="23" t="e">
        <f>EXP(-LN(2)/2)*HI128+(1-EXP(-LN(2)/2))/(LN(2)/2)*HC129*HF129*VLOOKUP('Données projet'!$B$18,Paramètres!$A$1:$I$88,3,0)*0.475*44/12</f>
        <v>#N/A</v>
      </c>
      <c r="HJ129" s="24" t="e">
        <f t="shared" si="84"/>
        <v>#N/A</v>
      </c>
    </row>
    <row r="130" spans="1:218" s="5" customFormat="1" x14ac:dyDescent="0.3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4.5474735088646412E-13</v>
      </c>
      <c r="O130" s="14">
        <f>N130*VLOOKUP('Données projet'!$B$9,Paramètres!$A$1:$I$88,3,0)*VLOOKUP('Données projet'!$B$9,Paramètres!$A$1:$I$88,5,0)</f>
        <v>2.5420376914553347E-13</v>
      </c>
      <c r="P130" s="14">
        <f t="shared" si="87"/>
        <v>3.4258699088369875E-12</v>
      </c>
      <c r="Q130" s="22">
        <f t="shared" si="107"/>
        <v>6.4094616558195571E-12</v>
      </c>
      <c r="R130" s="62">
        <f t="shared" si="55"/>
        <v>283.40235685908385</v>
      </c>
      <c r="S130" s="62">
        <f ca="1">AVERAGE(OFFSET($R$3,0,0,'Données projet'!$E$9+1,1))-AVERAGE(OFFSET($H$3,0,0,'Données projet'!$E$9+1,1))</f>
        <v>367.03450586441784</v>
      </c>
      <c r="T130" s="62">
        <f t="shared" si="88"/>
        <v>413.14502442862897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projet'!$B$9,Paramètres!$A$1:$I$88,7,0))</f>
        <v>0</v>
      </c>
      <c r="X130" s="17">
        <f>IF(ISNA(VLOOKUP(A130,'Données projet'!$A$35:$I$55,6,0)),0%,VLOOKUP(A130,'Données projet'!$A$35:$I$55,6,0)*VLOOKUP('Données projet'!$B$9,Paramètres!$A$1:$I$88,7,0))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projet'!$B$9,Paramètres!$A$1:$I$88,3,0)*0.475*44/12</f>
        <v>63.531922505847874</v>
      </c>
      <c r="AA130" s="23">
        <f>EXP(-LN(2)/25)*AA129+(1-EXP(-LN(2)/25))/(LN(2)/25)*Calculateur!V130*Calculateur!X130*VLOOKUP('Données projet'!$B$9,Paramètres!$A$1:$I$88,3,0)*0.475*44/12</f>
        <v>20.628718018551115</v>
      </c>
      <c r="AB130" s="23">
        <f>EXP(-LN(2)/2)*AB129+(1-EXP(-LN(2)/2))/(LN(2)/2)*V130*Y130*VLOOKUP('Données projet'!$B$9,Paramètres!$A$1:$I$88,3,0)*0.475*44/12</f>
        <v>0</v>
      </c>
      <c r="AC130" s="24">
        <f t="shared" si="57"/>
        <v>84.160640524398985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projet'!$B$10,Paramètres!$A$1:$I$88,3,0)*VLOOKUP('Données projet'!$B$10,Paramètres!$A$1:$I$88,5,0)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projet'!$B$10,Paramètres!$A$1:$I$88,7,0))</f>
        <v>0</v>
      </c>
      <c r="AS130" s="17">
        <f>IF(ISNA(VLOOKUP(A130,'Données projet'!$A$61:$I$81,6,0)),0%,VLOOKUP(A130,'Données projet'!$A$61:$I$81,6,0)*VLOOKUP('Données projet'!$B$10,Paramètres!$A$1:$I$88,7,0))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projet'!$B$10,Paramètres!$A$1:$I$88,3,0)*0.475*44/12</f>
        <v>#N/A</v>
      </c>
      <c r="AV130" s="23" t="e">
        <f>EXP(-LN(2)/25)*AV129+(1-EXP(-LN(2)/25))/(LN(2)/25)*Calculateur!AQ130*Calculateur!AS130*VLOOKUP('Données projet'!$B$10,Paramètres!$A$1:$I$88,3,0)*0.475*44/12</f>
        <v>#N/A</v>
      </c>
      <c r="AW130" s="23" t="e">
        <f>EXP(-LN(2)/2)*AW129+(1-EXP(-LN(2)/2))/(LN(2)/2)*AQ130*AT130*VLOOKUP('Données projet'!$B$10,Paramètres!$A$1:$I$88,3,0)*0.475*44/12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projet'!$B$11,Paramètres!$A$1:$I$88,3,0)*VLOOKUP('Données projet'!$B$11,Paramètres!$A$1:$I$88,5,0)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projet'!$B$11,Paramètres!$A$1:$I$88,7,0))</f>
        <v>0</v>
      </c>
      <c r="BN130" s="17">
        <f>IF(ISNA(VLOOKUP(A130,'Données projet'!$A$87:$I$107,6,0)),0%,VLOOKUP(A130,'Données projet'!$A$87:$I$107,6,0)*VLOOKUP('Données projet'!$B$11,Paramètres!$A$1:$I$88,7,0))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projet'!$B$11,Paramètres!$A$1:$I$88,3,0)*0.475*44/12</f>
        <v>#N/A</v>
      </c>
      <c r="BQ130" s="23" t="e">
        <f>EXP(-LN(2)/25)*BQ129+(1-EXP(-LN(2)/25))/(LN(2)/25)*Calculateur!BL130*Calculateur!BN130*VLOOKUP('Données projet'!$B$11,Paramètres!$A$1:$I$88,3,0)*0.475*44/12</f>
        <v>#N/A</v>
      </c>
      <c r="BR130" s="23" t="e">
        <f>EXP(-LN(2)/2)*BR129+(1-EXP(-LN(2)/2))/(LN(2)/2)*BL130*BO130*VLOOKUP('Données projet'!$B$11,Paramètres!$A$1:$I$88,3,0)*0.475*44/12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projet'!$B$12,Paramètres!$A$1:$I$88,3,0)*VLOOKUP('Données projet'!$B$12,Paramètres!$A$1:$I$88,5,0)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projet'!$B$12,Paramètres!$A$1:$I$88,7,0))</f>
        <v>0</v>
      </c>
      <c r="CI130" s="17">
        <f>IF(ISNA(VLOOKUP(A130,'Données projet'!$A$113:$I$133,6,0)),0%,VLOOKUP(A130,'Données projet'!$A$113:$I$133,6,0)*VLOOKUP('Données projet'!$B$12,Paramètres!$A$1:$I$88,7,0))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projet'!$B$12,Paramètres!$A$1:$I$88,3,0)*0.475*44/12</f>
        <v>#N/A</v>
      </c>
      <c r="CL130" s="23" t="e">
        <f>EXP(-LN(2)/25)*CL129+(1-EXP(-LN(2)/25))/(LN(2)/25)*Calculateur!CG130*Calculateur!CI130*VLOOKUP('Données projet'!$B$12,Paramètres!$A$1:$I$88,3,0)*0.475*44/12</f>
        <v>#N/A</v>
      </c>
      <c r="CM130" s="23" t="e">
        <f>EXP(-LN(2)/2)*CM129+(1-EXP(-LN(2)/2))/(LN(2)/2)*CG130*CJ130*VLOOKUP('Données projet'!$B$12,Paramètres!$A$1:$I$88,3,0)*0.475*44/12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projet'!$B$13,Paramètres!$A$1:$I$88,3,0)*VLOOKUP('Données projet'!$B$13,Paramètres!$A$1:$I$88,5,0)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projet'!$B$13,Paramètres!$A$1:$I$88,7,0))</f>
        <v>0</v>
      </c>
      <c r="DD130" s="17">
        <f>IF(ISNA(VLOOKUP(A130,'Données projet'!$A$139:$I$159,6,0)),0%,VLOOKUP(A130,'Données projet'!$A$139:$I$159,6,0)*VLOOKUP('Données projet'!$B$13,Paramètres!$A$1:$I$88,7,0))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projet'!$B$13,Paramètres!$A$1:$I$88,3,0)*0.475*44/12</f>
        <v>#N/A</v>
      </c>
      <c r="DG130" s="23" t="e">
        <f>EXP(-LN(2)/25)*DG129+(1-EXP(-LN(2)/25))/(LN(2)/25)*Calculateur!DB130*Calculateur!DD130*VLOOKUP('Données projet'!$B$13,Paramètres!$A$1:$I$88,3,0)*0.475*44/12</f>
        <v>#N/A</v>
      </c>
      <c r="DH130" s="23" t="e">
        <f>EXP(-LN(2)/2)*DH129+(1-EXP(-LN(2)/2))/(LN(2)/2)*DB130*DE130*VLOOKUP('Données projet'!$B$13,Paramètres!$A$1:$I$88,3,0)*0.475*44/12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projet'!$B$14,Paramètres!$A$1:$I$88,3,0)*VLOOKUP('Données projet'!$B$14,Paramètres!$A$1:$I$88,5,0)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projet'!$B$14,Paramètres!$A$1:$I$88,7,0))</f>
        <v>0</v>
      </c>
      <c r="DY130" s="17">
        <f>IF(ISNA(VLOOKUP(A130,'Données projet'!$A$165:$I$185,6,0)),0%,VLOOKUP(A130,'Données projet'!$A$165:$I$185,6,0)*VLOOKUP('Données projet'!$B$14,Paramètres!$A$1:$I$88,7,0))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projet'!$B$14,Paramètres!$A$1:$I$88,3,0)*0.475*44/12</f>
        <v>#N/A</v>
      </c>
      <c r="EB130" s="23" t="e">
        <f>EXP(-LN(2)/25)*EB129+(1-EXP(-LN(2)/25))/(LN(2)/25)*Calculateur!DW130*Calculateur!DY130*VLOOKUP('Données projet'!$B$14,Paramètres!$A$1:$I$88,3,0)*0.475*44/12</f>
        <v>#N/A</v>
      </c>
      <c r="EC130" s="23" t="e">
        <f>EXP(-LN(2)/2)*EC129+(1-EXP(-LN(2)/2))/(LN(2)/2)*DW130*DZ130*VLOOKUP('Données projet'!$B$14,Paramètres!$A$1:$I$88,3,0)*0.475*44/12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projet'!$B$15,Paramètres!$A$1:$I$88,3,0)*VLOOKUP('Données projet'!$B$15,Paramètres!$A$1:$I$88,5,0)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projet'!$B$15,Paramètres!$A$1:$I$88,7,0))</f>
        <v>0</v>
      </c>
      <c r="ET130" s="17">
        <f>IF(ISNA(VLOOKUP(A130,'Données projet'!$A$191:$I$211,6,0)),0%,VLOOKUP(A130,'Données projet'!$A$191:$I$211,6,0)*VLOOKUP('Données projet'!$B$15,Paramètres!$A$1:$I$88,7,0))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projet'!$B$15,Paramètres!$A$1:$I$88,3,0)*0.475*44/12</f>
        <v>#N/A</v>
      </c>
      <c r="EW130" s="23" t="e">
        <f>EXP(-LN(2)/25)*EW129+(1-EXP(-LN(2)/25))/(LN(2)/25)*Calculateur!ER130*Calculateur!ET130*VLOOKUP('Données projet'!$B$15,Paramètres!$A$1:$I$88,3,0)*0.475*44/12</f>
        <v>#N/A</v>
      </c>
      <c r="EX130" s="23" t="e">
        <f>EXP(-LN(2)/2)*EX129+(1-EXP(-LN(2)/2))/(LN(2)/2)*ER130*EU130*VLOOKUP('Données projet'!$B$15,Paramètres!$A$1:$I$88,3,0)*0.475*44/12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projet'!$B$16,Paramètres!$A$1:$I$88,3,0)*VLOOKUP('Données projet'!$B$16,Paramètres!$A$1:$I$88,5,0)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projet'!$B$16,Paramètres!$A$1:$I$88,7,0))</f>
        <v>0</v>
      </c>
      <c r="FO130" s="17">
        <f>IF(ISNA(VLOOKUP(A130,'Données projet'!$A$217:$I$237,6,0)),0%,VLOOKUP(A130,'Données projet'!$A$217:$I$237,6,0)*VLOOKUP('Données projet'!$B$16,Paramètres!$A$1:$I$88,7,0))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projet'!$B$16,Paramètres!$A$1:$I$88,3,0)*0.475*44/12</f>
        <v>#N/A</v>
      </c>
      <c r="FR130" s="23" t="e">
        <f>EXP(-LN(2)/25)*FR129+(1-EXP(-LN(2)/25))/(LN(2)/25)*Calculateur!FM130*Calculateur!FO130*VLOOKUP('Données projet'!$B$16,Paramètres!$A$1:$I$88,3,0)*0.475*44/12</f>
        <v>#N/A</v>
      </c>
      <c r="FS130" s="23" t="e">
        <f>EXP(-LN(2)/2)*FS129+(1-EXP(-LN(2)/2))/(LN(2)/2)*FM130*FP130*VLOOKUP('Données projet'!$B$16,Paramètres!$A$1:$I$88,3,0)*0.475*44/12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projet'!$B$17,Paramètres!$A$1:$I$88,3,0)*VLOOKUP('Données projet'!$B$17,Paramètres!$A$1:$I$88,5,0)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projet'!$B$17,Paramètres!$A$1:$I$88,7,0))</f>
        <v>0</v>
      </c>
      <c r="GJ130" s="17">
        <f>IF(ISNA(VLOOKUP(A130,'Données projet'!$A$243:$I$263,6,0)),0%,VLOOKUP(A130,'Données projet'!$A$243:$I$263,6,0)*VLOOKUP('Données projet'!$B$17,Paramètres!$A$1:$I$88,7,0))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projet'!$B$17,Paramètres!$A$1:$I$88,3,0)*0.475*44/12</f>
        <v>#N/A</v>
      </c>
      <c r="GM130" s="23" t="e">
        <f>EXP(-LN(2)/25)*GM129+(1-EXP(-LN(2)/25))/(LN(2)/25)*Calculateur!GH130*Calculateur!GJ130*VLOOKUP('Données projet'!$B$17,Paramètres!$A$1:$I$88,3,0)*0.475*44/12</f>
        <v>#N/A</v>
      </c>
      <c r="GN130" s="23" t="e">
        <f>EXP(-LN(2)/2)*GN129+(1-EXP(-LN(2)/2))/(LN(2)/2)*GH130*GK130*VLOOKUP('Données projet'!$B$17,Paramètres!$A$1:$I$88,3,0)*0.475*44/12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projet'!$B$18,Paramètres!$A$1:$I$88,3,0)*VLOOKUP('Données projet'!$B$18,Paramètres!$A$1:$I$88,5,0)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projet'!$B$18,Paramètres!$A$1:$I$88,7,0))</f>
        <v>0</v>
      </c>
      <c r="HE130" s="17">
        <f>IF(ISNA(VLOOKUP(A130,'Données projet'!$A$269:$I$289,6,0)),0%,VLOOKUP(A130,'Données projet'!$A$269:$I$289,6,0)*VLOOKUP('Données projet'!$B$18,Paramètres!$A$1:$I$88,7,0))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projet'!$B$18,Paramètres!$A$1:$I$88,3,0)*0.475*44/12</f>
        <v>#N/A</v>
      </c>
      <c r="HH130" s="23" t="e">
        <f>EXP(-LN(2)/25)*HH129+(1-EXP(-LN(2)/25))/(LN(2)/25)*Calculateur!HC130*Calculateur!HE130*VLOOKUP('Données projet'!$B$18,Paramètres!$A$1:$I$88,3,0)*0.475*44/12</f>
        <v>#N/A</v>
      </c>
      <c r="HI130" s="23" t="e">
        <f>EXP(-LN(2)/2)*HI129+(1-EXP(-LN(2)/2))/(LN(2)/2)*HC130*HF130*VLOOKUP('Données projet'!$B$18,Paramètres!$A$1:$I$88,3,0)*0.475*44/12</f>
        <v>#N/A</v>
      </c>
      <c r="HJ130" s="24" t="e">
        <f t="shared" si="84"/>
        <v>#N/A</v>
      </c>
    </row>
    <row r="131" spans="1:218" s="5" customFormat="1" x14ac:dyDescent="0.3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4.5474735088646412E-13</v>
      </c>
      <c r="O131" s="14">
        <f>N131*VLOOKUP('Données projet'!$B$9,Paramètres!$A$1:$I$88,3,0)*VLOOKUP('Données projet'!$B$9,Paramètres!$A$1:$I$88,5,0)</f>
        <v>2.5420376914553347E-13</v>
      </c>
      <c r="P131" s="14">
        <f t="shared" si="87"/>
        <v>3.4258699088369875E-12</v>
      </c>
      <c r="Q131" s="22">
        <f t="shared" ref="Q131:Q153" si="108">(O131+P131)*0.475*44/12</f>
        <v>6.4094616558195571E-12</v>
      </c>
      <c r="R131" s="62">
        <f t="shared" ref="R131:R194" si="109">Q131+(I131+J131)*44/12</f>
        <v>283.57463709857495</v>
      </c>
      <c r="S131" s="62">
        <f ca="1">AVERAGE(OFFSET($R$3,0,0,'Données projet'!$E$9+1,1))-AVERAGE(OFFSET($H$3,0,0,'Données projet'!$E$9+1,1))</f>
        <v>367.03450586441784</v>
      </c>
      <c r="T131" s="62">
        <f t="shared" si="88"/>
        <v>413.14502442862897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projet'!$B$9,Paramètres!$A$1:$I$88,7,0))</f>
        <v>0</v>
      </c>
      <c r="X131" s="17">
        <f>IF(ISNA(VLOOKUP(A131,'Données projet'!$A$35:$I$55,6,0)),0%,VLOOKUP(A131,'Données projet'!$A$35:$I$55,6,0)*VLOOKUP('Données projet'!$B$9,Paramètres!$A$1:$I$88,7,0))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projet'!$B$9,Paramètres!$A$1:$I$88,3,0)*0.475*44/12</f>
        <v>62.286100256154619</v>
      </c>
      <c r="AA131" s="23">
        <f>EXP(-LN(2)/25)*AA130+(1-EXP(-LN(2)/25))/(LN(2)/25)*Calculateur!V131*Calculateur!X131*VLOOKUP('Données projet'!$B$9,Paramètres!$A$1:$I$88,3,0)*0.475*44/12</f>
        <v>20.064624639516701</v>
      </c>
      <c r="AB131" s="23">
        <f>EXP(-LN(2)/2)*AB130+(1-EXP(-LN(2)/2))/(LN(2)/2)*V131*Y131*VLOOKUP('Données projet'!$B$9,Paramètres!$A$1:$I$88,3,0)*0.475*44/12</f>
        <v>0</v>
      </c>
      <c r="AC131" s="24">
        <f t="shared" si="57"/>
        <v>82.35072489567132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projet'!$B$10,Paramètres!$A$1:$I$88,3,0)*VLOOKUP('Données projet'!$B$10,Paramètres!$A$1:$I$88,5,0)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projet'!$B$10,Paramètres!$A$1:$I$88,7,0))</f>
        <v>0</v>
      </c>
      <c r="AS131" s="17">
        <f>IF(ISNA(VLOOKUP(A131,'Données projet'!$A$61:$I$81,6,0)),0%,VLOOKUP(A131,'Données projet'!$A$61:$I$81,6,0)*VLOOKUP('Données projet'!$B$10,Paramètres!$A$1:$I$88,7,0))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projet'!$B$10,Paramètres!$A$1:$I$88,3,0)*0.475*44/12</f>
        <v>#N/A</v>
      </c>
      <c r="AV131" s="23" t="e">
        <f>EXP(-LN(2)/25)*AV130+(1-EXP(-LN(2)/25))/(LN(2)/25)*Calculateur!AQ131*Calculateur!AS131*VLOOKUP('Données projet'!$B$10,Paramètres!$A$1:$I$88,3,0)*0.475*44/12</f>
        <v>#N/A</v>
      </c>
      <c r="AW131" s="23" t="e">
        <f>EXP(-LN(2)/2)*AW130+(1-EXP(-LN(2)/2))/(LN(2)/2)*AQ131*AT131*VLOOKUP('Données projet'!$B$10,Paramètres!$A$1:$I$88,3,0)*0.475*44/12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projet'!$B$11,Paramètres!$A$1:$I$88,3,0)*VLOOKUP('Données projet'!$B$11,Paramètres!$A$1:$I$88,5,0)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projet'!$B$11,Paramètres!$A$1:$I$88,7,0))</f>
        <v>0</v>
      </c>
      <c r="BN131" s="17">
        <f>IF(ISNA(VLOOKUP(A131,'Données projet'!$A$87:$I$107,6,0)),0%,VLOOKUP(A131,'Données projet'!$A$87:$I$107,6,0)*VLOOKUP('Données projet'!$B$11,Paramètres!$A$1:$I$88,7,0))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projet'!$B$11,Paramètres!$A$1:$I$88,3,0)*0.475*44/12</f>
        <v>#N/A</v>
      </c>
      <c r="BQ131" s="23" t="e">
        <f>EXP(-LN(2)/25)*BQ130+(1-EXP(-LN(2)/25))/(LN(2)/25)*Calculateur!BL131*Calculateur!BN131*VLOOKUP('Données projet'!$B$11,Paramètres!$A$1:$I$88,3,0)*0.475*44/12</f>
        <v>#N/A</v>
      </c>
      <c r="BR131" s="23" t="e">
        <f>EXP(-LN(2)/2)*BR130+(1-EXP(-LN(2)/2))/(LN(2)/2)*BL131*BO131*VLOOKUP('Données projet'!$B$11,Paramètres!$A$1:$I$88,3,0)*0.475*44/12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projet'!$B$12,Paramètres!$A$1:$I$88,3,0)*VLOOKUP('Données projet'!$B$12,Paramètres!$A$1:$I$88,5,0)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projet'!$B$12,Paramètres!$A$1:$I$88,7,0))</f>
        <v>0</v>
      </c>
      <c r="CI131" s="17">
        <f>IF(ISNA(VLOOKUP(A131,'Données projet'!$A$113:$I$133,6,0)),0%,VLOOKUP(A131,'Données projet'!$A$113:$I$133,6,0)*VLOOKUP('Données projet'!$B$12,Paramètres!$A$1:$I$88,7,0))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projet'!$B$12,Paramètres!$A$1:$I$88,3,0)*0.475*44/12</f>
        <v>#N/A</v>
      </c>
      <c r="CL131" s="23" t="e">
        <f>EXP(-LN(2)/25)*CL130+(1-EXP(-LN(2)/25))/(LN(2)/25)*Calculateur!CG131*Calculateur!CI131*VLOOKUP('Données projet'!$B$12,Paramètres!$A$1:$I$88,3,0)*0.475*44/12</f>
        <v>#N/A</v>
      </c>
      <c r="CM131" s="23" t="e">
        <f>EXP(-LN(2)/2)*CM130+(1-EXP(-LN(2)/2))/(LN(2)/2)*CG131*CJ131*VLOOKUP('Données projet'!$B$12,Paramètres!$A$1:$I$88,3,0)*0.475*44/12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projet'!$B$13,Paramètres!$A$1:$I$88,3,0)*VLOOKUP('Données projet'!$B$13,Paramètres!$A$1:$I$88,5,0)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projet'!$B$13,Paramètres!$A$1:$I$88,7,0))</f>
        <v>0</v>
      </c>
      <c r="DD131" s="17">
        <f>IF(ISNA(VLOOKUP(A131,'Données projet'!$A$139:$I$159,6,0)),0%,VLOOKUP(A131,'Données projet'!$A$139:$I$159,6,0)*VLOOKUP('Données projet'!$B$13,Paramètres!$A$1:$I$88,7,0))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projet'!$B$13,Paramètres!$A$1:$I$88,3,0)*0.475*44/12</f>
        <v>#N/A</v>
      </c>
      <c r="DG131" s="23" t="e">
        <f>EXP(-LN(2)/25)*DG130+(1-EXP(-LN(2)/25))/(LN(2)/25)*Calculateur!DB131*Calculateur!DD131*VLOOKUP('Données projet'!$B$13,Paramètres!$A$1:$I$88,3,0)*0.475*44/12</f>
        <v>#N/A</v>
      </c>
      <c r="DH131" s="23" t="e">
        <f>EXP(-LN(2)/2)*DH130+(1-EXP(-LN(2)/2))/(LN(2)/2)*DB131*DE131*VLOOKUP('Données projet'!$B$13,Paramètres!$A$1:$I$88,3,0)*0.475*44/12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projet'!$B$14,Paramètres!$A$1:$I$88,3,0)*VLOOKUP('Données projet'!$B$14,Paramètres!$A$1:$I$88,5,0)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projet'!$B$14,Paramètres!$A$1:$I$88,7,0))</f>
        <v>0</v>
      </c>
      <c r="DY131" s="17">
        <f>IF(ISNA(VLOOKUP(A131,'Données projet'!$A$165:$I$185,6,0)),0%,VLOOKUP(A131,'Données projet'!$A$165:$I$185,6,0)*VLOOKUP('Données projet'!$B$14,Paramètres!$A$1:$I$88,7,0))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projet'!$B$14,Paramètres!$A$1:$I$88,3,0)*0.475*44/12</f>
        <v>#N/A</v>
      </c>
      <c r="EB131" s="23" t="e">
        <f>EXP(-LN(2)/25)*EB130+(1-EXP(-LN(2)/25))/(LN(2)/25)*Calculateur!DW131*Calculateur!DY131*VLOOKUP('Données projet'!$B$14,Paramètres!$A$1:$I$88,3,0)*0.475*44/12</f>
        <v>#N/A</v>
      </c>
      <c r="EC131" s="23" t="e">
        <f>EXP(-LN(2)/2)*EC130+(1-EXP(-LN(2)/2))/(LN(2)/2)*DW131*DZ131*VLOOKUP('Données projet'!$B$14,Paramètres!$A$1:$I$88,3,0)*0.475*44/12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projet'!$B$15,Paramètres!$A$1:$I$88,3,0)*VLOOKUP('Données projet'!$B$15,Paramètres!$A$1:$I$88,5,0)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projet'!$B$15,Paramètres!$A$1:$I$88,7,0))</f>
        <v>0</v>
      </c>
      <c r="ET131" s="17">
        <f>IF(ISNA(VLOOKUP(A131,'Données projet'!$A$191:$I$211,6,0)),0%,VLOOKUP(A131,'Données projet'!$A$191:$I$211,6,0)*VLOOKUP('Données projet'!$B$15,Paramètres!$A$1:$I$88,7,0))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projet'!$B$15,Paramètres!$A$1:$I$88,3,0)*0.475*44/12</f>
        <v>#N/A</v>
      </c>
      <c r="EW131" s="23" t="e">
        <f>EXP(-LN(2)/25)*EW130+(1-EXP(-LN(2)/25))/(LN(2)/25)*Calculateur!ER131*Calculateur!ET131*VLOOKUP('Données projet'!$B$15,Paramètres!$A$1:$I$88,3,0)*0.475*44/12</f>
        <v>#N/A</v>
      </c>
      <c r="EX131" s="23" t="e">
        <f>EXP(-LN(2)/2)*EX130+(1-EXP(-LN(2)/2))/(LN(2)/2)*ER131*EU131*VLOOKUP('Données projet'!$B$15,Paramètres!$A$1:$I$88,3,0)*0.475*44/12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projet'!$B$16,Paramètres!$A$1:$I$88,3,0)*VLOOKUP('Données projet'!$B$16,Paramètres!$A$1:$I$88,5,0)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projet'!$B$16,Paramètres!$A$1:$I$88,7,0))</f>
        <v>0</v>
      </c>
      <c r="FO131" s="17">
        <f>IF(ISNA(VLOOKUP(A131,'Données projet'!$A$217:$I$237,6,0)),0%,VLOOKUP(A131,'Données projet'!$A$217:$I$237,6,0)*VLOOKUP('Données projet'!$B$16,Paramètres!$A$1:$I$88,7,0))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projet'!$B$16,Paramètres!$A$1:$I$88,3,0)*0.475*44/12</f>
        <v>#N/A</v>
      </c>
      <c r="FR131" s="23" t="e">
        <f>EXP(-LN(2)/25)*FR130+(1-EXP(-LN(2)/25))/(LN(2)/25)*Calculateur!FM131*Calculateur!FO131*VLOOKUP('Données projet'!$B$16,Paramètres!$A$1:$I$88,3,0)*0.475*44/12</f>
        <v>#N/A</v>
      </c>
      <c r="FS131" s="23" t="e">
        <f>EXP(-LN(2)/2)*FS130+(1-EXP(-LN(2)/2))/(LN(2)/2)*FM131*FP131*VLOOKUP('Données projet'!$B$16,Paramètres!$A$1:$I$88,3,0)*0.475*44/12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projet'!$B$17,Paramètres!$A$1:$I$88,3,0)*VLOOKUP('Données projet'!$B$17,Paramètres!$A$1:$I$88,5,0)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projet'!$B$17,Paramètres!$A$1:$I$88,7,0))</f>
        <v>0</v>
      </c>
      <c r="GJ131" s="17">
        <f>IF(ISNA(VLOOKUP(A131,'Données projet'!$A$243:$I$263,6,0)),0%,VLOOKUP(A131,'Données projet'!$A$243:$I$263,6,0)*VLOOKUP('Données projet'!$B$17,Paramètres!$A$1:$I$88,7,0))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projet'!$B$17,Paramètres!$A$1:$I$88,3,0)*0.475*44/12</f>
        <v>#N/A</v>
      </c>
      <c r="GM131" s="23" t="e">
        <f>EXP(-LN(2)/25)*GM130+(1-EXP(-LN(2)/25))/(LN(2)/25)*Calculateur!GH131*Calculateur!GJ131*VLOOKUP('Données projet'!$B$17,Paramètres!$A$1:$I$88,3,0)*0.475*44/12</f>
        <v>#N/A</v>
      </c>
      <c r="GN131" s="23" t="e">
        <f>EXP(-LN(2)/2)*GN130+(1-EXP(-LN(2)/2))/(LN(2)/2)*GH131*GK131*VLOOKUP('Données projet'!$B$17,Paramètres!$A$1:$I$88,3,0)*0.475*44/12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projet'!$B$18,Paramètres!$A$1:$I$88,3,0)*VLOOKUP('Données projet'!$B$18,Paramètres!$A$1:$I$88,5,0)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projet'!$B$18,Paramètres!$A$1:$I$88,7,0))</f>
        <v>0</v>
      </c>
      <c r="HE131" s="17">
        <f>IF(ISNA(VLOOKUP(A131,'Données projet'!$A$269:$I$289,6,0)),0%,VLOOKUP(A131,'Données projet'!$A$269:$I$289,6,0)*VLOOKUP('Données projet'!$B$18,Paramètres!$A$1:$I$88,7,0))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projet'!$B$18,Paramètres!$A$1:$I$88,3,0)*0.475*44/12</f>
        <v>#N/A</v>
      </c>
      <c r="HH131" s="23" t="e">
        <f>EXP(-LN(2)/25)*HH130+(1-EXP(-LN(2)/25))/(LN(2)/25)*Calculateur!HC131*Calculateur!HE131*VLOOKUP('Données projet'!$B$18,Paramètres!$A$1:$I$88,3,0)*0.475*44/12</f>
        <v>#N/A</v>
      </c>
      <c r="HI131" s="23" t="e">
        <f>EXP(-LN(2)/2)*HI130+(1-EXP(-LN(2)/2))/(LN(2)/2)*HC131*HF131*VLOOKUP('Données projet'!$B$18,Paramètres!$A$1:$I$88,3,0)*0.475*44/12</f>
        <v>#N/A</v>
      </c>
      <c r="HJ131" s="24" t="e">
        <f t="shared" si="84"/>
        <v>#N/A</v>
      </c>
    </row>
    <row r="132" spans="1:218" s="5" customFormat="1" x14ac:dyDescent="0.3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4.5474735088646412E-13</v>
      </c>
      <c r="O132" s="14">
        <f>N132*VLOOKUP('Données projet'!$B$9,Paramètres!$A$1:$I$88,3,0)*VLOOKUP('Données projet'!$B$9,Paramètres!$A$1:$I$88,5,0)</f>
        <v>2.5420376914553347E-13</v>
      </c>
      <c r="P132" s="14">
        <f t="shared" si="87"/>
        <v>3.4258699088369875E-12</v>
      </c>
      <c r="Q132" s="22">
        <f t="shared" si="108"/>
        <v>6.4094616558195571E-12</v>
      </c>
      <c r="R132" s="62">
        <f t="shared" si="109"/>
        <v>283.74392866107178</v>
      </c>
      <c r="S132" s="62">
        <f ca="1">AVERAGE(OFFSET($R$3,0,0,'Données projet'!$E$9+1,1))-AVERAGE(OFFSET($H$3,0,0,'Données projet'!$E$9+1,1))</f>
        <v>367.03450586441784</v>
      </c>
      <c r="T132" s="62">
        <f t="shared" si="88"/>
        <v>413.14502442862897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projet'!$B$9,Paramètres!$A$1:$I$88,7,0))</f>
        <v>0</v>
      </c>
      <c r="X132" s="17">
        <f>IF(ISNA(VLOOKUP(A132,'Données projet'!$A$35:$I$55,6,0)),0%,VLOOKUP(A132,'Données projet'!$A$35:$I$55,6,0)*VLOOKUP('Données projet'!$B$9,Paramètres!$A$1:$I$88,7,0))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projet'!$B$9,Paramètres!$A$1:$I$88,3,0)*0.475*44/12</f>
        <v>61.064707820901305</v>
      </c>
      <c r="AA132" s="23">
        <f>EXP(-LN(2)/25)*AA131+(1-EXP(-LN(2)/25))/(LN(2)/25)*Calculateur!V132*Calculateur!X132*VLOOKUP('Données projet'!$B$9,Paramètres!$A$1:$I$88,3,0)*0.475*44/12</f>
        <v>19.515956423596364</v>
      </c>
      <c r="AB132" s="23">
        <f>EXP(-LN(2)/2)*AB131+(1-EXP(-LN(2)/2))/(LN(2)/2)*V132*Y132*VLOOKUP('Données projet'!$B$9,Paramètres!$A$1:$I$88,3,0)*0.475*44/12</f>
        <v>0</v>
      </c>
      <c r="AC132" s="24">
        <f t="shared" ref="AC132:AC153" si="111">SUM(Z132:AB132)</f>
        <v>80.580664244497669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projet'!$B$10,Paramètres!$A$1:$I$88,3,0)*VLOOKUP('Données projet'!$B$10,Paramètres!$A$1:$I$88,5,0)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projet'!$B$10,Paramètres!$A$1:$I$88,7,0))</f>
        <v>0</v>
      </c>
      <c r="AS132" s="17">
        <f>IF(ISNA(VLOOKUP(A132,'Données projet'!$A$61:$I$81,6,0)),0%,VLOOKUP(A132,'Données projet'!$A$61:$I$81,6,0)*VLOOKUP('Données projet'!$B$10,Paramètres!$A$1:$I$88,7,0))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projet'!$B$10,Paramètres!$A$1:$I$88,3,0)*0.475*44/12</f>
        <v>#N/A</v>
      </c>
      <c r="AV132" s="23" t="e">
        <f>EXP(-LN(2)/25)*AV131+(1-EXP(-LN(2)/25))/(LN(2)/25)*Calculateur!AQ132*Calculateur!AS132*VLOOKUP('Données projet'!$B$10,Paramètres!$A$1:$I$88,3,0)*0.475*44/12</f>
        <v>#N/A</v>
      </c>
      <c r="AW132" s="23" t="e">
        <f>EXP(-LN(2)/2)*AW131+(1-EXP(-LN(2)/2))/(LN(2)/2)*AQ132*AT132*VLOOKUP('Données projet'!$B$10,Paramètres!$A$1:$I$88,3,0)*0.475*44/12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projet'!$B$11,Paramètres!$A$1:$I$88,3,0)*VLOOKUP('Données projet'!$B$11,Paramètres!$A$1:$I$88,5,0)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projet'!$B$11,Paramètres!$A$1:$I$88,7,0))</f>
        <v>0</v>
      </c>
      <c r="BN132" s="17">
        <f>IF(ISNA(VLOOKUP(A132,'Données projet'!$A$87:$I$107,6,0)),0%,VLOOKUP(A132,'Données projet'!$A$87:$I$107,6,0)*VLOOKUP('Données projet'!$B$11,Paramètres!$A$1:$I$88,7,0))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projet'!$B$11,Paramètres!$A$1:$I$88,3,0)*0.475*44/12</f>
        <v>#N/A</v>
      </c>
      <c r="BQ132" s="23" t="e">
        <f>EXP(-LN(2)/25)*BQ131+(1-EXP(-LN(2)/25))/(LN(2)/25)*Calculateur!BL132*Calculateur!BN132*VLOOKUP('Données projet'!$B$11,Paramètres!$A$1:$I$88,3,0)*0.475*44/12</f>
        <v>#N/A</v>
      </c>
      <c r="BR132" s="23" t="e">
        <f>EXP(-LN(2)/2)*BR131+(1-EXP(-LN(2)/2))/(LN(2)/2)*BL132*BO132*VLOOKUP('Données projet'!$B$11,Paramètres!$A$1:$I$88,3,0)*0.475*44/12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projet'!$B$12,Paramètres!$A$1:$I$88,3,0)*VLOOKUP('Données projet'!$B$12,Paramètres!$A$1:$I$88,5,0)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projet'!$B$12,Paramètres!$A$1:$I$88,7,0))</f>
        <v>0</v>
      </c>
      <c r="CI132" s="17">
        <f>IF(ISNA(VLOOKUP(A132,'Données projet'!$A$113:$I$133,6,0)),0%,VLOOKUP(A132,'Données projet'!$A$113:$I$133,6,0)*VLOOKUP('Données projet'!$B$12,Paramètres!$A$1:$I$88,7,0))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projet'!$B$12,Paramètres!$A$1:$I$88,3,0)*0.475*44/12</f>
        <v>#N/A</v>
      </c>
      <c r="CL132" s="23" t="e">
        <f>EXP(-LN(2)/25)*CL131+(1-EXP(-LN(2)/25))/(LN(2)/25)*Calculateur!CG132*Calculateur!CI132*VLOOKUP('Données projet'!$B$12,Paramètres!$A$1:$I$88,3,0)*0.475*44/12</f>
        <v>#N/A</v>
      </c>
      <c r="CM132" s="23" t="e">
        <f>EXP(-LN(2)/2)*CM131+(1-EXP(-LN(2)/2))/(LN(2)/2)*CG132*CJ132*VLOOKUP('Données projet'!$B$12,Paramètres!$A$1:$I$88,3,0)*0.475*44/12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projet'!$B$13,Paramètres!$A$1:$I$88,3,0)*VLOOKUP('Données projet'!$B$13,Paramètres!$A$1:$I$88,5,0)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projet'!$B$13,Paramètres!$A$1:$I$88,7,0))</f>
        <v>0</v>
      </c>
      <c r="DD132" s="17">
        <f>IF(ISNA(VLOOKUP(A132,'Données projet'!$A$139:$I$159,6,0)),0%,VLOOKUP(A132,'Données projet'!$A$139:$I$159,6,0)*VLOOKUP('Données projet'!$B$13,Paramètres!$A$1:$I$88,7,0))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projet'!$B$13,Paramètres!$A$1:$I$88,3,0)*0.475*44/12</f>
        <v>#N/A</v>
      </c>
      <c r="DG132" s="23" t="e">
        <f>EXP(-LN(2)/25)*DG131+(1-EXP(-LN(2)/25))/(LN(2)/25)*Calculateur!DB132*Calculateur!DD132*VLOOKUP('Données projet'!$B$13,Paramètres!$A$1:$I$88,3,0)*0.475*44/12</f>
        <v>#N/A</v>
      </c>
      <c r="DH132" s="23" t="e">
        <f>EXP(-LN(2)/2)*DH131+(1-EXP(-LN(2)/2))/(LN(2)/2)*DB132*DE132*VLOOKUP('Données projet'!$B$13,Paramètres!$A$1:$I$88,3,0)*0.475*44/12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projet'!$B$14,Paramètres!$A$1:$I$88,3,0)*VLOOKUP('Données projet'!$B$14,Paramètres!$A$1:$I$88,5,0)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projet'!$B$14,Paramètres!$A$1:$I$88,7,0))</f>
        <v>0</v>
      </c>
      <c r="DY132" s="17">
        <f>IF(ISNA(VLOOKUP(A132,'Données projet'!$A$165:$I$185,6,0)),0%,VLOOKUP(A132,'Données projet'!$A$165:$I$185,6,0)*VLOOKUP('Données projet'!$B$14,Paramètres!$A$1:$I$88,7,0))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projet'!$B$14,Paramètres!$A$1:$I$88,3,0)*0.475*44/12</f>
        <v>#N/A</v>
      </c>
      <c r="EB132" s="23" t="e">
        <f>EXP(-LN(2)/25)*EB131+(1-EXP(-LN(2)/25))/(LN(2)/25)*Calculateur!DW132*Calculateur!DY132*VLOOKUP('Données projet'!$B$14,Paramètres!$A$1:$I$88,3,0)*0.475*44/12</f>
        <v>#N/A</v>
      </c>
      <c r="EC132" s="23" t="e">
        <f>EXP(-LN(2)/2)*EC131+(1-EXP(-LN(2)/2))/(LN(2)/2)*DW132*DZ132*VLOOKUP('Données projet'!$B$14,Paramètres!$A$1:$I$88,3,0)*0.475*44/12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projet'!$B$15,Paramètres!$A$1:$I$88,3,0)*VLOOKUP('Données projet'!$B$15,Paramètres!$A$1:$I$88,5,0)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projet'!$B$15,Paramètres!$A$1:$I$88,7,0))</f>
        <v>0</v>
      </c>
      <c r="ET132" s="17">
        <f>IF(ISNA(VLOOKUP(A132,'Données projet'!$A$191:$I$211,6,0)),0%,VLOOKUP(A132,'Données projet'!$A$191:$I$211,6,0)*VLOOKUP('Données projet'!$B$15,Paramètres!$A$1:$I$88,7,0))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projet'!$B$15,Paramètres!$A$1:$I$88,3,0)*0.475*44/12</f>
        <v>#N/A</v>
      </c>
      <c r="EW132" s="23" t="e">
        <f>EXP(-LN(2)/25)*EW131+(1-EXP(-LN(2)/25))/(LN(2)/25)*Calculateur!ER132*Calculateur!ET132*VLOOKUP('Données projet'!$B$15,Paramètres!$A$1:$I$88,3,0)*0.475*44/12</f>
        <v>#N/A</v>
      </c>
      <c r="EX132" s="23" t="e">
        <f>EXP(-LN(2)/2)*EX131+(1-EXP(-LN(2)/2))/(LN(2)/2)*ER132*EU132*VLOOKUP('Données projet'!$B$15,Paramètres!$A$1:$I$88,3,0)*0.475*44/12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projet'!$B$16,Paramètres!$A$1:$I$88,3,0)*VLOOKUP('Données projet'!$B$16,Paramètres!$A$1:$I$88,5,0)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projet'!$B$16,Paramètres!$A$1:$I$88,7,0))</f>
        <v>0</v>
      </c>
      <c r="FO132" s="17">
        <f>IF(ISNA(VLOOKUP(A132,'Données projet'!$A$217:$I$237,6,0)),0%,VLOOKUP(A132,'Données projet'!$A$217:$I$237,6,0)*VLOOKUP('Données projet'!$B$16,Paramètres!$A$1:$I$88,7,0))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projet'!$B$16,Paramètres!$A$1:$I$88,3,0)*0.475*44/12</f>
        <v>#N/A</v>
      </c>
      <c r="FR132" s="23" t="e">
        <f>EXP(-LN(2)/25)*FR131+(1-EXP(-LN(2)/25))/(LN(2)/25)*Calculateur!FM132*Calculateur!FO132*VLOOKUP('Données projet'!$B$16,Paramètres!$A$1:$I$88,3,0)*0.475*44/12</f>
        <v>#N/A</v>
      </c>
      <c r="FS132" s="23" t="e">
        <f>EXP(-LN(2)/2)*FS131+(1-EXP(-LN(2)/2))/(LN(2)/2)*FM132*FP132*VLOOKUP('Données projet'!$B$16,Paramètres!$A$1:$I$88,3,0)*0.475*44/12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projet'!$B$17,Paramètres!$A$1:$I$88,3,0)*VLOOKUP('Données projet'!$B$17,Paramètres!$A$1:$I$88,5,0)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projet'!$B$17,Paramètres!$A$1:$I$88,7,0))</f>
        <v>0</v>
      </c>
      <c r="GJ132" s="17">
        <f>IF(ISNA(VLOOKUP(A132,'Données projet'!$A$243:$I$263,6,0)),0%,VLOOKUP(A132,'Données projet'!$A$243:$I$263,6,0)*VLOOKUP('Données projet'!$B$17,Paramètres!$A$1:$I$88,7,0))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projet'!$B$17,Paramètres!$A$1:$I$88,3,0)*0.475*44/12</f>
        <v>#N/A</v>
      </c>
      <c r="GM132" s="23" t="e">
        <f>EXP(-LN(2)/25)*GM131+(1-EXP(-LN(2)/25))/(LN(2)/25)*Calculateur!GH132*Calculateur!GJ132*VLOOKUP('Données projet'!$B$17,Paramètres!$A$1:$I$88,3,0)*0.475*44/12</f>
        <v>#N/A</v>
      </c>
      <c r="GN132" s="23" t="e">
        <f>EXP(-LN(2)/2)*GN131+(1-EXP(-LN(2)/2))/(LN(2)/2)*GH132*GK132*VLOOKUP('Données projet'!$B$17,Paramètres!$A$1:$I$88,3,0)*0.475*44/12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projet'!$B$18,Paramètres!$A$1:$I$88,3,0)*VLOOKUP('Données projet'!$B$18,Paramètres!$A$1:$I$88,5,0)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projet'!$B$18,Paramètres!$A$1:$I$88,7,0))</f>
        <v>0</v>
      </c>
      <c r="HE132" s="17">
        <f>IF(ISNA(VLOOKUP(A132,'Données projet'!$A$269:$I$289,6,0)),0%,VLOOKUP(A132,'Données projet'!$A$269:$I$289,6,0)*VLOOKUP('Données projet'!$B$18,Paramètres!$A$1:$I$88,7,0))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projet'!$B$18,Paramètres!$A$1:$I$88,3,0)*0.475*44/12</f>
        <v>#N/A</v>
      </c>
      <c r="HH132" s="23" t="e">
        <f>EXP(-LN(2)/25)*HH131+(1-EXP(-LN(2)/25))/(LN(2)/25)*Calculateur!HC132*Calculateur!HE132*VLOOKUP('Données projet'!$B$18,Paramètres!$A$1:$I$88,3,0)*0.475*44/12</f>
        <v>#N/A</v>
      </c>
      <c r="HI132" s="23" t="e">
        <f>EXP(-LN(2)/2)*HI131+(1-EXP(-LN(2)/2))/(LN(2)/2)*HC132*HF132*VLOOKUP('Données projet'!$B$18,Paramètres!$A$1:$I$88,3,0)*0.475*44/12</f>
        <v>#N/A</v>
      </c>
      <c r="HJ132" s="24" t="e">
        <f t="shared" ref="HJ132:HJ153" si="138">SUM(HG132:HI132)</f>
        <v>#N/A</v>
      </c>
    </row>
    <row r="133" spans="1:218" s="5" customFormat="1" x14ac:dyDescent="0.3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4.5474735088646412E-13</v>
      </c>
      <c r="O133" s="14">
        <f>N133*VLOOKUP('Données projet'!$B$9,Paramètres!$A$1:$I$88,3,0)*VLOOKUP('Données projet'!$B$9,Paramètres!$A$1:$I$88,5,0)</f>
        <v>2.5420376914553347E-13</v>
      </c>
      <c r="P133" s="14">
        <f t="shared" ref="P133:P196" si="141">EXP(-1.0587+0.8836*LN(O133)+0.284)</f>
        <v>3.4258699088369875E-12</v>
      </c>
      <c r="Q133" s="22">
        <f t="shared" si="108"/>
        <v>6.4094616558195571E-12</v>
      </c>
      <c r="R133" s="62">
        <f t="shared" si="109"/>
        <v>283.91028339343853</v>
      </c>
      <c r="S133" s="62">
        <f ca="1">AVERAGE(OFFSET($R$3,0,0,'Données projet'!$E$9+1,1))-AVERAGE(OFFSET($H$3,0,0,'Données projet'!$E$9+1,1))</f>
        <v>367.03450586441784</v>
      </c>
      <c r="T133" s="62">
        <f t="shared" ref="T133:T196" si="142">$T$3</f>
        <v>413.14502442862897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projet'!$B$9,Paramètres!$A$1:$I$88,7,0))</f>
        <v>0</v>
      </c>
      <c r="X133" s="17">
        <f>IF(ISNA(VLOOKUP(A133,'Données projet'!$A$35:$I$55,6,0)),0%,VLOOKUP(A133,'Données projet'!$A$35:$I$55,6,0)*VLOOKUP('Données projet'!$B$9,Paramètres!$A$1:$I$88,7,0))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projet'!$B$9,Paramètres!$A$1:$I$88,3,0)*0.475*44/12</f>
        <v>59.867266146327481</v>
      </c>
      <c r="AA133" s="23">
        <f>EXP(-LN(2)/25)*AA132+(1-EXP(-LN(2)/25))/(LN(2)/25)*Calculateur!V133*Calculateur!X133*VLOOKUP('Données projet'!$B$9,Paramètres!$A$1:$I$88,3,0)*0.475*44/12</f>
        <v>18.982291568893579</v>
      </c>
      <c r="AB133" s="23">
        <f>EXP(-LN(2)/2)*AB132+(1-EXP(-LN(2)/2))/(LN(2)/2)*V133*Y133*VLOOKUP('Données projet'!$B$9,Paramètres!$A$1:$I$88,3,0)*0.475*44/12</f>
        <v>0</v>
      </c>
      <c r="AC133" s="24">
        <f t="shared" si="111"/>
        <v>78.849557715221067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projet'!$B$10,Paramètres!$A$1:$I$88,3,0)*VLOOKUP('Données projet'!$B$10,Paramètres!$A$1:$I$88,5,0)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projet'!$B$10,Paramètres!$A$1:$I$88,7,0))</f>
        <v>0</v>
      </c>
      <c r="AS133" s="17">
        <f>IF(ISNA(VLOOKUP(A133,'Données projet'!$A$61:$I$81,6,0)),0%,VLOOKUP(A133,'Données projet'!$A$61:$I$81,6,0)*VLOOKUP('Données projet'!$B$10,Paramètres!$A$1:$I$88,7,0))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projet'!$B$10,Paramètres!$A$1:$I$88,3,0)*0.475*44/12</f>
        <v>#N/A</v>
      </c>
      <c r="AV133" s="23" t="e">
        <f>EXP(-LN(2)/25)*AV132+(1-EXP(-LN(2)/25))/(LN(2)/25)*Calculateur!AQ133*Calculateur!AS133*VLOOKUP('Données projet'!$B$10,Paramètres!$A$1:$I$88,3,0)*0.475*44/12</f>
        <v>#N/A</v>
      </c>
      <c r="AW133" s="23" t="e">
        <f>EXP(-LN(2)/2)*AW132+(1-EXP(-LN(2)/2))/(LN(2)/2)*AQ133*AT133*VLOOKUP('Données projet'!$B$10,Paramètres!$A$1:$I$88,3,0)*0.475*44/12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projet'!$B$11,Paramètres!$A$1:$I$88,3,0)*VLOOKUP('Données projet'!$B$11,Paramètres!$A$1:$I$88,5,0)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projet'!$B$11,Paramètres!$A$1:$I$88,7,0))</f>
        <v>0</v>
      </c>
      <c r="BN133" s="17">
        <f>IF(ISNA(VLOOKUP(A133,'Données projet'!$A$87:$I$107,6,0)),0%,VLOOKUP(A133,'Données projet'!$A$87:$I$107,6,0)*VLOOKUP('Données projet'!$B$11,Paramètres!$A$1:$I$88,7,0))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projet'!$B$11,Paramètres!$A$1:$I$88,3,0)*0.475*44/12</f>
        <v>#N/A</v>
      </c>
      <c r="BQ133" s="23" t="e">
        <f>EXP(-LN(2)/25)*BQ132+(1-EXP(-LN(2)/25))/(LN(2)/25)*Calculateur!BL133*Calculateur!BN133*VLOOKUP('Données projet'!$B$11,Paramètres!$A$1:$I$88,3,0)*0.475*44/12</f>
        <v>#N/A</v>
      </c>
      <c r="BR133" s="23" t="e">
        <f>EXP(-LN(2)/2)*BR132+(1-EXP(-LN(2)/2))/(LN(2)/2)*BL133*BO133*VLOOKUP('Données projet'!$B$11,Paramètres!$A$1:$I$88,3,0)*0.475*44/12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projet'!$B$12,Paramètres!$A$1:$I$88,3,0)*VLOOKUP('Données projet'!$B$12,Paramètres!$A$1:$I$88,5,0)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projet'!$B$12,Paramètres!$A$1:$I$88,7,0))</f>
        <v>0</v>
      </c>
      <c r="CI133" s="17">
        <f>IF(ISNA(VLOOKUP(A133,'Données projet'!$A$113:$I$133,6,0)),0%,VLOOKUP(A133,'Données projet'!$A$113:$I$133,6,0)*VLOOKUP('Données projet'!$B$12,Paramètres!$A$1:$I$88,7,0))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projet'!$B$12,Paramètres!$A$1:$I$88,3,0)*0.475*44/12</f>
        <v>#N/A</v>
      </c>
      <c r="CL133" s="23" t="e">
        <f>EXP(-LN(2)/25)*CL132+(1-EXP(-LN(2)/25))/(LN(2)/25)*Calculateur!CG133*Calculateur!CI133*VLOOKUP('Données projet'!$B$12,Paramètres!$A$1:$I$88,3,0)*0.475*44/12</f>
        <v>#N/A</v>
      </c>
      <c r="CM133" s="23" t="e">
        <f>EXP(-LN(2)/2)*CM132+(1-EXP(-LN(2)/2))/(LN(2)/2)*CG133*CJ133*VLOOKUP('Données projet'!$B$12,Paramètres!$A$1:$I$88,3,0)*0.475*44/12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projet'!$B$13,Paramètres!$A$1:$I$88,3,0)*VLOOKUP('Données projet'!$B$13,Paramètres!$A$1:$I$88,5,0)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projet'!$B$13,Paramètres!$A$1:$I$88,7,0))</f>
        <v>0</v>
      </c>
      <c r="DD133" s="17">
        <f>IF(ISNA(VLOOKUP(A133,'Données projet'!$A$139:$I$159,6,0)),0%,VLOOKUP(A133,'Données projet'!$A$139:$I$159,6,0)*VLOOKUP('Données projet'!$B$13,Paramètres!$A$1:$I$88,7,0))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projet'!$B$13,Paramètres!$A$1:$I$88,3,0)*0.475*44/12</f>
        <v>#N/A</v>
      </c>
      <c r="DG133" s="23" t="e">
        <f>EXP(-LN(2)/25)*DG132+(1-EXP(-LN(2)/25))/(LN(2)/25)*Calculateur!DB133*Calculateur!DD133*VLOOKUP('Données projet'!$B$13,Paramètres!$A$1:$I$88,3,0)*0.475*44/12</f>
        <v>#N/A</v>
      </c>
      <c r="DH133" s="23" t="e">
        <f>EXP(-LN(2)/2)*DH132+(1-EXP(-LN(2)/2))/(LN(2)/2)*DB133*DE133*VLOOKUP('Données projet'!$B$13,Paramètres!$A$1:$I$88,3,0)*0.475*44/12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projet'!$B$14,Paramètres!$A$1:$I$88,3,0)*VLOOKUP('Données projet'!$B$14,Paramètres!$A$1:$I$88,5,0)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projet'!$B$14,Paramètres!$A$1:$I$88,7,0))</f>
        <v>0</v>
      </c>
      <c r="DY133" s="17">
        <f>IF(ISNA(VLOOKUP(A133,'Données projet'!$A$165:$I$185,6,0)),0%,VLOOKUP(A133,'Données projet'!$A$165:$I$185,6,0)*VLOOKUP('Données projet'!$B$14,Paramètres!$A$1:$I$88,7,0))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projet'!$B$14,Paramètres!$A$1:$I$88,3,0)*0.475*44/12</f>
        <v>#N/A</v>
      </c>
      <c r="EB133" s="23" t="e">
        <f>EXP(-LN(2)/25)*EB132+(1-EXP(-LN(2)/25))/(LN(2)/25)*Calculateur!DW133*Calculateur!DY133*VLOOKUP('Données projet'!$B$14,Paramètres!$A$1:$I$88,3,0)*0.475*44/12</f>
        <v>#N/A</v>
      </c>
      <c r="EC133" s="23" t="e">
        <f>EXP(-LN(2)/2)*EC132+(1-EXP(-LN(2)/2))/(LN(2)/2)*DW133*DZ133*VLOOKUP('Données projet'!$B$14,Paramètres!$A$1:$I$88,3,0)*0.475*44/12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projet'!$B$15,Paramètres!$A$1:$I$88,3,0)*VLOOKUP('Données projet'!$B$15,Paramètres!$A$1:$I$88,5,0)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projet'!$B$15,Paramètres!$A$1:$I$88,7,0))</f>
        <v>0</v>
      </c>
      <c r="ET133" s="17">
        <f>IF(ISNA(VLOOKUP(A133,'Données projet'!$A$191:$I$211,6,0)),0%,VLOOKUP(A133,'Données projet'!$A$191:$I$211,6,0)*VLOOKUP('Données projet'!$B$15,Paramètres!$A$1:$I$88,7,0))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projet'!$B$15,Paramètres!$A$1:$I$88,3,0)*0.475*44/12</f>
        <v>#N/A</v>
      </c>
      <c r="EW133" s="23" t="e">
        <f>EXP(-LN(2)/25)*EW132+(1-EXP(-LN(2)/25))/(LN(2)/25)*Calculateur!ER133*Calculateur!ET133*VLOOKUP('Données projet'!$B$15,Paramètres!$A$1:$I$88,3,0)*0.475*44/12</f>
        <v>#N/A</v>
      </c>
      <c r="EX133" s="23" t="e">
        <f>EXP(-LN(2)/2)*EX132+(1-EXP(-LN(2)/2))/(LN(2)/2)*ER133*EU133*VLOOKUP('Données projet'!$B$15,Paramètres!$A$1:$I$88,3,0)*0.475*44/12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projet'!$B$16,Paramètres!$A$1:$I$88,3,0)*VLOOKUP('Données projet'!$B$16,Paramètres!$A$1:$I$88,5,0)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projet'!$B$16,Paramètres!$A$1:$I$88,7,0))</f>
        <v>0</v>
      </c>
      <c r="FO133" s="17">
        <f>IF(ISNA(VLOOKUP(A133,'Données projet'!$A$217:$I$237,6,0)),0%,VLOOKUP(A133,'Données projet'!$A$217:$I$237,6,0)*VLOOKUP('Données projet'!$B$16,Paramètres!$A$1:$I$88,7,0))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projet'!$B$16,Paramètres!$A$1:$I$88,3,0)*0.475*44/12</f>
        <v>#N/A</v>
      </c>
      <c r="FR133" s="23" t="e">
        <f>EXP(-LN(2)/25)*FR132+(1-EXP(-LN(2)/25))/(LN(2)/25)*Calculateur!FM133*Calculateur!FO133*VLOOKUP('Données projet'!$B$16,Paramètres!$A$1:$I$88,3,0)*0.475*44/12</f>
        <v>#N/A</v>
      </c>
      <c r="FS133" s="23" t="e">
        <f>EXP(-LN(2)/2)*FS132+(1-EXP(-LN(2)/2))/(LN(2)/2)*FM133*FP133*VLOOKUP('Données projet'!$B$16,Paramètres!$A$1:$I$88,3,0)*0.475*44/12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projet'!$B$17,Paramètres!$A$1:$I$88,3,0)*VLOOKUP('Données projet'!$B$17,Paramètres!$A$1:$I$88,5,0)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projet'!$B$17,Paramètres!$A$1:$I$88,7,0))</f>
        <v>0</v>
      </c>
      <c r="GJ133" s="17">
        <f>IF(ISNA(VLOOKUP(A133,'Données projet'!$A$243:$I$263,6,0)),0%,VLOOKUP(A133,'Données projet'!$A$243:$I$263,6,0)*VLOOKUP('Données projet'!$B$17,Paramètres!$A$1:$I$88,7,0))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projet'!$B$17,Paramètres!$A$1:$I$88,3,0)*0.475*44/12</f>
        <v>#N/A</v>
      </c>
      <c r="GM133" s="23" t="e">
        <f>EXP(-LN(2)/25)*GM132+(1-EXP(-LN(2)/25))/(LN(2)/25)*Calculateur!GH133*Calculateur!GJ133*VLOOKUP('Données projet'!$B$17,Paramètres!$A$1:$I$88,3,0)*0.475*44/12</f>
        <v>#N/A</v>
      </c>
      <c r="GN133" s="23" t="e">
        <f>EXP(-LN(2)/2)*GN132+(1-EXP(-LN(2)/2))/(LN(2)/2)*GH133*GK133*VLOOKUP('Données projet'!$B$17,Paramètres!$A$1:$I$88,3,0)*0.475*44/12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projet'!$B$18,Paramètres!$A$1:$I$88,3,0)*VLOOKUP('Données projet'!$B$18,Paramètres!$A$1:$I$88,5,0)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projet'!$B$18,Paramètres!$A$1:$I$88,7,0))</f>
        <v>0</v>
      </c>
      <c r="HE133" s="17">
        <f>IF(ISNA(VLOOKUP(A133,'Données projet'!$A$269:$I$289,6,0)),0%,VLOOKUP(A133,'Données projet'!$A$269:$I$289,6,0)*VLOOKUP('Données projet'!$B$18,Paramètres!$A$1:$I$88,7,0))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projet'!$B$18,Paramètres!$A$1:$I$88,3,0)*0.475*44/12</f>
        <v>#N/A</v>
      </c>
      <c r="HH133" s="23" t="e">
        <f>EXP(-LN(2)/25)*HH132+(1-EXP(-LN(2)/25))/(LN(2)/25)*Calculateur!HC133*Calculateur!HE133*VLOOKUP('Données projet'!$B$18,Paramètres!$A$1:$I$88,3,0)*0.475*44/12</f>
        <v>#N/A</v>
      </c>
      <c r="HI133" s="23" t="e">
        <f>EXP(-LN(2)/2)*HI132+(1-EXP(-LN(2)/2))/(LN(2)/2)*HC133*HF133*VLOOKUP('Données projet'!$B$18,Paramètres!$A$1:$I$88,3,0)*0.475*44/12</f>
        <v>#N/A</v>
      </c>
      <c r="HJ133" s="24" t="e">
        <f t="shared" si="138"/>
        <v>#N/A</v>
      </c>
    </row>
    <row r="134" spans="1:218" s="5" customFormat="1" x14ac:dyDescent="0.3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4.5474735088646412E-13</v>
      </c>
      <c r="O134" s="14">
        <f>N134*VLOOKUP('Données projet'!$B$9,Paramètres!$A$1:$I$88,3,0)*VLOOKUP('Données projet'!$B$9,Paramètres!$A$1:$I$88,5,0)</f>
        <v>2.5420376914553347E-13</v>
      </c>
      <c r="P134" s="14">
        <f t="shared" si="141"/>
        <v>3.4258699088369875E-12</v>
      </c>
      <c r="Q134" s="22">
        <f t="shared" si="108"/>
        <v>6.4094616558195571E-12</v>
      </c>
      <c r="R134" s="62">
        <f t="shared" si="109"/>
        <v>284.07375224311215</v>
      </c>
      <c r="S134" s="62">
        <f ca="1">AVERAGE(OFFSET($R$3,0,0,'Données projet'!$E$9+1,1))-AVERAGE(OFFSET($H$3,0,0,'Données projet'!$E$9+1,1))</f>
        <v>367.03450586441784</v>
      </c>
      <c r="T134" s="62">
        <f t="shared" si="142"/>
        <v>413.14502442862897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projet'!$B$9,Paramètres!$A$1:$I$88,7,0))</f>
        <v>0</v>
      </c>
      <c r="X134" s="17">
        <f>IF(ISNA(VLOOKUP(A134,'Données projet'!$A$35:$I$55,6,0)),0%,VLOOKUP(A134,'Données projet'!$A$35:$I$55,6,0)*VLOOKUP('Données projet'!$B$9,Paramètres!$A$1:$I$88,7,0))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projet'!$B$9,Paramètres!$A$1:$I$88,3,0)*0.475*44/12</f>
        <v>58.693305572624752</v>
      </c>
      <c r="AA134" s="23">
        <f>EXP(-LN(2)/25)*AA133+(1-EXP(-LN(2)/25))/(LN(2)/25)*Calculateur!V134*Calculateur!X134*VLOOKUP('Données projet'!$B$9,Paramètres!$A$1:$I$88,3,0)*0.475*44/12</f>
        <v>18.463219807706857</v>
      </c>
      <c r="AB134" s="23">
        <f>EXP(-LN(2)/2)*AB133+(1-EXP(-LN(2)/2))/(LN(2)/2)*V134*Y134*VLOOKUP('Données projet'!$B$9,Paramètres!$A$1:$I$88,3,0)*0.475*44/12</f>
        <v>0</v>
      </c>
      <c r="AC134" s="24">
        <f t="shared" si="111"/>
        <v>77.156525380331601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projet'!$B$10,Paramètres!$A$1:$I$88,3,0)*VLOOKUP('Données projet'!$B$10,Paramètres!$A$1:$I$88,5,0)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projet'!$B$10,Paramètres!$A$1:$I$88,7,0))</f>
        <v>0</v>
      </c>
      <c r="AS134" s="17">
        <f>IF(ISNA(VLOOKUP(A134,'Données projet'!$A$61:$I$81,6,0)),0%,VLOOKUP(A134,'Données projet'!$A$61:$I$81,6,0)*VLOOKUP('Données projet'!$B$10,Paramètres!$A$1:$I$88,7,0))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projet'!$B$10,Paramètres!$A$1:$I$88,3,0)*0.475*44/12</f>
        <v>#N/A</v>
      </c>
      <c r="AV134" s="23" t="e">
        <f>EXP(-LN(2)/25)*AV133+(1-EXP(-LN(2)/25))/(LN(2)/25)*Calculateur!AQ134*Calculateur!AS134*VLOOKUP('Données projet'!$B$10,Paramètres!$A$1:$I$88,3,0)*0.475*44/12</f>
        <v>#N/A</v>
      </c>
      <c r="AW134" s="23" t="e">
        <f>EXP(-LN(2)/2)*AW133+(1-EXP(-LN(2)/2))/(LN(2)/2)*AQ134*AT134*VLOOKUP('Données projet'!$B$10,Paramètres!$A$1:$I$88,3,0)*0.475*44/12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projet'!$B$11,Paramètres!$A$1:$I$88,3,0)*VLOOKUP('Données projet'!$B$11,Paramètres!$A$1:$I$88,5,0)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projet'!$B$11,Paramètres!$A$1:$I$88,7,0))</f>
        <v>0</v>
      </c>
      <c r="BN134" s="17">
        <f>IF(ISNA(VLOOKUP(A134,'Données projet'!$A$87:$I$107,6,0)),0%,VLOOKUP(A134,'Données projet'!$A$87:$I$107,6,0)*VLOOKUP('Données projet'!$B$11,Paramètres!$A$1:$I$88,7,0))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projet'!$B$11,Paramètres!$A$1:$I$88,3,0)*0.475*44/12</f>
        <v>#N/A</v>
      </c>
      <c r="BQ134" s="23" t="e">
        <f>EXP(-LN(2)/25)*BQ133+(1-EXP(-LN(2)/25))/(LN(2)/25)*Calculateur!BL134*Calculateur!BN134*VLOOKUP('Données projet'!$B$11,Paramètres!$A$1:$I$88,3,0)*0.475*44/12</f>
        <v>#N/A</v>
      </c>
      <c r="BR134" s="23" t="e">
        <f>EXP(-LN(2)/2)*BR133+(1-EXP(-LN(2)/2))/(LN(2)/2)*BL134*BO134*VLOOKUP('Données projet'!$B$11,Paramètres!$A$1:$I$88,3,0)*0.475*44/12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projet'!$B$12,Paramètres!$A$1:$I$88,3,0)*VLOOKUP('Données projet'!$B$12,Paramètres!$A$1:$I$88,5,0)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projet'!$B$12,Paramètres!$A$1:$I$88,7,0))</f>
        <v>0</v>
      </c>
      <c r="CI134" s="17">
        <f>IF(ISNA(VLOOKUP(A134,'Données projet'!$A$113:$I$133,6,0)),0%,VLOOKUP(A134,'Données projet'!$A$113:$I$133,6,0)*VLOOKUP('Données projet'!$B$12,Paramètres!$A$1:$I$88,7,0))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projet'!$B$12,Paramètres!$A$1:$I$88,3,0)*0.475*44/12</f>
        <v>#N/A</v>
      </c>
      <c r="CL134" s="23" t="e">
        <f>EXP(-LN(2)/25)*CL133+(1-EXP(-LN(2)/25))/(LN(2)/25)*Calculateur!CG134*Calculateur!CI134*VLOOKUP('Données projet'!$B$12,Paramètres!$A$1:$I$88,3,0)*0.475*44/12</f>
        <v>#N/A</v>
      </c>
      <c r="CM134" s="23" t="e">
        <f>EXP(-LN(2)/2)*CM133+(1-EXP(-LN(2)/2))/(LN(2)/2)*CG134*CJ134*VLOOKUP('Données projet'!$B$12,Paramètres!$A$1:$I$88,3,0)*0.475*44/12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projet'!$B$13,Paramètres!$A$1:$I$88,3,0)*VLOOKUP('Données projet'!$B$13,Paramètres!$A$1:$I$88,5,0)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projet'!$B$13,Paramètres!$A$1:$I$88,7,0))</f>
        <v>0</v>
      </c>
      <c r="DD134" s="17">
        <f>IF(ISNA(VLOOKUP(A134,'Données projet'!$A$139:$I$159,6,0)),0%,VLOOKUP(A134,'Données projet'!$A$139:$I$159,6,0)*VLOOKUP('Données projet'!$B$13,Paramètres!$A$1:$I$88,7,0))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projet'!$B$13,Paramètres!$A$1:$I$88,3,0)*0.475*44/12</f>
        <v>#N/A</v>
      </c>
      <c r="DG134" s="23" t="e">
        <f>EXP(-LN(2)/25)*DG133+(1-EXP(-LN(2)/25))/(LN(2)/25)*Calculateur!DB134*Calculateur!DD134*VLOOKUP('Données projet'!$B$13,Paramètres!$A$1:$I$88,3,0)*0.475*44/12</f>
        <v>#N/A</v>
      </c>
      <c r="DH134" s="23" t="e">
        <f>EXP(-LN(2)/2)*DH133+(1-EXP(-LN(2)/2))/(LN(2)/2)*DB134*DE134*VLOOKUP('Données projet'!$B$13,Paramètres!$A$1:$I$88,3,0)*0.475*44/12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projet'!$B$14,Paramètres!$A$1:$I$88,3,0)*VLOOKUP('Données projet'!$B$14,Paramètres!$A$1:$I$88,5,0)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projet'!$B$14,Paramètres!$A$1:$I$88,7,0))</f>
        <v>0</v>
      </c>
      <c r="DY134" s="17">
        <f>IF(ISNA(VLOOKUP(A134,'Données projet'!$A$165:$I$185,6,0)),0%,VLOOKUP(A134,'Données projet'!$A$165:$I$185,6,0)*VLOOKUP('Données projet'!$B$14,Paramètres!$A$1:$I$88,7,0))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projet'!$B$14,Paramètres!$A$1:$I$88,3,0)*0.475*44/12</f>
        <v>#N/A</v>
      </c>
      <c r="EB134" s="23" t="e">
        <f>EXP(-LN(2)/25)*EB133+(1-EXP(-LN(2)/25))/(LN(2)/25)*Calculateur!DW134*Calculateur!DY134*VLOOKUP('Données projet'!$B$14,Paramètres!$A$1:$I$88,3,0)*0.475*44/12</f>
        <v>#N/A</v>
      </c>
      <c r="EC134" s="23" t="e">
        <f>EXP(-LN(2)/2)*EC133+(1-EXP(-LN(2)/2))/(LN(2)/2)*DW134*DZ134*VLOOKUP('Données projet'!$B$14,Paramètres!$A$1:$I$88,3,0)*0.475*44/12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projet'!$B$15,Paramètres!$A$1:$I$88,3,0)*VLOOKUP('Données projet'!$B$15,Paramètres!$A$1:$I$88,5,0)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projet'!$B$15,Paramètres!$A$1:$I$88,7,0))</f>
        <v>0</v>
      </c>
      <c r="ET134" s="17">
        <f>IF(ISNA(VLOOKUP(A134,'Données projet'!$A$191:$I$211,6,0)),0%,VLOOKUP(A134,'Données projet'!$A$191:$I$211,6,0)*VLOOKUP('Données projet'!$B$15,Paramètres!$A$1:$I$88,7,0))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projet'!$B$15,Paramètres!$A$1:$I$88,3,0)*0.475*44/12</f>
        <v>#N/A</v>
      </c>
      <c r="EW134" s="23" t="e">
        <f>EXP(-LN(2)/25)*EW133+(1-EXP(-LN(2)/25))/(LN(2)/25)*Calculateur!ER134*Calculateur!ET134*VLOOKUP('Données projet'!$B$15,Paramètres!$A$1:$I$88,3,0)*0.475*44/12</f>
        <v>#N/A</v>
      </c>
      <c r="EX134" s="23" t="e">
        <f>EXP(-LN(2)/2)*EX133+(1-EXP(-LN(2)/2))/(LN(2)/2)*ER134*EU134*VLOOKUP('Données projet'!$B$15,Paramètres!$A$1:$I$88,3,0)*0.475*44/12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projet'!$B$16,Paramètres!$A$1:$I$88,3,0)*VLOOKUP('Données projet'!$B$16,Paramètres!$A$1:$I$88,5,0)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projet'!$B$16,Paramètres!$A$1:$I$88,7,0))</f>
        <v>0</v>
      </c>
      <c r="FO134" s="17">
        <f>IF(ISNA(VLOOKUP(A134,'Données projet'!$A$217:$I$237,6,0)),0%,VLOOKUP(A134,'Données projet'!$A$217:$I$237,6,0)*VLOOKUP('Données projet'!$B$16,Paramètres!$A$1:$I$88,7,0))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projet'!$B$16,Paramètres!$A$1:$I$88,3,0)*0.475*44/12</f>
        <v>#N/A</v>
      </c>
      <c r="FR134" s="23" t="e">
        <f>EXP(-LN(2)/25)*FR133+(1-EXP(-LN(2)/25))/(LN(2)/25)*Calculateur!FM134*Calculateur!FO134*VLOOKUP('Données projet'!$B$16,Paramètres!$A$1:$I$88,3,0)*0.475*44/12</f>
        <v>#N/A</v>
      </c>
      <c r="FS134" s="23" t="e">
        <f>EXP(-LN(2)/2)*FS133+(1-EXP(-LN(2)/2))/(LN(2)/2)*FM134*FP134*VLOOKUP('Données projet'!$B$16,Paramètres!$A$1:$I$88,3,0)*0.475*44/12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projet'!$B$17,Paramètres!$A$1:$I$88,3,0)*VLOOKUP('Données projet'!$B$17,Paramètres!$A$1:$I$88,5,0)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projet'!$B$17,Paramètres!$A$1:$I$88,7,0))</f>
        <v>0</v>
      </c>
      <c r="GJ134" s="17">
        <f>IF(ISNA(VLOOKUP(A134,'Données projet'!$A$243:$I$263,6,0)),0%,VLOOKUP(A134,'Données projet'!$A$243:$I$263,6,0)*VLOOKUP('Données projet'!$B$17,Paramètres!$A$1:$I$88,7,0))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projet'!$B$17,Paramètres!$A$1:$I$88,3,0)*0.475*44/12</f>
        <v>#N/A</v>
      </c>
      <c r="GM134" s="23" t="e">
        <f>EXP(-LN(2)/25)*GM133+(1-EXP(-LN(2)/25))/(LN(2)/25)*Calculateur!GH134*Calculateur!GJ134*VLOOKUP('Données projet'!$B$17,Paramètres!$A$1:$I$88,3,0)*0.475*44/12</f>
        <v>#N/A</v>
      </c>
      <c r="GN134" s="23" t="e">
        <f>EXP(-LN(2)/2)*GN133+(1-EXP(-LN(2)/2))/(LN(2)/2)*GH134*GK134*VLOOKUP('Données projet'!$B$17,Paramètres!$A$1:$I$88,3,0)*0.475*44/12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projet'!$B$18,Paramètres!$A$1:$I$88,3,0)*VLOOKUP('Données projet'!$B$18,Paramètres!$A$1:$I$88,5,0)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projet'!$B$18,Paramètres!$A$1:$I$88,7,0))</f>
        <v>0</v>
      </c>
      <c r="HE134" s="17">
        <f>IF(ISNA(VLOOKUP(A134,'Données projet'!$A$269:$I$289,6,0)),0%,VLOOKUP(A134,'Données projet'!$A$269:$I$289,6,0)*VLOOKUP('Données projet'!$B$18,Paramètres!$A$1:$I$88,7,0))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projet'!$B$18,Paramètres!$A$1:$I$88,3,0)*0.475*44/12</f>
        <v>#N/A</v>
      </c>
      <c r="HH134" s="23" t="e">
        <f>EXP(-LN(2)/25)*HH133+(1-EXP(-LN(2)/25))/(LN(2)/25)*Calculateur!HC134*Calculateur!HE134*VLOOKUP('Données projet'!$B$18,Paramètres!$A$1:$I$88,3,0)*0.475*44/12</f>
        <v>#N/A</v>
      </c>
      <c r="HI134" s="23" t="e">
        <f>EXP(-LN(2)/2)*HI133+(1-EXP(-LN(2)/2))/(LN(2)/2)*HC134*HF134*VLOOKUP('Données projet'!$B$18,Paramètres!$A$1:$I$88,3,0)*0.475*44/12</f>
        <v>#N/A</v>
      </c>
      <c r="HJ134" s="24" t="e">
        <f t="shared" si="138"/>
        <v>#N/A</v>
      </c>
    </row>
    <row r="135" spans="1:218" s="5" customFormat="1" x14ac:dyDescent="0.3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4.5474735088646412E-13</v>
      </c>
      <c r="O135" s="14">
        <f>N135*VLOOKUP('Données projet'!$B$9,Paramètres!$A$1:$I$88,3,0)*VLOOKUP('Données projet'!$B$9,Paramètres!$A$1:$I$88,5,0)</f>
        <v>2.5420376914553347E-13</v>
      </c>
      <c r="P135" s="14">
        <f t="shared" si="141"/>
        <v>3.4258699088369875E-12</v>
      </c>
      <c r="Q135" s="22">
        <f t="shared" si="108"/>
        <v>6.4094616558195571E-12</v>
      </c>
      <c r="R135" s="62">
        <f t="shared" si="109"/>
        <v>284.23438527370558</v>
      </c>
      <c r="S135" s="62">
        <f ca="1">AVERAGE(OFFSET($R$3,0,0,'Données projet'!$E$9+1,1))-AVERAGE(OFFSET($H$3,0,0,'Données projet'!$E$9+1,1))</f>
        <v>367.03450586441784</v>
      </c>
      <c r="T135" s="62">
        <f t="shared" si="142"/>
        <v>413.14502442862897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projet'!$B$9,Paramètres!$A$1:$I$88,7,0))</f>
        <v>0</v>
      </c>
      <c r="X135" s="17">
        <f>IF(ISNA(VLOOKUP(A135,'Données projet'!$A$35:$I$55,6,0)),0%,VLOOKUP(A135,'Données projet'!$A$35:$I$55,6,0)*VLOOKUP('Données projet'!$B$9,Paramètres!$A$1:$I$88,7,0))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projet'!$B$9,Paramètres!$A$1:$I$88,3,0)*0.475*44/12</f>
        <v>57.542365649727081</v>
      </c>
      <c r="AA135" s="23">
        <f>EXP(-LN(2)/25)*AA134+(1-EXP(-LN(2)/25))/(LN(2)/25)*Calculateur!V135*Calculateur!X135*VLOOKUP('Données projet'!$B$9,Paramètres!$A$1:$I$88,3,0)*0.475*44/12</f>
        <v>17.958342091126582</v>
      </c>
      <c r="AB135" s="23">
        <f>EXP(-LN(2)/2)*AB134+(1-EXP(-LN(2)/2))/(LN(2)/2)*V135*Y135*VLOOKUP('Données projet'!$B$9,Paramètres!$A$1:$I$88,3,0)*0.475*44/12</f>
        <v>0</v>
      </c>
      <c r="AC135" s="24">
        <f t="shared" si="111"/>
        <v>75.50070774085367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projet'!$B$10,Paramètres!$A$1:$I$88,3,0)*VLOOKUP('Données projet'!$B$10,Paramètres!$A$1:$I$88,5,0)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projet'!$B$10,Paramètres!$A$1:$I$88,7,0))</f>
        <v>0</v>
      </c>
      <c r="AS135" s="17">
        <f>IF(ISNA(VLOOKUP(A135,'Données projet'!$A$61:$I$81,6,0)),0%,VLOOKUP(A135,'Données projet'!$A$61:$I$81,6,0)*VLOOKUP('Données projet'!$B$10,Paramètres!$A$1:$I$88,7,0))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projet'!$B$10,Paramètres!$A$1:$I$88,3,0)*0.475*44/12</f>
        <v>#N/A</v>
      </c>
      <c r="AV135" s="23" t="e">
        <f>EXP(-LN(2)/25)*AV134+(1-EXP(-LN(2)/25))/(LN(2)/25)*Calculateur!AQ135*Calculateur!AS135*VLOOKUP('Données projet'!$B$10,Paramètres!$A$1:$I$88,3,0)*0.475*44/12</f>
        <v>#N/A</v>
      </c>
      <c r="AW135" s="23" t="e">
        <f>EXP(-LN(2)/2)*AW134+(1-EXP(-LN(2)/2))/(LN(2)/2)*AQ135*AT135*VLOOKUP('Données projet'!$B$10,Paramètres!$A$1:$I$88,3,0)*0.475*44/12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projet'!$B$11,Paramètres!$A$1:$I$88,3,0)*VLOOKUP('Données projet'!$B$11,Paramètres!$A$1:$I$88,5,0)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projet'!$B$11,Paramètres!$A$1:$I$88,7,0))</f>
        <v>0</v>
      </c>
      <c r="BN135" s="17">
        <f>IF(ISNA(VLOOKUP(A135,'Données projet'!$A$87:$I$107,6,0)),0%,VLOOKUP(A135,'Données projet'!$A$87:$I$107,6,0)*VLOOKUP('Données projet'!$B$11,Paramètres!$A$1:$I$88,7,0))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projet'!$B$11,Paramètres!$A$1:$I$88,3,0)*0.475*44/12</f>
        <v>#N/A</v>
      </c>
      <c r="BQ135" s="23" t="e">
        <f>EXP(-LN(2)/25)*BQ134+(1-EXP(-LN(2)/25))/(LN(2)/25)*Calculateur!BL135*Calculateur!BN135*VLOOKUP('Données projet'!$B$11,Paramètres!$A$1:$I$88,3,0)*0.475*44/12</f>
        <v>#N/A</v>
      </c>
      <c r="BR135" s="23" t="e">
        <f>EXP(-LN(2)/2)*BR134+(1-EXP(-LN(2)/2))/(LN(2)/2)*BL135*BO135*VLOOKUP('Données projet'!$B$11,Paramètres!$A$1:$I$88,3,0)*0.475*44/12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projet'!$B$12,Paramètres!$A$1:$I$88,3,0)*VLOOKUP('Données projet'!$B$12,Paramètres!$A$1:$I$88,5,0)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projet'!$B$12,Paramètres!$A$1:$I$88,7,0))</f>
        <v>0</v>
      </c>
      <c r="CI135" s="17">
        <f>IF(ISNA(VLOOKUP(A135,'Données projet'!$A$113:$I$133,6,0)),0%,VLOOKUP(A135,'Données projet'!$A$113:$I$133,6,0)*VLOOKUP('Données projet'!$B$12,Paramètres!$A$1:$I$88,7,0))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projet'!$B$12,Paramètres!$A$1:$I$88,3,0)*0.475*44/12</f>
        <v>#N/A</v>
      </c>
      <c r="CL135" s="23" t="e">
        <f>EXP(-LN(2)/25)*CL134+(1-EXP(-LN(2)/25))/(LN(2)/25)*Calculateur!CG135*Calculateur!CI135*VLOOKUP('Données projet'!$B$12,Paramètres!$A$1:$I$88,3,0)*0.475*44/12</f>
        <v>#N/A</v>
      </c>
      <c r="CM135" s="23" t="e">
        <f>EXP(-LN(2)/2)*CM134+(1-EXP(-LN(2)/2))/(LN(2)/2)*CG135*CJ135*VLOOKUP('Données projet'!$B$12,Paramètres!$A$1:$I$88,3,0)*0.475*44/12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projet'!$B$13,Paramètres!$A$1:$I$88,3,0)*VLOOKUP('Données projet'!$B$13,Paramètres!$A$1:$I$88,5,0)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projet'!$B$13,Paramètres!$A$1:$I$88,7,0))</f>
        <v>0</v>
      </c>
      <c r="DD135" s="17">
        <f>IF(ISNA(VLOOKUP(A135,'Données projet'!$A$139:$I$159,6,0)),0%,VLOOKUP(A135,'Données projet'!$A$139:$I$159,6,0)*VLOOKUP('Données projet'!$B$13,Paramètres!$A$1:$I$88,7,0))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projet'!$B$13,Paramètres!$A$1:$I$88,3,0)*0.475*44/12</f>
        <v>#N/A</v>
      </c>
      <c r="DG135" s="23" t="e">
        <f>EXP(-LN(2)/25)*DG134+(1-EXP(-LN(2)/25))/(LN(2)/25)*Calculateur!DB135*Calculateur!DD135*VLOOKUP('Données projet'!$B$13,Paramètres!$A$1:$I$88,3,0)*0.475*44/12</f>
        <v>#N/A</v>
      </c>
      <c r="DH135" s="23" t="e">
        <f>EXP(-LN(2)/2)*DH134+(1-EXP(-LN(2)/2))/(LN(2)/2)*DB135*DE135*VLOOKUP('Données projet'!$B$13,Paramètres!$A$1:$I$88,3,0)*0.475*44/12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projet'!$B$14,Paramètres!$A$1:$I$88,3,0)*VLOOKUP('Données projet'!$B$14,Paramètres!$A$1:$I$88,5,0)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projet'!$B$14,Paramètres!$A$1:$I$88,7,0))</f>
        <v>0</v>
      </c>
      <c r="DY135" s="17">
        <f>IF(ISNA(VLOOKUP(A135,'Données projet'!$A$165:$I$185,6,0)),0%,VLOOKUP(A135,'Données projet'!$A$165:$I$185,6,0)*VLOOKUP('Données projet'!$B$14,Paramètres!$A$1:$I$88,7,0))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projet'!$B$14,Paramètres!$A$1:$I$88,3,0)*0.475*44/12</f>
        <v>#N/A</v>
      </c>
      <c r="EB135" s="23" t="e">
        <f>EXP(-LN(2)/25)*EB134+(1-EXP(-LN(2)/25))/(LN(2)/25)*Calculateur!DW135*Calculateur!DY135*VLOOKUP('Données projet'!$B$14,Paramètres!$A$1:$I$88,3,0)*0.475*44/12</f>
        <v>#N/A</v>
      </c>
      <c r="EC135" s="23" t="e">
        <f>EXP(-LN(2)/2)*EC134+(1-EXP(-LN(2)/2))/(LN(2)/2)*DW135*DZ135*VLOOKUP('Données projet'!$B$14,Paramètres!$A$1:$I$88,3,0)*0.475*44/12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projet'!$B$15,Paramètres!$A$1:$I$88,3,0)*VLOOKUP('Données projet'!$B$15,Paramètres!$A$1:$I$88,5,0)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projet'!$B$15,Paramètres!$A$1:$I$88,7,0))</f>
        <v>0</v>
      </c>
      <c r="ET135" s="17">
        <f>IF(ISNA(VLOOKUP(A135,'Données projet'!$A$191:$I$211,6,0)),0%,VLOOKUP(A135,'Données projet'!$A$191:$I$211,6,0)*VLOOKUP('Données projet'!$B$15,Paramètres!$A$1:$I$88,7,0))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projet'!$B$15,Paramètres!$A$1:$I$88,3,0)*0.475*44/12</f>
        <v>#N/A</v>
      </c>
      <c r="EW135" s="23" t="e">
        <f>EXP(-LN(2)/25)*EW134+(1-EXP(-LN(2)/25))/(LN(2)/25)*Calculateur!ER135*Calculateur!ET135*VLOOKUP('Données projet'!$B$15,Paramètres!$A$1:$I$88,3,0)*0.475*44/12</f>
        <v>#N/A</v>
      </c>
      <c r="EX135" s="23" t="e">
        <f>EXP(-LN(2)/2)*EX134+(1-EXP(-LN(2)/2))/(LN(2)/2)*ER135*EU135*VLOOKUP('Données projet'!$B$15,Paramètres!$A$1:$I$88,3,0)*0.475*44/12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projet'!$B$16,Paramètres!$A$1:$I$88,3,0)*VLOOKUP('Données projet'!$B$16,Paramètres!$A$1:$I$88,5,0)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projet'!$B$16,Paramètres!$A$1:$I$88,7,0))</f>
        <v>0</v>
      </c>
      <c r="FO135" s="17">
        <f>IF(ISNA(VLOOKUP(A135,'Données projet'!$A$217:$I$237,6,0)),0%,VLOOKUP(A135,'Données projet'!$A$217:$I$237,6,0)*VLOOKUP('Données projet'!$B$16,Paramètres!$A$1:$I$88,7,0))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projet'!$B$16,Paramètres!$A$1:$I$88,3,0)*0.475*44/12</f>
        <v>#N/A</v>
      </c>
      <c r="FR135" s="23" t="e">
        <f>EXP(-LN(2)/25)*FR134+(1-EXP(-LN(2)/25))/(LN(2)/25)*Calculateur!FM135*Calculateur!FO135*VLOOKUP('Données projet'!$B$16,Paramètres!$A$1:$I$88,3,0)*0.475*44/12</f>
        <v>#N/A</v>
      </c>
      <c r="FS135" s="23" t="e">
        <f>EXP(-LN(2)/2)*FS134+(1-EXP(-LN(2)/2))/(LN(2)/2)*FM135*FP135*VLOOKUP('Données projet'!$B$16,Paramètres!$A$1:$I$88,3,0)*0.475*44/12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projet'!$B$17,Paramètres!$A$1:$I$88,3,0)*VLOOKUP('Données projet'!$B$17,Paramètres!$A$1:$I$88,5,0)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projet'!$B$17,Paramètres!$A$1:$I$88,7,0))</f>
        <v>0</v>
      </c>
      <c r="GJ135" s="17">
        <f>IF(ISNA(VLOOKUP(A135,'Données projet'!$A$243:$I$263,6,0)),0%,VLOOKUP(A135,'Données projet'!$A$243:$I$263,6,0)*VLOOKUP('Données projet'!$B$17,Paramètres!$A$1:$I$88,7,0))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projet'!$B$17,Paramètres!$A$1:$I$88,3,0)*0.475*44/12</f>
        <v>#N/A</v>
      </c>
      <c r="GM135" s="23" t="e">
        <f>EXP(-LN(2)/25)*GM134+(1-EXP(-LN(2)/25))/(LN(2)/25)*Calculateur!GH135*Calculateur!GJ135*VLOOKUP('Données projet'!$B$17,Paramètres!$A$1:$I$88,3,0)*0.475*44/12</f>
        <v>#N/A</v>
      </c>
      <c r="GN135" s="23" t="e">
        <f>EXP(-LN(2)/2)*GN134+(1-EXP(-LN(2)/2))/(LN(2)/2)*GH135*GK135*VLOOKUP('Données projet'!$B$17,Paramètres!$A$1:$I$88,3,0)*0.475*44/12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projet'!$B$18,Paramètres!$A$1:$I$88,3,0)*VLOOKUP('Données projet'!$B$18,Paramètres!$A$1:$I$88,5,0)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projet'!$B$18,Paramètres!$A$1:$I$88,7,0))</f>
        <v>0</v>
      </c>
      <c r="HE135" s="17">
        <f>IF(ISNA(VLOOKUP(A135,'Données projet'!$A$269:$I$289,6,0)),0%,VLOOKUP(A135,'Données projet'!$A$269:$I$289,6,0)*VLOOKUP('Données projet'!$B$18,Paramètres!$A$1:$I$88,7,0))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projet'!$B$18,Paramètres!$A$1:$I$88,3,0)*0.475*44/12</f>
        <v>#N/A</v>
      </c>
      <c r="HH135" s="23" t="e">
        <f>EXP(-LN(2)/25)*HH134+(1-EXP(-LN(2)/25))/(LN(2)/25)*Calculateur!HC135*Calculateur!HE135*VLOOKUP('Données projet'!$B$18,Paramètres!$A$1:$I$88,3,0)*0.475*44/12</f>
        <v>#N/A</v>
      </c>
      <c r="HI135" s="23" t="e">
        <f>EXP(-LN(2)/2)*HI134+(1-EXP(-LN(2)/2))/(LN(2)/2)*HC135*HF135*VLOOKUP('Données projet'!$B$18,Paramètres!$A$1:$I$88,3,0)*0.475*44/12</f>
        <v>#N/A</v>
      </c>
      <c r="HJ135" s="24" t="e">
        <f t="shared" si="138"/>
        <v>#N/A</v>
      </c>
    </row>
    <row r="136" spans="1:218" s="5" customFormat="1" x14ac:dyDescent="0.3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4.5474735088646412E-13</v>
      </c>
      <c r="O136" s="14">
        <f>N136*VLOOKUP('Données projet'!$B$9,Paramètres!$A$1:$I$88,3,0)*VLOOKUP('Données projet'!$B$9,Paramètres!$A$1:$I$88,5,0)</f>
        <v>2.5420376914553347E-13</v>
      </c>
      <c r="P136" s="14">
        <f t="shared" si="141"/>
        <v>3.4258699088369875E-12</v>
      </c>
      <c r="Q136" s="22">
        <f t="shared" si="108"/>
        <v>6.4094616558195571E-12</v>
      </c>
      <c r="R136" s="62">
        <f t="shared" si="109"/>
        <v>284.39223168033982</v>
      </c>
      <c r="S136" s="62">
        <f ca="1">AVERAGE(OFFSET($R$3,0,0,'Données projet'!$E$9+1,1))-AVERAGE(OFFSET($H$3,0,0,'Données projet'!$E$9+1,1))</f>
        <v>367.03450586441784</v>
      </c>
      <c r="T136" s="62">
        <f t="shared" si="142"/>
        <v>413.14502442862897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projet'!$B$9,Paramètres!$A$1:$I$88,7,0))</f>
        <v>0</v>
      </c>
      <c r="X136" s="17">
        <f>IF(ISNA(VLOOKUP(A136,'Données projet'!$A$35:$I$55,6,0)),0%,VLOOKUP(A136,'Données projet'!$A$35:$I$55,6,0)*VLOOKUP('Données projet'!$B$9,Paramètres!$A$1:$I$88,7,0))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projet'!$B$9,Paramètres!$A$1:$I$88,3,0)*0.475*44/12</f>
        <v>56.413994956713402</v>
      </c>
      <c r="AA136" s="23">
        <f>EXP(-LN(2)/25)*AA135+(1-EXP(-LN(2)/25))/(LN(2)/25)*Calculateur!V136*Calculateur!X136*VLOOKUP('Données projet'!$B$9,Paramètres!$A$1:$I$88,3,0)*0.475*44/12</f>
        <v>17.46727028225656</v>
      </c>
      <c r="AB136" s="23">
        <f>EXP(-LN(2)/2)*AB135+(1-EXP(-LN(2)/2))/(LN(2)/2)*V136*Y136*VLOOKUP('Données projet'!$B$9,Paramètres!$A$1:$I$88,3,0)*0.475*44/12</f>
        <v>0</v>
      </c>
      <c r="AC136" s="24">
        <f t="shared" si="111"/>
        <v>73.881265238969959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projet'!$B$10,Paramètres!$A$1:$I$88,3,0)*VLOOKUP('Données projet'!$B$10,Paramètres!$A$1:$I$88,5,0)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projet'!$B$10,Paramètres!$A$1:$I$88,7,0))</f>
        <v>0</v>
      </c>
      <c r="AS136" s="17">
        <f>IF(ISNA(VLOOKUP(A136,'Données projet'!$A$61:$I$81,6,0)),0%,VLOOKUP(A136,'Données projet'!$A$61:$I$81,6,0)*VLOOKUP('Données projet'!$B$10,Paramètres!$A$1:$I$88,7,0))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projet'!$B$10,Paramètres!$A$1:$I$88,3,0)*0.475*44/12</f>
        <v>#N/A</v>
      </c>
      <c r="AV136" s="23" t="e">
        <f>EXP(-LN(2)/25)*AV135+(1-EXP(-LN(2)/25))/(LN(2)/25)*Calculateur!AQ136*Calculateur!AS136*VLOOKUP('Données projet'!$B$10,Paramètres!$A$1:$I$88,3,0)*0.475*44/12</f>
        <v>#N/A</v>
      </c>
      <c r="AW136" s="23" t="e">
        <f>EXP(-LN(2)/2)*AW135+(1-EXP(-LN(2)/2))/(LN(2)/2)*AQ136*AT136*VLOOKUP('Données projet'!$B$10,Paramètres!$A$1:$I$88,3,0)*0.475*44/12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projet'!$B$11,Paramètres!$A$1:$I$88,3,0)*VLOOKUP('Données projet'!$B$11,Paramètres!$A$1:$I$88,5,0)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projet'!$B$11,Paramètres!$A$1:$I$88,7,0))</f>
        <v>0</v>
      </c>
      <c r="BN136" s="17">
        <f>IF(ISNA(VLOOKUP(A136,'Données projet'!$A$87:$I$107,6,0)),0%,VLOOKUP(A136,'Données projet'!$A$87:$I$107,6,0)*VLOOKUP('Données projet'!$B$11,Paramètres!$A$1:$I$88,7,0))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projet'!$B$11,Paramètres!$A$1:$I$88,3,0)*0.475*44/12</f>
        <v>#N/A</v>
      </c>
      <c r="BQ136" s="23" t="e">
        <f>EXP(-LN(2)/25)*BQ135+(1-EXP(-LN(2)/25))/(LN(2)/25)*Calculateur!BL136*Calculateur!BN136*VLOOKUP('Données projet'!$B$11,Paramètres!$A$1:$I$88,3,0)*0.475*44/12</f>
        <v>#N/A</v>
      </c>
      <c r="BR136" s="23" t="e">
        <f>EXP(-LN(2)/2)*BR135+(1-EXP(-LN(2)/2))/(LN(2)/2)*BL136*BO136*VLOOKUP('Données projet'!$B$11,Paramètres!$A$1:$I$88,3,0)*0.475*44/12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projet'!$B$12,Paramètres!$A$1:$I$88,3,0)*VLOOKUP('Données projet'!$B$12,Paramètres!$A$1:$I$88,5,0)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projet'!$B$12,Paramètres!$A$1:$I$88,7,0))</f>
        <v>0</v>
      </c>
      <c r="CI136" s="17">
        <f>IF(ISNA(VLOOKUP(A136,'Données projet'!$A$113:$I$133,6,0)),0%,VLOOKUP(A136,'Données projet'!$A$113:$I$133,6,0)*VLOOKUP('Données projet'!$B$12,Paramètres!$A$1:$I$88,7,0))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projet'!$B$12,Paramètres!$A$1:$I$88,3,0)*0.475*44/12</f>
        <v>#N/A</v>
      </c>
      <c r="CL136" s="23" t="e">
        <f>EXP(-LN(2)/25)*CL135+(1-EXP(-LN(2)/25))/(LN(2)/25)*Calculateur!CG136*Calculateur!CI136*VLOOKUP('Données projet'!$B$12,Paramètres!$A$1:$I$88,3,0)*0.475*44/12</f>
        <v>#N/A</v>
      </c>
      <c r="CM136" s="23" t="e">
        <f>EXP(-LN(2)/2)*CM135+(1-EXP(-LN(2)/2))/(LN(2)/2)*CG136*CJ136*VLOOKUP('Données projet'!$B$12,Paramètres!$A$1:$I$88,3,0)*0.475*44/12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projet'!$B$13,Paramètres!$A$1:$I$88,3,0)*VLOOKUP('Données projet'!$B$13,Paramètres!$A$1:$I$88,5,0)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projet'!$B$13,Paramètres!$A$1:$I$88,7,0))</f>
        <v>0</v>
      </c>
      <c r="DD136" s="17">
        <f>IF(ISNA(VLOOKUP(A136,'Données projet'!$A$139:$I$159,6,0)),0%,VLOOKUP(A136,'Données projet'!$A$139:$I$159,6,0)*VLOOKUP('Données projet'!$B$13,Paramètres!$A$1:$I$88,7,0))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projet'!$B$13,Paramètres!$A$1:$I$88,3,0)*0.475*44/12</f>
        <v>#N/A</v>
      </c>
      <c r="DG136" s="23" t="e">
        <f>EXP(-LN(2)/25)*DG135+(1-EXP(-LN(2)/25))/(LN(2)/25)*Calculateur!DB136*Calculateur!DD136*VLOOKUP('Données projet'!$B$13,Paramètres!$A$1:$I$88,3,0)*0.475*44/12</f>
        <v>#N/A</v>
      </c>
      <c r="DH136" s="23" t="e">
        <f>EXP(-LN(2)/2)*DH135+(1-EXP(-LN(2)/2))/(LN(2)/2)*DB136*DE136*VLOOKUP('Données projet'!$B$13,Paramètres!$A$1:$I$88,3,0)*0.475*44/12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projet'!$B$14,Paramètres!$A$1:$I$88,3,0)*VLOOKUP('Données projet'!$B$14,Paramètres!$A$1:$I$88,5,0)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projet'!$B$14,Paramètres!$A$1:$I$88,7,0))</f>
        <v>0</v>
      </c>
      <c r="DY136" s="17">
        <f>IF(ISNA(VLOOKUP(A136,'Données projet'!$A$165:$I$185,6,0)),0%,VLOOKUP(A136,'Données projet'!$A$165:$I$185,6,0)*VLOOKUP('Données projet'!$B$14,Paramètres!$A$1:$I$88,7,0))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projet'!$B$14,Paramètres!$A$1:$I$88,3,0)*0.475*44/12</f>
        <v>#N/A</v>
      </c>
      <c r="EB136" s="23" t="e">
        <f>EXP(-LN(2)/25)*EB135+(1-EXP(-LN(2)/25))/(LN(2)/25)*Calculateur!DW136*Calculateur!DY136*VLOOKUP('Données projet'!$B$14,Paramètres!$A$1:$I$88,3,0)*0.475*44/12</f>
        <v>#N/A</v>
      </c>
      <c r="EC136" s="23" t="e">
        <f>EXP(-LN(2)/2)*EC135+(1-EXP(-LN(2)/2))/(LN(2)/2)*DW136*DZ136*VLOOKUP('Données projet'!$B$14,Paramètres!$A$1:$I$88,3,0)*0.475*44/12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projet'!$B$15,Paramètres!$A$1:$I$88,3,0)*VLOOKUP('Données projet'!$B$15,Paramètres!$A$1:$I$88,5,0)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projet'!$B$15,Paramètres!$A$1:$I$88,7,0))</f>
        <v>0</v>
      </c>
      <c r="ET136" s="17">
        <f>IF(ISNA(VLOOKUP(A136,'Données projet'!$A$191:$I$211,6,0)),0%,VLOOKUP(A136,'Données projet'!$A$191:$I$211,6,0)*VLOOKUP('Données projet'!$B$15,Paramètres!$A$1:$I$88,7,0))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projet'!$B$15,Paramètres!$A$1:$I$88,3,0)*0.475*44/12</f>
        <v>#N/A</v>
      </c>
      <c r="EW136" s="23" t="e">
        <f>EXP(-LN(2)/25)*EW135+(1-EXP(-LN(2)/25))/(LN(2)/25)*Calculateur!ER136*Calculateur!ET136*VLOOKUP('Données projet'!$B$15,Paramètres!$A$1:$I$88,3,0)*0.475*44/12</f>
        <v>#N/A</v>
      </c>
      <c r="EX136" s="23" t="e">
        <f>EXP(-LN(2)/2)*EX135+(1-EXP(-LN(2)/2))/(LN(2)/2)*ER136*EU136*VLOOKUP('Données projet'!$B$15,Paramètres!$A$1:$I$88,3,0)*0.475*44/12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projet'!$B$16,Paramètres!$A$1:$I$88,3,0)*VLOOKUP('Données projet'!$B$16,Paramètres!$A$1:$I$88,5,0)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projet'!$B$16,Paramètres!$A$1:$I$88,7,0))</f>
        <v>0</v>
      </c>
      <c r="FO136" s="17">
        <f>IF(ISNA(VLOOKUP(A136,'Données projet'!$A$217:$I$237,6,0)),0%,VLOOKUP(A136,'Données projet'!$A$217:$I$237,6,0)*VLOOKUP('Données projet'!$B$16,Paramètres!$A$1:$I$88,7,0))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projet'!$B$16,Paramètres!$A$1:$I$88,3,0)*0.475*44/12</f>
        <v>#N/A</v>
      </c>
      <c r="FR136" s="23" t="e">
        <f>EXP(-LN(2)/25)*FR135+(1-EXP(-LN(2)/25))/(LN(2)/25)*Calculateur!FM136*Calculateur!FO136*VLOOKUP('Données projet'!$B$16,Paramètres!$A$1:$I$88,3,0)*0.475*44/12</f>
        <v>#N/A</v>
      </c>
      <c r="FS136" s="23" t="e">
        <f>EXP(-LN(2)/2)*FS135+(1-EXP(-LN(2)/2))/(LN(2)/2)*FM136*FP136*VLOOKUP('Données projet'!$B$16,Paramètres!$A$1:$I$88,3,0)*0.475*44/12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projet'!$B$17,Paramètres!$A$1:$I$88,3,0)*VLOOKUP('Données projet'!$B$17,Paramètres!$A$1:$I$88,5,0)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projet'!$B$17,Paramètres!$A$1:$I$88,7,0))</f>
        <v>0</v>
      </c>
      <c r="GJ136" s="17">
        <f>IF(ISNA(VLOOKUP(A136,'Données projet'!$A$243:$I$263,6,0)),0%,VLOOKUP(A136,'Données projet'!$A$243:$I$263,6,0)*VLOOKUP('Données projet'!$B$17,Paramètres!$A$1:$I$88,7,0))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projet'!$B$17,Paramètres!$A$1:$I$88,3,0)*0.475*44/12</f>
        <v>#N/A</v>
      </c>
      <c r="GM136" s="23" t="e">
        <f>EXP(-LN(2)/25)*GM135+(1-EXP(-LN(2)/25))/(LN(2)/25)*Calculateur!GH136*Calculateur!GJ136*VLOOKUP('Données projet'!$B$17,Paramètres!$A$1:$I$88,3,0)*0.475*44/12</f>
        <v>#N/A</v>
      </c>
      <c r="GN136" s="23" t="e">
        <f>EXP(-LN(2)/2)*GN135+(1-EXP(-LN(2)/2))/(LN(2)/2)*GH136*GK136*VLOOKUP('Données projet'!$B$17,Paramètres!$A$1:$I$88,3,0)*0.475*44/12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projet'!$B$18,Paramètres!$A$1:$I$88,3,0)*VLOOKUP('Données projet'!$B$18,Paramètres!$A$1:$I$88,5,0)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projet'!$B$18,Paramètres!$A$1:$I$88,7,0))</f>
        <v>0</v>
      </c>
      <c r="HE136" s="17">
        <f>IF(ISNA(VLOOKUP(A136,'Données projet'!$A$269:$I$289,6,0)),0%,VLOOKUP(A136,'Données projet'!$A$269:$I$289,6,0)*VLOOKUP('Données projet'!$B$18,Paramètres!$A$1:$I$88,7,0))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projet'!$B$18,Paramètres!$A$1:$I$88,3,0)*0.475*44/12</f>
        <v>#N/A</v>
      </c>
      <c r="HH136" s="23" t="e">
        <f>EXP(-LN(2)/25)*HH135+(1-EXP(-LN(2)/25))/(LN(2)/25)*Calculateur!HC136*Calculateur!HE136*VLOOKUP('Données projet'!$B$18,Paramètres!$A$1:$I$88,3,0)*0.475*44/12</f>
        <v>#N/A</v>
      </c>
      <c r="HI136" s="23" t="e">
        <f>EXP(-LN(2)/2)*HI135+(1-EXP(-LN(2)/2))/(LN(2)/2)*HC136*HF136*VLOOKUP('Données projet'!$B$18,Paramètres!$A$1:$I$88,3,0)*0.475*44/12</f>
        <v>#N/A</v>
      </c>
      <c r="HJ136" s="24" t="e">
        <f t="shared" si="138"/>
        <v>#N/A</v>
      </c>
    </row>
    <row r="137" spans="1:218" s="5" customFormat="1" x14ac:dyDescent="0.3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4.5474735088646412E-13</v>
      </c>
      <c r="O137" s="14">
        <f>N137*VLOOKUP('Données projet'!$B$9,Paramètres!$A$1:$I$88,3,0)*VLOOKUP('Données projet'!$B$9,Paramètres!$A$1:$I$88,5,0)</f>
        <v>2.5420376914553347E-13</v>
      </c>
      <c r="P137" s="14">
        <f t="shared" si="141"/>
        <v>3.4258699088369875E-12</v>
      </c>
      <c r="Q137" s="22">
        <f t="shared" si="108"/>
        <v>6.4094616558195571E-12</v>
      </c>
      <c r="R137" s="62">
        <f t="shared" si="109"/>
        <v>284.5473398047107</v>
      </c>
      <c r="S137" s="62">
        <f ca="1">AVERAGE(OFFSET($R$3,0,0,'Données projet'!$E$9+1,1))-AVERAGE(OFFSET($H$3,0,0,'Données projet'!$E$9+1,1))</f>
        <v>367.03450586441784</v>
      </c>
      <c r="T137" s="62">
        <f t="shared" si="142"/>
        <v>413.14502442862897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projet'!$B$9,Paramètres!$A$1:$I$88,7,0))</f>
        <v>0</v>
      </c>
      <c r="X137" s="17">
        <f>IF(ISNA(VLOOKUP(A137,'Données projet'!$A$35:$I$55,6,0)),0%,VLOOKUP(A137,'Données projet'!$A$35:$I$55,6,0)*VLOOKUP('Données projet'!$B$9,Paramètres!$A$1:$I$88,7,0))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projet'!$B$9,Paramètres!$A$1:$I$88,3,0)*0.475*44/12</f>
        <v>55.307750924751559</v>
      </c>
      <c r="AA137" s="23">
        <f>EXP(-LN(2)/25)*AA136+(1-EXP(-LN(2)/25))/(LN(2)/25)*Calculateur!V137*Calculateur!X137*VLOOKUP('Données projet'!$B$9,Paramètres!$A$1:$I$88,3,0)*0.475*44/12</f>
        <v>16.989626857824433</v>
      </c>
      <c r="AB137" s="23">
        <f>EXP(-LN(2)/2)*AB136+(1-EXP(-LN(2)/2))/(LN(2)/2)*V137*Y137*VLOOKUP('Données projet'!$B$9,Paramètres!$A$1:$I$88,3,0)*0.475*44/12</f>
        <v>0</v>
      </c>
      <c r="AC137" s="24">
        <f t="shared" si="111"/>
        <v>72.297377782575992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projet'!$B$10,Paramètres!$A$1:$I$88,3,0)*VLOOKUP('Données projet'!$B$10,Paramètres!$A$1:$I$88,5,0)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projet'!$B$10,Paramètres!$A$1:$I$88,7,0))</f>
        <v>0</v>
      </c>
      <c r="AS137" s="17">
        <f>IF(ISNA(VLOOKUP(A137,'Données projet'!$A$61:$I$81,6,0)),0%,VLOOKUP(A137,'Données projet'!$A$61:$I$81,6,0)*VLOOKUP('Données projet'!$B$10,Paramètres!$A$1:$I$88,7,0))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projet'!$B$10,Paramètres!$A$1:$I$88,3,0)*0.475*44/12</f>
        <v>#N/A</v>
      </c>
      <c r="AV137" s="23" t="e">
        <f>EXP(-LN(2)/25)*AV136+(1-EXP(-LN(2)/25))/(LN(2)/25)*Calculateur!AQ137*Calculateur!AS137*VLOOKUP('Données projet'!$B$10,Paramètres!$A$1:$I$88,3,0)*0.475*44/12</f>
        <v>#N/A</v>
      </c>
      <c r="AW137" s="23" t="e">
        <f>EXP(-LN(2)/2)*AW136+(1-EXP(-LN(2)/2))/(LN(2)/2)*AQ137*AT137*VLOOKUP('Données projet'!$B$10,Paramètres!$A$1:$I$88,3,0)*0.475*44/12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projet'!$B$11,Paramètres!$A$1:$I$88,3,0)*VLOOKUP('Données projet'!$B$11,Paramètres!$A$1:$I$88,5,0)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projet'!$B$11,Paramètres!$A$1:$I$88,7,0))</f>
        <v>0</v>
      </c>
      <c r="BN137" s="17">
        <f>IF(ISNA(VLOOKUP(A137,'Données projet'!$A$87:$I$107,6,0)),0%,VLOOKUP(A137,'Données projet'!$A$87:$I$107,6,0)*VLOOKUP('Données projet'!$B$11,Paramètres!$A$1:$I$88,7,0))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projet'!$B$11,Paramètres!$A$1:$I$88,3,0)*0.475*44/12</f>
        <v>#N/A</v>
      </c>
      <c r="BQ137" s="23" t="e">
        <f>EXP(-LN(2)/25)*BQ136+(1-EXP(-LN(2)/25))/(LN(2)/25)*Calculateur!BL137*Calculateur!BN137*VLOOKUP('Données projet'!$B$11,Paramètres!$A$1:$I$88,3,0)*0.475*44/12</f>
        <v>#N/A</v>
      </c>
      <c r="BR137" s="23" t="e">
        <f>EXP(-LN(2)/2)*BR136+(1-EXP(-LN(2)/2))/(LN(2)/2)*BL137*BO137*VLOOKUP('Données projet'!$B$11,Paramètres!$A$1:$I$88,3,0)*0.475*44/12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projet'!$B$12,Paramètres!$A$1:$I$88,3,0)*VLOOKUP('Données projet'!$B$12,Paramètres!$A$1:$I$88,5,0)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projet'!$B$12,Paramètres!$A$1:$I$88,7,0))</f>
        <v>0</v>
      </c>
      <c r="CI137" s="17">
        <f>IF(ISNA(VLOOKUP(A137,'Données projet'!$A$113:$I$133,6,0)),0%,VLOOKUP(A137,'Données projet'!$A$113:$I$133,6,0)*VLOOKUP('Données projet'!$B$12,Paramètres!$A$1:$I$88,7,0))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projet'!$B$12,Paramètres!$A$1:$I$88,3,0)*0.475*44/12</f>
        <v>#N/A</v>
      </c>
      <c r="CL137" s="23" t="e">
        <f>EXP(-LN(2)/25)*CL136+(1-EXP(-LN(2)/25))/(LN(2)/25)*Calculateur!CG137*Calculateur!CI137*VLOOKUP('Données projet'!$B$12,Paramètres!$A$1:$I$88,3,0)*0.475*44/12</f>
        <v>#N/A</v>
      </c>
      <c r="CM137" s="23" t="e">
        <f>EXP(-LN(2)/2)*CM136+(1-EXP(-LN(2)/2))/(LN(2)/2)*CG137*CJ137*VLOOKUP('Données projet'!$B$12,Paramètres!$A$1:$I$88,3,0)*0.475*44/12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projet'!$B$13,Paramètres!$A$1:$I$88,3,0)*VLOOKUP('Données projet'!$B$13,Paramètres!$A$1:$I$88,5,0)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projet'!$B$13,Paramètres!$A$1:$I$88,7,0))</f>
        <v>0</v>
      </c>
      <c r="DD137" s="17">
        <f>IF(ISNA(VLOOKUP(A137,'Données projet'!$A$139:$I$159,6,0)),0%,VLOOKUP(A137,'Données projet'!$A$139:$I$159,6,0)*VLOOKUP('Données projet'!$B$13,Paramètres!$A$1:$I$88,7,0))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projet'!$B$13,Paramètres!$A$1:$I$88,3,0)*0.475*44/12</f>
        <v>#N/A</v>
      </c>
      <c r="DG137" s="23" t="e">
        <f>EXP(-LN(2)/25)*DG136+(1-EXP(-LN(2)/25))/(LN(2)/25)*Calculateur!DB137*Calculateur!DD137*VLOOKUP('Données projet'!$B$13,Paramètres!$A$1:$I$88,3,0)*0.475*44/12</f>
        <v>#N/A</v>
      </c>
      <c r="DH137" s="23" t="e">
        <f>EXP(-LN(2)/2)*DH136+(1-EXP(-LN(2)/2))/(LN(2)/2)*DB137*DE137*VLOOKUP('Données projet'!$B$13,Paramètres!$A$1:$I$88,3,0)*0.475*44/12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projet'!$B$14,Paramètres!$A$1:$I$88,3,0)*VLOOKUP('Données projet'!$B$14,Paramètres!$A$1:$I$88,5,0)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projet'!$B$14,Paramètres!$A$1:$I$88,7,0))</f>
        <v>0</v>
      </c>
      <c r="DY137" s="17">
        <f>IF(ISNA(VLOOKUP(A137,'Données projet'!$A$165:$I$185,6,0)),0%,VLOOKUP(A137,'Données projet'!$A$165:$I$185,6,0)*VLOOKUP('Données projet'!$B$14,Paramètres!$A$1:$I$88,7,0))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projet'!$B$14,Paramètres!$A$1:$I$88,3,0)*0.475*44/12</f>
        <v>#N/A</v>
      </c>
      <c r="EB137" s="23" t="e">
        <f>EXP(-LN(2)/25)*EB136+(1-EXP(-LN(2)/25))/(LN(2)/25)*Calculateur!DW137*Calculateur!DY137*VLOOKUP('Données projet'!$B$14,Paramètres!$A$1:$I$88,3,0)*0.475*44/12</f>
        <v>#N/A</v>
      </c>
      <c r="EC137" s="23" t="e">
        <f>EXP(-LN(2)/2)*EC136+(1-EXP(-LN(2)/2))/(LN(2)/2)*DW137*DZ137*VLOOKUP('Données projet'!$B$14,Paramètres!$A$1:$I$88,3,0)*0.475*44/12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projet'!$B$15,Paramètres!$A$1:$I$88,3,0)*VLOOKUP('Données projet'!$B$15,Paramètres!$A$1:$I$88,5,0)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projet'!$B$15,Paramètres!$A$1:$I$88,7,0))</f>
        <v>0</v>
      </c>
      <c r="ET137" s="17">
        <f>IF(ISNA(VLOOKUP(A137,'Données projet'!$A$191:$I$211,6,0)),0%,VLOOKUP(A137,'Données projet'!$A$191:$I$211,6,0)*VLOOKUP('Données projet'!$B$15,Paramètres!$A$1:$I$88,7,0))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projet'!$B$15,Paramètres!$A$1:$I$88,3,0)*0.475*44/12</f>
        <v>#N/A</v>
      </c>
      <c r="EW137" s="23" t="e">
        <f>EXP(-LN(2)/25)*EW136+(1-EXP(-LN(2)/25))/(LN(2)/25)*Calculateur!ER137*Calculateur!ET137*VLOOKUP('Données projet'!$B$15,Paramètres!$A$1:$I$88,3,0)*0.475*44/12</f>
        <v>#N/A</v>
      </c>
      <c r="EX137" s="23" t="e">
        <f>EXP(-LN(2)/2)*EX136+(1-EXP(-LN(2)/2))/(LN(2)/2)*ER137*EU137*VLOOKUP('Données projet'!$B$15,Paramètres!$A$1:$I$88,3,0)*0.475*44/12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projet'!$B$16,Paramètres!$A$1:$I$88,3,0)*VLOOKUP('Données projet'!$B$16,Paramètres!$A$1:$I$88,5,0)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projet'!$B$16,Paramètres!$A$1:$I$88,7,0))</f>
        <v>0</v>
      </c>
      <c r="FO137" s="17">
        <f>IF(ISNA(VLOOKUP(A137,'Données projet'!$A$217:$I$237,6,0)),0%,VLOOKUP(A137,'Données projet'!$A$217:$I$237,6,0)*VLOOKUP('Données projet'!$B$16,Paramètres!$A$1:$I$88,7,0))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projet'!$B$16,Paramètres!$A$1:$I$88,3,0)*0.475*44/12</f>
        <v>#N/A</v>
      </c>
      <c r="FR137" s="23" t="e">
        <f>EXP(-LN(2)/25)*FR136+(1-EXP(-LN(2)/25))/(LN(2)/25)*Calculateur!FM137*Calculateur!FO137*VLOOKUP('Données projet'!$B$16,Paramètres!$A$1:$I$88,3,0)*0.475*44/12</f>
        <v>#N/A</v>
      </c>
      <c r="FS137" s="23" t="e">
        <f>EXP(-LN(2)/2)*FS136+(1-EXP(-LN(2)/2))/(LN(2)/2)*FM137*FP137*VLOOKUP('Données projet'!$B$16,Paramètres!$A$1:$I$88,3,0)*0.475*44/12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projet'!$B$17,Paramètres!$A$1:$I$88,3,0)*VLOOKUP('Données projet'!$B$17,Paramètres!$A$1:$I$88,5,0)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projet'!$B$17,Paramètres!$A$1:$I$88,7,0))</f>
        <v>0</v>
      </c>
      <c r="GJ137" s="17">
        <f>IF(ISNA(VLOOKUP(A137,'Données projet'!$A$243:$I$263,6,0)),0%,VLOOKUP(A137,'Données projet'!$A$243:$I$263,6,0)*VLOOKUP('Données projet'!$B$17,Paramètres!$A$1:$I$88,7,0))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projet'!$B$17,Paramètres!$A$1:$I$88,3,0)*0.475*44/12</f>
        <v>#N/A</v>
      </c>
      <c r="GM137" s="23" t="e">
        <f>EXP(-LN(2)/25)*GM136+(1-EXP(-LN(2)/25))/(LN(2)/25)*Calculateur!GH137*Calculateur!GJ137*VLOOKUP('Données projet'!$B$17,Paramètres!$A$1:$I$88,3,0)*0.475*44/12</f>
        <v>#N/A</v>
      </c>
      <c r="GN137" s="23" t="e">
        <f>EXP(-LN(2)/2)*GN136+(1-EXP(-LN(2)/2))/(LN(2)/2)*GH137*GK137*VLOOKUP('Données projet'!$B$17,Paramètres!$A$1:$I$88,3,0)*0.475*44/12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projet'!$B$18,Paramètres!$A$1:$I$88,3,0)*VLOOKUP('Données projet'!$B$18,Paramètres!$A$1:$I$88,5,0)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projet'!$B$18,Paramètres!$A$1:$I$88,7,0))</f>
        <v>0</v>
      </c>
      <c r="HE137" s="17">
        <f>IF(ISNA(VLOOKUP(A137,'Données projet'!$A$269:$I$289,6,0)),0%,VLOOKUP(A137,'Données projet'!$A$269:$I$289,6,0)*VLOOKUP('Données projet'!$B$18,Paramètres!$A$1:$I$88,7,0))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projet'!$B$18,Paramètres!$A$1:$I$88,3,0)*0.475*44/12</f>
        <v>#N/A</v>
      </c>
      <c r="HH137" s="23" t="e">
        <f>EXP(-LN(2)/25)*HH136+(1-EXP(-LN(2)/25))/(LN(2)/25)*Calculateur!HC137*Calculateur!HE137*VLOOKUP('Données projet'!$B$18,Paramètres!$A$1:$I$88,3,0)*0.475*44/12</f>
        <v>#N/A</v>
      </c>
      <c r="HI137" s="23" t="e">
        <f>EXP(-LN(2)/2)*HI136+(1-EXP(-LN(2)/2))/(LN(2)/2)*HC137*HF137*VLOOKUP('Données projet'!$B$18,Paramètres!$A$1:$I$88,3,0)*0.475*44/12</f>
        <v>#N/A</v>
      </c>
      <c r="HJ137" s="24" t="e">
        <f t="shared" si="138"/>
        <v>#N/A</v>
      </c>
    </row>
    <row r="138" spans="1:218" s="5" customFormat="1" x14ac:dyDescent="0.3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4.5474735088646412E-13</v>
      </c>
      <c r="O138" s="14">
        <f>N138*VLOOKUP('Données projet'!$B$9,Paramètres!$A$1:$I$88,3,0)*VLOOKUP('Données projet'!$B$9,Paramètres!$A$1:$I$88,5,0)</f>
        <v>2.5420376914553347E-13</v>
      </c>
      <c r="P138" s="14">
        <f t="shared" si="141"/>
        <v>3.4258699088369875E-12</v>
      </c>
      <c r="Q138" s="22">
        <f t="shared" si="108"/>
        <v>6.4094616558195571E-12</v>
      </c>
      <c r="R138" s="62">
        <f t="shared" si="109"/>
        <v>284.69975714989357</v>
      </c>
      <c r="S138" s="62">
        <f ca="1">AVERAGE(OFFSET($R$3,0,0,'Données projet'!$E$9+1,1))-AVERAGE(OFFSET($H$3,0,0,'Données projet'!$E$9+1,1))</f>
        <v>367.03450586441784</v>
      </c>
      <c r="T138" s="62">
        <f t="shared" si="142"/>
        <v>413.14502442862897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projet'!$B$9,Paramètres!$A$1:$I$88,7,0))</f>
        <v>0</v>
      </c>
      <c r="X138" s="17">
        <f>IF(ISNA(VLOOKUP(A138,'Données projet'!$A$35:$I$55,6,0)),0%,VLOOKUP(A138,'Données projet'!$A$35:$I$55,6,0)*VLOOKUP('Données projet'!$B$9,Paramètres!$A$1:$I$88,7,0))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projet'!$B$9,Paramètres!$A$1:$I$88,3,0)*0.475*44/12</f>
        <v>54.223199663514251</v>
      </c>
      <c r="AA138" s="23">
        <f>EXP(-LN(2)/25)*AA137+(1-EXP(-LN(2)/25))/(LN(2)/25)*Calculateur!V138*Calculateur!X138*VLOOKUP('Données projet'!$B$9,Paramètres!$A$1:$I$88,3,0)*0.475*44/12</f>
        <v>16.525044617951579</v>
      </c>
      <c r="AB138" s="23">
        <f>EXP(-LN(2)/2)*AB137+(1-EXP(-LN(2)/2))/(LN(2)/2)*V138*Y138*VLOOKUP('Données projet'!$B$9,Paramètres!$A$1:$I$88,3,0)*0.475*44/12</f>
        <v>0</v>
      </c>
      <c r="AC138" s="24">
        <f t="shared" si="111"/>
        <v>70.74824428146583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projet'!$B$10,Paramètres!$A$1:$I$88,3,0)*VLOOKUP('Données projet'!$B$10,Paramètres!$A$1:$I$88,5,0)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projet'!$B$10,Paramètres!$A$1:$I$88,7,0))</f>
        <v>0</v>
      </c>
      <c r="AS138" s="17">
        <f>IF(ISNA(VLOOKUP(A138,'Données projet'!$A$61:$I$81,6,0)),0%,VLOOKUP(A138,'Données projet'!$A$61:$I$81,6,0)*VLOOKUP('Données projet'!$B$10,Paramètres!$A$1:$I$88,7,0))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projet'!$B$10,Paramètres!$A$1:$I$88,3,0)*0.475*44/12</f>
        <v>#N/A</v>
      </c>
      <c r="AV138" s="23" t="e">
        <f>EXP(-LN(2)/25)*AV137+(1-EXP(-LN(2)/25))/(LN(2)/25)*Calculateur!AQ138*Calculateur!AS138*VLOOKUP('Données projet'!$B$10,Paramètres!$A$1:$I$88,3,0)*0.475*44/12</f>
        <v>#N/A</v>
      </c>
      <c r="AW138" s="23" t="e">
        <f>EXP(-LN(2)/2)*AW137+(1-EXP(-LN(2)/2))/(LN(2)/2)*AQ138*AT138*VLOOKUP('Données projet'!$B$10,Paramètres!$A$1:$I$88,3,0)*0.475*44/12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projet'!$B$11,Paramètres!$A$1:$I$88,3,0)*VLOOKUP('Données projet'!$B$11,Paramètres!$A$1:$I$88,5,0)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projet'!$B$11,Paramètres!$A$1:$I$88,7,0))</f>
        <v>0</v>
      </c>
      <c r="BN138" s="17">
        <f>IF(ISNA(VLOOKUP(A138,'Données projet'!$A$87:$I$107,6,0)),0%,VLOOKUP(A138,'Données projet'!$A$87:$I$107,6,0)*VLOOKUP('Données projet'!$B$11,Paramètres!$A$1:$I$88,7,0))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projet'!$B$11,Paramètres!$A$1:$I$88,3,0)*0.475*44/12</f>
        <v>#N/A</v>
      </c>
      <c r="BQ138" s="23" t="e">
        <f>EXP(-LN(2)/25)*BQ137+(1-EXP(-LN(2)/25))/(LN(2)/25)*Calculateur!BL138*Calculateur!BN138*VLOOKUP('Données projet'!$B$11,Paramètres!$A$1:$I$88,3,0)*0.475*44/12</f>
        <v>#N/A</v>
      </c>
      <c r="BR138" s="23" t="e">
        <f>EXP(-LN(2)/2)*BR137+(1-EXP(-LN(2)/2))/(LN(2)/2)*BL138*BO138*VLOOKUP('Données projet'!$B$11,Paramètres!$A$1:$I$88,3,0)*0.475*44/12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projet'!$B$12,Paramètres!$A$1:$I$88,3,0)*VLOOKUP('Données projet'!$B$12,Paramètres!$A$1:$I$88,5,0)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projet'!$B$12,Paramètres!$A$1:$I$88,7,0))</f>
        <v>0</v>
      </c>
      <c r="CI138" s="17">
        <f>IF(ISNA(VLOOKUP(A138,'Données projet'!$A$113:$I$133,6,0)),0%,VLOOKUP(A138,'Données projet'!$A$113:$I$133,6,0)*VLOOKUP('Données projet'!$B$12,Paramètres!$A$1:$I$88,7,0))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projet'!$B$12,Paramètres!$A$1:$I$88,3,0)*0.475*44/12</f>
        <v>#N/A</v>
      </c>
      <c r="CL138" s="23" t="e">
        <f>EXP(-LN(2)/25)*CL137+(1-EXP(-LN(2)/25))/(LN(2)/25)*Calculateur!CG138*Calculateur!CI138*VLOOKUP('Données projet'!$B$12,Paramètres!$A$1:$I$88,3,0)*0.475*44/12</f>
        <v>#N/A</v>
      </c>
      <c r="CM138" s="23" t="e">
        <f>EXP(-LN(2)/2)*CM137+(1-EXP(-LN(2)/2))/(LN(2)/2)*CG138*CJ138*VLOOKUP('Données projet'!$B$12,Paramètres!$A$1:$I$88,3,0)*0.475*44/12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projet'!$B$13,Paramètres!$A$1:$I$88,3,0)*VLOOKUP('Données projet'!$B$13,Paramètres!$A$1:$I$88,5,0)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projet'!$B$13,Paramètres!$A$1:$I$88,7,0))</f>
        <v>0</v>
      </c>
      <c r="DD138" s="17">
        <f>IF(ISNA(VLOOKUP(A138,'Données projet'!$A$139:$I$159,6,0)),0%,VLOOKUP(A138,'Données projet'!$A$139:$I$159,6,0)*VLOOKUP('Données projet'!$B$13,Paramètres!$A$1:$I$88,7,0))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projet'!$B$13,Paramètres!$A$1:$I$88,3,0)*0.475*44/12</f>
        <v>#N/A</v>
      </c>
      <c r="DG138" s="23" t="e">
        <f>EXP(-LN(2)/25)*DG137+(1-EXP(-LN(2)/25))/(LN(2)/25)*Calculateur!DB138*Calculateur!DD138*VLOOKUP('Données projet'!$B$13,Paramètres!$A$1:$I$88,3,0)*0.475*44/12</f>
        <v>#N/A</v>
      </c>
      <c r="DH138" s="23" t="e">
        <f>EXP(-LN(2)/2)*DH137+(1-EXP(-LN(2)/2))/(LN(2)/2)*DB138*DE138*VLOOKUP('Données projet'!$B$13,Paramètres!$A$1:$I$88,3,0)*0.475*44/12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projet'!$B$14,Paramètres!$A$1:$I$88,3,0)*VLOOKUP('Données projet'!$B$14,Paramètres!$A$1:$I$88,5,0)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projet'!$B$14,Paramètres!$A$1:$I$88,7,0))</f>
        <v>0</v>
      </c>
      <c r="DY138" s="17">
        <f>IF(ISNA(VLOOKUP(A138,'Données projet'!$A$165:$I$185,6,0)),0%,VLOOKUP(A138,'Données projet'!$A$165:$I$185,6,0)*VLOOKUP('Données projet'!$B$14,Paramètres!$A$1:$I$88,7,0))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projet'!$B$14,Paramètres!$A$1:$I$88,3,0)*0.475*44/12</f>
        <v>#N/A</v>
      </c>
      <c r="EB138" s="23" t="e">
        <f>EXP(-LN(2)/25)*EB137+(1-EXP(-LN(2)/25))/(LN(2)/25)*Calculateur!DW138*Calculateur!DY138*VLOOKUP('Données projet'!$B$14,Paramètres!$A$1:$I$88,3,0)*0.475*44/12</f>
        <v>#N/A</v>
      </c>
      <c r="EC138" s="23" t="e">
        <f>EXP(-LN(2)/2)*EC137+(1-EXP(-LN(2)/2))/(LN(2)/2)*DW138*DZ138*VLOOKUP('Données projet'!$B$14,Paramètres!$A$1:$I$88,3,0)*0.475*44/12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projet'!$B$15,Paramètres!$A$1:$I$88,3,0)*VLOOKUP('Données projet'!$B$15,Paramètres!$A$1:$I$88,5,0)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projet'!$B$15,Paramètres!$A$1:$I$88,7,0))</f>
        <v>0</v>
      </c>
      <c r="ET138" s="17">
        <f>IF(ISNA(VLOOKUP(A138,'Données projet'!$A$191:$I$211,6,0)),0%,VLOOKUP(A138,'Données projet'!$A$191:$I$211,6,0)*VLOOKUP('Données projet'!$B$15,Paramètres!$A$1:$I$88,7,0))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projet'!$B$15,Paramètres!$A$1:$I$88,3,0)*0.475*44/12</f>
        <v>#N/A</v>
      </c>
      <c r="EW138" s="23" t="e">
        <f>EXP(-LN(2)/25)*EW137+(1-EXP(-LN(2)/25))/(LN(2)/25)*Calculateur!ER138*Calculateur!ET138*VLOOKUP('Données projet'!$B$15,Paramètres!$A$1:$I$88,3,0)*0.475*44/12</f>
        <v>#N/A</v>
      </c>
      <c r="EX138" s="23" t="e">
        <f>EXP(-LN(2)/2)*EX137+(1-EXP(-LN(2)/2))/(LN(2)/2)*ER138*EU138*VLOOKUP('Données projet'!$B$15,Paramètres!$A$1:$I$88,3,0)*0.475*44/12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projet'!$B$16,Paramètres!$A$1:$I$88,3,0)*VLOOKUP('Données projet'!$B$16,Paramètres!$A$1:$I$88,5,0)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projet'!$B$16,Paramètres!$A$1:$I$88,7,0))</f>
        <v>0</v>
      </c>
      <c r="FO138" s="17">
        <f>IF(ISNA(VLOOKUP(A138,'Données projet'!$A$217:$I$237,6,0)),0%,VLOOKUP(A138,'Données projet'!$A$217:$I$237,6,0)*VLOOKUP('Données projet'!$B$16,Paramètres!$A$1:$I$88,7,0))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projet'!$B$16,Paramètres!$A$1:$I$88,3,0)*0.475*44/12</f>
        <v>#N/A</v>
      </c>
      <c r="FR138" s="23" t="e">
        <f>EXP(-LN(2)/25)*FR137+(1-EXP(-LN(2)/25))/(LN(2)/25)*Calculateur!FM138*Calculateur!FO138*VLOOKUP('Données projet'!$B$16,Paramètres!$A$1:$I$88,3,0)*0.475*44/12</f>
        <v>#N/A</v>
      </c>
      <c r="FS138" s="23" t="e">
        <f>EXP(-LN(2)/2)*FS137+(1-EXP(-LN(2)/2))/(LN(2)/2)*FM138*FP138*VLOOKUP('Données projet'!$B$16,Paramètres!$A$1:$I$88,3,0)*0.475*44/12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projet'!$B$17,Paramètres!$A$1:$I$88,3,0)*VLOOKUP('Données projet'!$B$17,Paramètres!$A$1:$I$88,5,0)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projet'!$B$17,Paramètres!$A$1:$I$88,7,0))</f>
        <v>0</v>
      </c>
      <c r="GJ138" s="17">
        <f>IF(ISNA(VLOOKUP(A138,'Données projet'!$A$243:$I$263,6,0)),0%,VLOOKUP(A138,'Données projet'!$A$243:$I$263,6,0)*VLOOKUP('Données projet'!$B$17,Paramètres!$A$1:$I$88,7,0))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projet'!$B$17,Paramètres!$A$1:$I$88,3,0)*0.475*44/12</f>
        <v>#N/A</v>
      </c>
      <c r="GM138" s="23" t="e">
        <f>EXP(-LN(2)/25)*GM137+(1-EXP(-LN(2)/25))/(LN(2)/25)*Calculateur!GH138*Calculateur!GJ138*VLOOKUP('Données projet'!$B$17,Paramètres!$A$1:$I$88,3,0)*0.475*44/12</f>
        <v>#N/A</v>
      </c>
      <c r="GN138" s="23" t="e">
        <f>EXP(-LN(2)/2)*GN137+(1-EXP(-LN(2)/2))/(LN(2)/2)*GH138*GK138*VLOOKUP('Données projet'!$B$17,Paramètres!$A$1:$I$88,3,0)*0.475*44/12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projet'!$B$18,Paramètres!$A$1:$I$88,3,0)*VLOOKUP('Données projet'!$B$18,Paramètres!$A$1:$I$88,5,0)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projet'!$B$18,Paramètres!$A$1:$I$88,7,0))</f>
        <v>0</v>
      </c>
      <c r="HE138" s="17">
        <f>IF(ISNA(VLOOKUP(A138,'Données projet'!$A$269:$I$289,6,0)),0%,VLOOKUP(A138,'Données projet'!$A$269:$I$289,6,0)*VLOOKUP('Données projet'!$B$18,Paramètres!$A$1:$I$88,7,0))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projet'!$B$18,Paramètres!$A$1:$I$88,3,0)*0.475*44/12</f>
        <v>#N/A</v>
      </c>
      <c r="HH138" s="23" t="e">
        <f>EXP(-LN(2)/25)*HH137+(1-EXP(-LN(2)/25))/(LN(2)/25)*Calculateur!HC138*Calculateur!HE138*VLOOKUP('Données projet'!$B$18,Paramètres!$A$1:$I$88,3,0)*0.475*44/12</f>
        <v>#N/A</v>
      </c>
      <c r="HI138" s="23" t="e">
        <f>EXP(-LN(2)/2)*HI137+(1-EXP(-LN(2)/2))/(LN(2)/2)*HC138*HF138*VLOOKUP('Données projet'!$B$18,Paramètres!$A$1:$I$88,3,0)*0.475*44/12</f>
        <v>#N/A</v>
      </c>
      <c r="HJ138" s="24" t="e">
        <f t="shared" si="138"/>
        <v>#N/A</v>
      </c>
    </row>
    <row r="139" spans="1:218" s="5" customFormat="1" x14ac:dyDescent="0.3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4.5474735088646412E-13</v>
      </c>
      <c r="O139" s="14">
        <f>N139*VLOOKUP('Données projet'!$B$9,Paramètres!$A$1:$I$88,3,0)*VLOOKUP('Données projet'!$B$9,Paramètres!$A$1:$I$88,5,0)</f>
        <v>2.5420376914553347E-13</v>
      </c>
      <c r="P139" s="14">
        <f t="shared" si="141"/>
        <v>3.4258699088369875E-12</v>
      </c>
      <c r="Q139" s="22">
        <f t="shared" si="108"/>
        <v>6.4094616558195571E-12</v>
      </c>
      <c r="R139" s="62">
        <f t="shared" si="109"/>
        <v>284.84953039489164</v>
      </c>
      <c r="S139" s="62">
        <f ca="1">AVERAGE(OFFSET($R$3,0,0,'Données projet'!$E$9+1,1))-AVERAGE(OFFSET($H$3,0,0,'Données projet'!$E$9+1,1))</f>
        <v>367.03450586441784</v>
      </c>
      <c r="T139" s="62">
        <f t="shared" si="142"/>
        <v>413.14502442862897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projet'!$B$9,Paramètres!$A$1:$I$88,7,0))</f>
        <v>0</v>
      </c>
      <c r="X139" s="17">
        <f>IF(ISNA(VLOOKUP(A139,'Données projet'!$A$35:$I$55,6,0)),0%,VLOOKUP(A139,'Données projet'!$A$35:$I$55,6,0)*VLOOKUP('Données projet'!$B$9,Paramètres!$A$1:$I$88,7,0))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projet'!$B$9,Paramètres!$A$1:$I$88,3,0)*0.475*44/12</f>
        <v>53.159915790998852</v>
      </c>
      <c r="AA139" s="23">
        <f>EXP(-LN(2)/25)*AA138+(1-EXP(-LN(2)/25))/(LN(2)/25)*Calculateur!V139*Calculateur!X139*VLOOKUP('Données projet'!$B$9,Paramètres!$A$1:$I$88,3,0)*0.475*44/12</f>
        <v>16.073166403859364</v>
      </c>
      <c r="AB139" s="23">
        <f>EXP(-LN(2)/2)*AB138+(1-EXP(-LN(2)/2))/(LN(2)/2)*V139*Y139*VLOOKUP('Données projet'!$B$9,Paramètres!$A$1:$I$88,3,0)*0.475*44/12</f>
        <v>0</v>
      </c>
      <c r="AC139" s="24">
        <f t="shared" si="111"/>
        <v>69.233082194858213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projet'!$B$10,Paramètres!$A$1:$I$88,3,0)*VLOOKUP('Données projet'!$B$10,Paramètres!$A$1:$I$88,5,0)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projet'!$B$10,Paramètres!$A$1:$I$88,7,0))</f>
        <v>0</v>
      </c>
      <c r="AS139" s="17">
        <f>IF(ISNA(VLOOKUP(A139,'Données projet'!$A$61:$I$81,6,0)),0%,VLOOKUP(A139,'Données projet'!$A$61:$I$81,6,0)*VLOOKUP('Données projet'!$B$10,Paramètres!$A$1:$I$88,7,0))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projet'!$B$10,Paramètres!$A$1:$I$88,3,0)*0.475*44/12</f>
        <v>#N/A</v>
      </c>
      <c r="AV139" s="23" t="e">
        <f>EXP(-LN(2)/25)*AV138+(1-EXP(-LN(2)/25))/(LN(2)/25)*Calculateur!AQ139*Calculateur!AS139*VLOOKUP('Données projet'!$B$10,Paramètres!$A$1:$I$88,3,0)*0.475*44/12</f>
        <v>#N/A</v>
      </c>
      <c r="AW139" s="23" t="e">
        <f>EXP(-LN(2)/2)*AW138+(1-EXP(-LN(2)/2))/(LN(2)/2)*AQ139*AT139*VLOOKUP('Données projet'!$B$10,Paramètres!$A$1:$I$88,3,0)*0.475*44/12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projet'!$B$11,Paramètres!$A$1:$I$88,3,0)*VLOOKUP('Données projet'!$B$11,Paramètres!$A$1:$I$88,5,0)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projet'!$B$11,Paramètres!$A$1:$I$88,7,0))</f>
        <v>0</v>
      </c>
      <c r="BN139" s="17">
        <f>IF(ISNA(VLOOKUP(A139,'Données projet'!$A$87:$I$107,6,0)),0%,VLOOKUP(A139,'Données projet'!$A$87:$I$107,6,0)*VLOOKUP('Données projet'!$B$11,Paramètres!$A$1:$I$88,7,0))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projet'!$B$11,Paramètres!$A$1:$I$88,3,0)*0.475*44/12</f>
        <v>#N/A</v>
      </c>
      <c r="BQ139" s="23" t="e">
        <f>EXP(-LN(2)/25)*BQ138+(1-EXP(-LN(2)/25))/(LN(2)/25)*Calculateur!BL139*Calculateur!BN139*VLOOKUP('Données projet'!$B$11,Paramètres!$A$1:$I$88,3,0)*0.475*44/12</f>
        <v>#N/A</v>
      </c>
      <c r="BR139" s="23" t="e">
        <f>EXP(-LN(2)/2)*BR138+(1-EXP(-LN(2)/2))/(LN(2)/2)*BL139*BO139*VLOOKUP('Données projet'!$B$11,Paramètres!$A$1:$I$88,3,0)*0.475*44/12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projet'!$B$12,Paramètres!$A$1:$I$88,3,0)*VLOOKUP('Données projet'!$B$12,Paramètres!$A$1:$I$88,5,0)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projet'!$B$12,Paramètres!$A$1:$I$88,7,0))</f>
        <v>0</v>
      </c>
      <c r="CI139" s="17">
        <f>IF(ISNA(VLOOKUP(A139,'Données projet'!$A$113:$I$133,6,0)),0%,VLOOKUP(A139,'Données projet'!$A$113:$I$133,6,0)*VLOOKUP('Données projet'!$B$12,Paramètres!$A$1:$I$88,7,0))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projet'!$B$12,Paramètres!$A$1:$I$88,3,0)*0.475*44/12</f>
        <v>#N/A</v>
      </c>
      <c r="CL139" s="23" t="e">
        <f>EXP(-LN(2)/25)*CL138+(1-EXP(-LN(2)/25))/(LN(2)/25)*Calculateur!CG139*Calculateur!CI139*VLOOKUP('Données projet'!$B$12,Paramètres!$A$1:$I$88,3,0)*0.475*44/12</f>
        <v>#N/A</v>
      </c>
      <c r="CM139" s="23" t="e">
        <f>EXP(-LN(2)/2)*CM138+(1-EXP(-LN(2)/2))/(LN(2)/2)*CG139*CJ139*VLOOKUP('Données projet'!$B$12,Paramètres!$A$1:$I$88,3,0)*0.475*44/12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projet'!$B$13,Paramètres!$A$1:$I$88,3,0)*VLOOKUP('Données projet'!$B$13,Paramètres!$A$1:$I$88,5,0)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projet'!$B$13,Paramètres!$A$1:$I$88,7,0))</f>
        <v>0</v>
      </c>
      <c r="DD139" s="17">
        <f>IF(ISNA(VLOOKUP(A139,'Données projet'!$A$139:$I$159,6,0)),0%,VLOOKUP(A139,'Données projet'!$A$139:$I$159,6,0)*VLOOKUP('Données projet'!$B$13,Paramètres!$A$1:$I$88,7,0))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projet'!$B$13,Paramètres!$A$1:$I$88,3,0)*0.475*44/12</f>
        <v>#N/A</v>
      </c>
      <c r="DG139" s="23" t="e">
        <f>EXP(-LN(2)/25)*DG138+(1-EXP(-LN(2)/25))/(LN(2)/25)*Calculateur!DB139*Calculateur!DD139*VLOOKUP('Données projet'!$B$13,Paramètres!$A$1:$I$88,3,0)*0.475*44/12</f>
        <v>#N/A</v>
      </c>
      <c r="DH139" s="23" t="e">
        <f>EXP(-LN(2)/2)*DH138+(1-EXP(-LN(2)/2))/(LN(2)/2)*DB139*DE139*VLOOKUP('Données projet'!$B$13,Paramètres!$A$1:$I$88,3,0)*0.475*44/12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projet'!$B$14,Paramètres!$A$1:$I$88,3,0)*VLOOKUP('Données projet'!$B$14,Paramètres!$A$1:$I$88,5,0)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projet'!$B$14,Paramètres!$A$1:$I$88,7,0))</f>
        <v>0</v>
      </c>
      <c r="DY139" s="17">
        <f>IF(ISNA(VLOOKUP(A139,'Données projet'!$A$165:$I$185,6,0)),0%,VLOOKUP(A139,'Données projet'!$A$165:$I$185,6,0)*VLOOKUP('Données projet'!$B$14,Paramètres!$A$1:$I$88,7,0))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projet'!$B$14,Paramètres!$A$1:$I$88,3,0)*0.475*44/12</f>
        <v>#N/A</v>
      </c>
      <c r="EB139" s="23" t="e">
        <f>EXP(-LN(2)/25)*EB138+(1-EXP(-LN(2)/25))/(LN(2)/25)*Calculateur!DW139*Calculateur!DY139*VLOOKUP('Données projet'!$B$14,Paramètres!$A$1:$I$88,3,0)*0.475*44/12</f>
        <v>#N/A</v>
      </c>
      <c r="EC139" s="23" t="e">
        <f>EXP(-LN(2)/2)*EC138+(1-EXP(-LN(2)/2))/(LN(2)/2)*DW139*DZ139*VLOOKUP('Données projet'!$B$14,Paramètres!$A$1:$I$88,3,0)*0.475*44/12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projet'!$B$15,Paramètres!$A$1:$I$88,3,0)*VLOOKUP('Données projet'!$B$15,Paramètres!$A$1:$I$88,5,0)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projet'!$B$15,Paramètres!$A$1:$I$88,7,0))</f>
        <v>0</v>
      </c>
      <c r="ET139" s="17">
        <f>IF(ISNA(VLOOKUP(A139,'Données projet'!$A$191:$I$211,6,0)),0%,VLOOKUP(A139,'Données projet'!$A$191:$I$211,6,0)*VLOOKUP('Données projet'!$B$15,Paramètres!$A$1:$I$88,7,0))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projet'!$B$15,Paramètres!$A$1:$I$88,3,0)*0.475*44/12</f>
        <v>#N/A</v>
      </c>
      <c r="EW139" s="23" t="e">
        <f>EXP(-LN(2)/25)*EW138+(1-EXP(-LN(2)/25))/(LN(2)/25)*Calculateur!ER139*Calculateur!ET139*VLOOKUP('Données projet'!$B$15,Paramètres!$A$1:$I$88,3,0)*0.475*44/12</f>
        <v>#N/A</v>
      </c>
      <c r="EX139" s="23" t="e">
        <f>EXP(-LN(2)/2)*EX138+(1-EXP(-LN(2)/2))/(LN(2)/2)*ER139*EU139*VLOOKUP('Données projet'!$B$15,Paramètres!$A$1:$I$88,3,0)*0.475*44/12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projet'!$B$16,Paramètres!$A$1:$I$88,3,0)*VLOOKUP('Données projet'!$B$16,Paramètres!$A$1:$I$88,5,0)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projet'!$B$16,Paramètres!$A$1:$I$88,7,0))</f>
        <v>0</v>
      </c>
      <c r="FO139" s="17">
        <f>IF(ISNA(VLOOKUP(A139,'Données projet'!$A$217:$I$237,6,0)),0%,VLOOKUP(A139,'Données projet'!$A$217:$I$237,6,0)*VLOOKUP('Données projet'!$B$16,Paramètres!$A$1:$I$88,7,0))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projet'!$B$16,Paramètres!$A$1:$I$88,3,0)*0.475*44/12</f>
        <v>#N/A</v>
      </c>
      <c r="FR139" s="23" t="e">
        <f>EXP(-LN(2)/25)*FR138+(1-EXP(-LN(2)/25))/(LN(2)/25)*Calculateur!FM139*Calculateur!FO139*VLOOKUP('Données projet'!$B$16,Paramètres!$A$1:$I$88,3,0)*0.475*44/12</f>
        <v>#N/A</v>
      </c>
      <c r="FS139" s="23" t="e">
        <f>EXP(-LN(2)/2)*FS138+(1-EXP(-LN(2)/2))/(LN(2)/2)*FM139*FP139*VLOOKUP('Données projet'!$B$16,Paramètres!$A$1:$I$88,3,0)*0.475*44/12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projet'!$B$17,Paramètres!$A$1:$I$88,3,0)*VLOOKUP('Données projet'!$B$17,Paramètres!$A$1:$I$88,5,0)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projet'!$B$17,Paramètres!$A$1:$I$88,7,0))</f>
        <v>0</v>
      </c>
      <c r="GJ139" s="17">
        <f>IF(ISNA(VLOOKUP(A139,'Données projet'!$A$243:$I$263,6,0)),0%,VLOOKUP(A139,'Données projet'!$A$243:$I$263,6,0)*VLOOKUP('Données projet'!$B$17,Paramètres!$A$1:$I$88,7,0))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projet'!$B$17,Paramètres!$A$1:$I$88,3,0)*0.475*44/12</f>
        <v>#N/A</v>
      </c>
      <c r="GM139" s="23" t="e">
        <f>EXP(-LN(2)/25)*GM138+(1-EXP(-LN(2)/25))/(LN(2)/25)*Calculateur!GH139*Calculateur!GJ139*VLOOKUP('Données projet'!$B$17,Paramètres!$A$1:$I$88,3,0)*0.475*44/12</f>
        <v>#N/A</v>
      </c>
      <c r="GN139" s="23" t="e">
        <f>EXP(-LN(2)/2)*GN138+(1-EXP(-LN(2)/2))/(LN(2)/2)*GH139*GK139*VLOOKUP('Données projet'!$B$17,Paramètres!$A$1:$I$88,3,0)*0.475*44/12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projet'!$B$18,Paramètres!$A$1:$I$88,3,0)*VLOOKUP('Données projet'!$B$18,Paramètres!$A$1:$I$88,5,0)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projet'!$B$18,Paramètres!$A$1:$I$88,7,0))</f>
        <v>0</v>
      </c>
      <c r="HE139" s="17">
        <f>IF(ISNA(VLOOKUP(A139,'Données projet'!$A$269:$I$289,6,0)),0%,VLOOKUP(A139,'Données projet'!$A$269:$I$289,6,0)*VLOOKUP('Données projet'!$B$18,Paramètres!$A$1:$I$88,7,0))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projet'!$B$18,Paramètres!$A$1:$I$88,3,0)*0.475*44/12</f>
        <v>#N/A</v>
      </c>
      <c r="HH139" s="23" t="e">
        <f>EXP(-LN(2)/25)*HH138+(1-EXP(-LN(2)/25))/(LN(2)/25)*Calculateur!HC139*Calculateur!HE139*VLOOKUP('Données projet'!$B$18,Paramètres!$A$1:$I$88,3,0)*0.475*44/12</f>
        <v>#N/A</v>
      </c>
      <c r="HI139" s="23" t="e">
        <f>EXP(-LN(2)/2)*HI138+(1-EXP(-LN(2)/2))/(LN(2)/2)*HC139*HF139*VLOOKUP('Données projet'!$B$18,Paramètres!$A$1:$I$88,3,0)*0.475*44/12</f>
        <v>#N/A</v>
      </c>
      <c r="HJ139" s="24" t="e">
        <f t="shared" si="138"/>
        <v>#N/A</v>
      </c>
    </row>
    <row r="140" spans="1:218" s="5" customFormat="1" x14ac:dyDescent="0.3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4.5474735088646412E-13</v>
      </c>
      <c r="O140" s="14">
        <f>N140*VLOOKUP('Données projet'!$B$9,Paramètres!$A$1:$I$88,3,0)*VLOOKUP('Données projet'!$B$9,Paramètres!$A$1:$I$88,5,0)</f>
        <v>2.5420376914553347E-13</v>
      </c>
      <c r="P140" s="14">
        <f t="shared" si="141"/>
        <v>3.4258699088369875E-12</v>
      </c>
      <c r="Q140" s="22">
        <f t="shared" si="108"/>
        <v>6.4094616558195571E-12</v>
      </c>
      <c r="R140" s="62">
        <f t="shared" si="109"/>
        <v>284.9967054089318</v>
      </c>
      <c r="S140" s="62">
        <f ca="1">AVERAGE(OFFSET($R$3,0,0,'Données projet'!$E$9+1,1))-AVERAGE(OFFSET($H$3,0,0,'Données projet'!$E$9+1,1))</f>
        <v>367.03450586441784</v>
      </c>
      <c r="T140" s="62">
        <f t="shared" si="142"/>
        <v>413.14502442862897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projet'!$B$9,Paramètres!$A$1:$I$88,7,0))</f>
        <v>0</v>
      </c>
      <c r="X140" s="17">
        <f>IF(ISNA(VLOOKUP(A140,'Données projet'!$A$35:$I$55,6,0)),0%,VLOOKUP(A140,'Données projet'!$A$35:$I$55,6,0)*VLOOKUP('Données projet'!$B$9,Paramètres!$A$1:$I$88,7,0))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projet'!$B$9,Paramètres!$A$1:$I$88,3,0)*0.475*44/12</f>
        <v>52.117482266684355</v>
      </c>
      <c r="AA140" s="23">
        <f>EXP(-LN(2)/25)*AA139+(1-EXP(-LN(2)/25))/(LN(2)/25)*Calculateur!V140*Calculateur!X140*VLOOKUP('Données projet'!$B$9,Paramètres!$A$1:$I$88,3,0)*0.475*44/12</f>
        <v>15.633644823294745</v>
      </c>
      <c r="AB140" s="23">
        <f>EXP(-LN(2)/2)*AB139+(1-EXP(-LN(2)/2))/(LN(2)/2)*V140*Y140*VLOOKUP('Données projet'!$B$9,Paramètres!$A$1:$I$88,3,0)*0.475*44/12</f>
        <v>0</v>
      </c>
      <c r="AC140" s="24">
        <f t="shared" si="111"/>
        <v>67.751127089979093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projet'!$B$10,Paramètres!$A$1:$I$88,3,0)*VLOOKUP('Données projet'!$B$10,Paramètres!$A$1:$I$88,5,0)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projet'!$B$10,Paramètres!$A$1:$I$88,7,0))</f>
        <v>0</v>
      </c>
      <c r="AS140" s="17">
        <f>IF(ISNA(VLOOKUP(A140,'Données projet'!$A$61:$I$81,6,0)),0%,VLOOKUP(A140,'Données projet'!$A$61:$I$81,6,0)*VLOOKUP('Données projet'!$B$10,Paramètres!$A$1:$I$88,7,0))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projet'!$B$10,Paramètres!$A$1:$I$88,3,0)*0.475*44/12</f>
        <v>#N/A</v>
      </c>
      <c r="AV140" s="23" t="e">
        <f>EXP(-LN(2)/25)*AV139+(1-EXP(-LN(2)/25))/(LN(2)/25)*Calculateur!AQ140*Calculateur!AS140*VLOOKUP('Données projet'!$B$10,Paramètres!$A$1:$I$88,3,0)*0.475*44/12</f>
        <v>#N/A</v>
      </c>
      <c r="AW140" s="23" t="e">
        <f>EXP(-LN(2)/2)*AW139+(1-EXP(-LN(2)/2))/(LN(2)/2)*AQ140*AT140*VLOOKUP('Données projet'!$B$10,Paramètres!$A$1:$I$88,3,0)*0.475*44/12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projet'!$B$11,Paramètres!$A$1:$I$88,3,0)*VLOOKUP('Données projet'!$B$11,Paramètres!$A$1:$I$88,5,0)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projet'!$B$11,Paramètres!$A$1:$I$88,7,0))</f>
        <v>0</v>
      </c>
      <c r="BN140" s="17">
        <f>IF(ISNA(VLOOKUP(A140,'Données projet'!$A$87:$I$107,6,0)),0%,VLOOKUP(A140,'Données projet'!$A$87:$I$107,6,0)*VLOOKUP('Données projet'!$B$11,Paramètres!$A$1:$I$88,7,0))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projet'!$B$11,Paramètres!$A$1:$I$88,3,0)*0.475*44/12</f>
        <v>#N/A</v>
      </c>
      <c r="BQ140" s="23" t="e">
        <f>EXP(-LN(2)/25)*BQ139+(1-EXP(-LN(2)/25))/(LN(2)/25)*Calculateur!BL140*Calculateur!BN140*VLOOKUP('Données projet'!$B$11,Paramètres!$A$1:$I$88,3,0)*0.475*44/12</f>
        <v>#N/A</v>
      </c>
      <c r="BR140" s="23" t="e">
        <f>EXP(-LN(2)/2)*BR139+(1-EXP(-LN(2)/2))/(LN(2)/2)*BL140*BO140*VLOOKUP('Données projet'!$B$11,Paramètres!$A$1:$I$88,3,0)*0.475*44/12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projet'!$B$12,Paramètres!$A$1:$I$88,3,0)*VLOOKUP('Données projet'!$B$12,Paramètres!$A$1:$I$88,5,0)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projet'!$B$12,Paramètres!$A$1:$I$88,7,0))</f>
        <v>0</v>
      </c>
      <c r="CI140" s="17">
        <f>IF(ISNA(VLOOKUP(A140,'Données projet'!$A$113:$I$133,6,0)),0%,VLOOKUP(A140,'Données projet'!$A$113:$I$133,6,0)*VLOOKUP('Données projet'!$B$12,Paramètres!$A$1:$I$88,7,0))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projet'!$B$12,Paramètres!$A$1:$I$88,3,0)*0.475*44/12</f>
        <v>#N/A</v>
      </c>
      <c r="CL140" s="23" t="e">
        <f>EXP(-LN(2)/25)*CL139+(1-EXP(-LN(2)/25))/(LN(2)/25)*Calculateur!CG140*Calculateur!CI140*VLOOKUP('Données projet'!$B$12,Paramètres!$A$1:$I$88,3,0)*0.475*44/12</f>
        <v>#N/A</v>
      </c>
      <c r="CM140" s="23" t="e">
        <f>EXP(-LN(2)/2)*CM139+(1-EXP(-LN(2)/2))/(LN(2)/2)*CG140*CJ140*VLOOKUP('Données projet'!$B$12,Paramètres!$A$1:$I$88,3,0)*0.475*44/12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projet'!$B$13,Paramètres!$A$1:$I$88,3,0)*VLOOKUP('Données projet'!$B$13,Paramètres!$A$1:$I$88,5,0)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projet'!$B$13,Paramètres!$A$1:$I$88,7,0))</f>
        <v>0</v>
      </c>
      <c r="DD140" s="17">
        <f>IF(ISNA(VLOOKUP(A140,'Données projet'!$A$139:$I$159,6,0)),0%,VLOOKUP(A140,'Données projet'!$A$139:$I$159,6,0)*VLOOKUP('Données projet'!$B$13,Paramètres!$A$1:$I$88,7,0))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projet'!$B$13,Paramètres!$A$1:$I$88,3,0)*0.475*44/12</f>
        <v>#N/A</v>
      </c>
      <c r="DG140" s="23" t="e">
        <f>EXP(-LN(2)/25)*DG139+(1-EXP(-LN(2)/25))/(LN(2)/25)*Calculateur!DB140*Calculateur!DD140*VLOOKUP('Données projet'!$B$13,Paramètres!$A$1:$I$88,3,0)*0.475*44/12</f>
        <v>#N/A</v>
      </c>
      <c r="DH140" s="23" t="e">
        <f>EXP(-LN(2)/2)*DH139+(1-EXP(-LN(2)/2))/(LN(2)/2)*DB140*DE140*VLOOKUP('Données projet'!$B$13,Paramètres!$A$1:$I$88,3,0)*0.475*44/12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projet'!$B$14,Paramètres!$A$1:$I$88,3,0)*VLOOKUP('Données projet'!$B$14,Paramètres!$A$1:$I$88,5,0)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projet'!$B$14,Paramètres!$A$1:$I$88,7,0))</f>
        <v>0</v>
      </c>
      <c r="DY140" s="17">
        <f>IF(ISNA(VLOOKUP(A140,'Données projet'!$A$165:$I$185,6,0)),0%,VLOOKUP(A140,'Données projet'!$A$165:$I$185,6,0)*VLOOKUP('Données projet'!$B$14,Paramètres!$A$1:$I$88,7,0))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projet'!$B$14,Paramètres!$A$1:$I$88,3,0)*0.475*44/12</f>
        <v>#N/A</v>
      </c>
      <c r="EB140" s="23" t="e">
        <f>EXP(-LN(2)/25)*EB139+(1-EXP(-LN(2)/25))/(LN(2)/25)*Calculateur!DW140*Calculateur!DY140*VLOOKUP('Données projet'!$B$14,Paramètres!$A$1:$I$88,3,0)*0.475*44/12</f>
        <v>#N/A</v>
      </c>
      <c r="EC140" s="23" t="e">
        <f>EXP(-LN(2)/2)*EC139+(1-EXP(-LN(2)/2))/(LN(2)/2)*DW140*DZ140*VLOOKUP('Données projet'!$B$14,Paramètres!$A$1:$I$88,3,0)*0.475*44/12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projet'!$B$15,Paramètres!$A$1:$I$88,3,0)*VLOOKUP('Données projet'!$B$15,Paramètres!$A$1:$I$88,5,0)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projet'!$B$15,Paramètres!$A$1:$I$88,7,0))</f>
        <v>0</v>
      </c>
      <c r="ET140" s="17">
        <f>IF(ISNA(VLOOKUP(A140,'Données projet'!$A$191:$I$211,6,0)),0%,VLOOKUP(A140,'Données projet'!$A$191:$I$211,6,0)*VLOOKUP('Données projet'!$B$15,Paramètres!$A$1:$I$88,7,0))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projet'!$B$15,Paramètres!$A$1:$I$88,3,0)*0.475*44/12</f>
        <v>#N/A</v>
      </c>
      <c r="EW140" s="23" t="e">
        <f>EXP(-LN(2)/25)*EW139+(1-EXP(-LN(2)/25))/(LN(2)/25)*Calculateur!ER140*Calculateur!ET140*VLOOKUP('Données projet'!$B$15,Paramètres!$A$1:$I$88,3,0)*0.475*44/12</f>
        <v>#N/A</v>
      </c>
      <c r="EX140" s="23" t="e">
        <f>EXP(-LN(2)/2)*EX139+(1-EXP(-LN(2)/2))/(LN(2)/2)*ER140*EU140*VLOOKUP('Données projet'!$B$15,Paramètres!$A$1:$I$88,3,0)*0.475*44/12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projet'!$B$16,Paramètres!$A$1:$I$88,3,0)*VLOOKUP('Données projet'!$B$16,Paramètres!$A$1:$I$88,5,0)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projet'!$B$16,Paramètres!$A$1:$I$88,7,0))</f>
        <v>0</v>
      </c>
      <c r="FO140" s="17">
        <f>IF(ISNA(VLOOKUP(A140,'Données projet'!$A$217:$I$237,6,0)),0%,VLOOKUP(A140,'Données projet'!$A$217:$I$237,6,0)*VLOOKUP('Données projet'!$B$16,Paramètres!$A$1:$I$88,7,0))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projet'!$B$16,Paramètres!$A$1:$I$88,3,0)*0.475*44/12</f>
        <v>#N/A</v>
      </c>
      <c r="FR140" s="23" t="e">
        <f>EXP(-LN(2)/25)*FR139+(1-EXP(-LN(2)/25))/(LN(2)/25)*Calculateur!FM140*Calculateur!FO140*VLOOKUP('Données projet'!$B$16,Paramètres!$A$1:$I$88,3,0)*0.475*44/12</f>
        <v>#N/A</v>
      </c>
      <c r="FS140" s="23" t="e">
        <f>EXP(-LN(2)/2)*FS139+(1-EXP(-LN(2)/2))/(LN(2)/2)*FM140*FP140*VLOOKUP('Données projet'!$B$16,Paramètres!$A$1:$I$88,3,0)*0.475*44/12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projet'!$B$17,Paramètres!$A$1:$I$88,3,0)*VLOOKUP('Données projet'!$B$17,Paramètres!$A$1:$I$88,5,0)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projet'!$B$17,Paramètres!$A$1:$I$88,7,0))</f>
        <v>0</v>
      </c>
      <c r="GJ140" s="17">
        <f>IF(ISNA(VLOOKUP(A140,'Données projet'!$A$243:$I$263,6,0)),0%,VLOOKUP(A140,'Données projet'!$A$243:$I$263,6,0)*VLOOKUP('Données projet'!$B$17,Paramètres!$A$1:$I$88,7,0))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projet'!$B$17,Paramètres!$A$1:$I$88,3,0)*0.475*44/12</f>
        <v>#N/A</v>
      </c>
      <c r="GM140" s="23" t="e">
        <f>EXP(-LN(2)/25)*GM139+(1-EXP(-LN(2)/25))/(LN(2)/25)*Calculateur!GH140*Calculateur!GJ140*VLOOKUP('Données projet'!$B$17,Paramètres!$A$1:$I$88,3,0)*0.475*44/12</f>
        <v>#N/A</v>
      </c>
      <c r="GN140" s="23" t="e">
        <f>EXP(-LN(2)/2)*GN139+(1-EXP(-LN(2)/2))/(LN(2)/2)*GH140*GK140*VLOOKUP('Données projet'!$B$17,Paramètres!$A$1:$I$88,3,0)*0.475*44/12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projet'!$B$18,Paramètres!$A$1:$I$88,3,0)*VLOOKUP('Données projet'!$B$18,Paramètres!$A$1:$I$88,5,0)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projet'!$B$18,Paramètres!$A$1:$I$88,7,0))</f>
        <v>0</v>
      </c>
      <c r="HE140" s="17">
        <f>IF(ISNA(VLOOKUP(A140,'Données projet'!$A$269:$I$289,6,0)),0%,VLOOKUP(A140,'Données projet'!$A$269:$I$289,6,0)*VLOOKUP('Données projet'!$B$18,Paramètres!$A$1:$I$88,7,0))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projet'!$B$18,Paramètres!$A$1:$I$88,3,0)*0.475*44/12</f>
        <v>#N/A</v>
      </c>
      <c r="HH140" s="23" t="e">
        <f>EXP(-LN(2)/25)*HH139+(1-EXP(-LN(2)/25))/(LN(2)/25)*Calculateur!HC140*Calculateur!HE140*VLOOKUP('Données projet'!$B$18,Paramètres!$A$1:$I$88,3,0)*0.475*44/12</f>
        <v>#N/A</v>
      </c>
      <c r="HI140" s="23" t="e">
        <f>EXP(-LN(2)/2)*HI139+(1-EXP(-LN(2)/2))/(LN(2)/2)*HC140*HF140*VLOOKUP('Données projet'!$B$18,Paramètres!$A$1:$I$88,3,0)*0.475*44/12</f>
        <v>#N/A</v>
      </c>
      <c r="HJ140" s="24" t="e">
        <f t="shared" si="138"/>
        <v>#N/A</v>
      </c>
    </row>
    <row r="141" spans="1:218" s="5" customFormat="1" x14ac:dyDescent="0.3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4.5474735088646412E-13</v>
      </c>
      <c r="O141" s="14">
        <f>N141*VLOOKUP('Données projet'!$B$9,Paramètres!$A$1:$I$88,3,0)*VLOOKUP('Données projet'!$B$9,Paramètres!$A$1:$I$88,5,0)</f>
        <v>2.5420376914553347E-13</v>
      </c>
      <c r="P141" s="14">
        <f t="shared" si="141"/>
        <v>3.4258699088369875E-12</v>
      </c>
      <c r="Q141" s="22">
        <f t="shared" si="108"/>
        <v>6.4094616558195571E-12</v>
      </c>
      <c r="R141" s="62">
        <f t="shared" si="109"/>
        <v>285.14132726551236</v>
      </c>
      <c r="S141" s="62">
        <f ca="1">AVERAGE(OFFSET($R$3,0,0,'Données projet'!$E$9+1,1))-AVERAGE(OFFSET($H$3,0,0,'Données projet'!$E$9+1,1))</f>
        <v>367.03450586441784</v>
      </c>
      <c r="T141" s="62">
        <f t="shared" si="142"/>
        <v>413.14502442862897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projet'!$B$9,Paramètres!$A$1:$I$88,7,0))</f>
        <v>0</v>
      </c>
      <c r="X141" s="17">
        <f>IF(ISNA(VLOOKUP(A141,'Données projet'!$A$35:$I$55,6,0)),0%,VLOOKUP(A141,'Données projet'!$A$35:$I$55,6,0)*VLOOKUP('Données projet'!$B$9,Paramètres!$A$1:$I$88,7,0))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projet'!$B$9,Paramètres!$A$1:$I$88,3,0)*0.475*44/12</f>
        <v>51.095490227959999</v>
      </c>
      <c r="AA141" s="23">
        <f>EXP(-LN(2)/25)*AA140+(1-EXP(-LN(2)/25))/(LN(2)/25)*Calculateur!V141*Calculateur!X141*VLOOKUP('Données projet'!$B$9,Paramètres!$A$1:$I$88,3,0)*0.475*44/12</f>
        <v>15.2061419834641</v>
      </c>
      <c r="AB141" s="23">
        <f>EXP(-LN(2)/2)*AB140+(1-EXP(-LN(2)/2))/(LN(2)/2)*V141*Y141*VLOOKUP('Données projet'!$B$9,Paramètres!$A$1:$I$88,3,0)*0.475*44/12</f>
        <v>0</v>
      </c>
      <c r="AC141" s="24">
        <f t="shared" si="111"/>
        <v>66.301632211424106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projet'!$B$10,Paramètres!$A$1:$I$88,3,0)*VLOOKUP('Données projet'!$B$10,Paramètres!$A$1:$I$88,5,0)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projet'!$B$10,Paramètres!$A$1:$I$88,7,0))</f>
        <v>0</v>
      </c>
      <c r="AS141" s="17">
        <f>IF(ISNA(VLOOKUP(A141,'Données projet'!$A$61:$I$81,6,0)),0%,VLOOKUP(A141,'Données projet'!$A$61:$I$81,6,0)*VLOOKUP('Données projet'!$B$10,Paramètres!$A$1:$I$88,7,0))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projet'!$B$10,Paramètres!$A$1:$I$88,3,0)*0.475*44/12</f>
        <v>#N/A</v>
      </c>
      <c r="AV141" s="23" t="e">
        <f>EXP(-LN(2)/25)*AV140+(1-EXP(-LN(2)/25))/(LN(2)/25)*Calculateur!AQ141*Calculateur!AS141*VLOOKUP('Données projet'!$B$10,Paramètres!$A$1:$I$88,3,0)*0.475*44/12</f>
        <v>#N/A</v>
      </c>
      <c r="AW141" s="23" t="e">
        <f>EXP(-LN(2)/2)*AW140+(1-EXP(-LN(2)/2))/(LN(2)/2)*AQ141*AT141*VLOOKUP('Données projet'!$B$10,Paramètres!$A$1:$I$88,3,0)*0.475*44/12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projet'!$B$11,Paramètres!$A$1:$I$88,3,0)*VLOOKUP('Données projet'!$B$11,Paramètres!$A$1:$I$88,5,0)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projet'!$B$11,Paramètres!$A$1:$I$88,7,0))</f>
        <v>0</v>
      </c>
      <c r="BN141" s="17">
        <f>IF(ISNA(VLOOKUP(A141,'Données projet'!$A$87:$I$107,6,0)),0%,VLOOKUP(A141,'Données projet'!$A$87:$I$107,6,0)*VLOOKUP('Données projet'!$B$11,Paramètres!$A$1:$I$88,7,0))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projet'!$B$11,Paramètres!$A$1:$I$88,3,0)*0.475*44/12</f>
        <v>#N/A</v>
      </c>
      <c r="BQ141" s="23" t="e">
        <f>EXP(-LN(2)/25)*BQ140+(1-EXP(-LN(2)/25))/(LN(2)/25)*Calculateur!BL141*Calculateur!BN141*VLOOKUP('Données projet'!$B$11,Paramètres!$A$1:$I$88,3,0)*0.475*44/12</f>
        <v>#N/A</v>
      </c>
      <c r="BR141" s="23" t="e">
        <f>EXP(-LN(2)/2)*BR140+(1-EXP(-LN(2)/2))/(LN(2)/2)*BL141*BO141*VLOOKUP('Données projet'!$B$11,Paramètres!$A$1:$I$88,3,0)*0.475*44/12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projet'!$B$12,Paramètres!$A$1:$I$88,3,0)*VLOOKUP('Données projet'!$B$12,Paramètres!$A$1:$I$88,5,0)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projet'!$B$12,Paramètres!$A$1:$I$88,7,0))</f>
        <v>0</v>
      </c>
      <c r="CI141" s="17">
        <f>IF(ISNA(VLOOKUP(A141,'Données projet'!$A$113:$I$133,6,0)),0%,VLOOKUP(A141,'Données projet'!$A$113:$I$133,6,0)*VLOOKUP('Données projet'!$B$12,Paramètres!$A$1:$I$88,7,0))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projet'!$B$12,Paramètres!$A$1:$I$88,3,0)*0.475*44/12</f>
        <v>#N/A</v>
      </c>
      <c r="CL141" s="23" t="e">
        <f>EXP(-LN(2)/25)*CL140+(1-EXP(-LN(2)/25))/(LN(2)/25)*Calculateur!CG141*Calculateur!CI141*VLOOKUP('Données projet'!$B$12,Paramètres!$A$1:$I$88,3,0)*0.475*44/12</f>
        <v>#N/A</v>
      </c>
      <c r="CM141" s="23" t="e">
        <f>EXP(-LN(2)/2)*CM140+(1-EXP(-LN(2)/2))/(LN(2)/2)*CG141*CJ141*VLOOKUP('Données projet'!$B$12,Paramètres!$A$1:$I$88,3,0)*0.475*44/12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projet'!$B$13,Paramètres!$A$1:$I$88,3,0)*VLOOKUP('Données projet'!$B$13,Paramètres!$A$1:$I$88,5,0)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projet'!$B$13,Paramètres!$A$1:$I$88,7,0))</f>
        <v>0</v>
      </c>
      <c r="DD141" s="17">
        <f>IF(ISNA(VLOOKUP(A141,'Données projet'!$A$139:$I$159,6,0)),0%,VLOOKUP(A141,'Données projet'!$A$139:$I$159,6,0)*VLOOKUP('Données projet'!$B$13,Paramètres!$A$1:$I$88,7,0))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projet'!$B$13,Paramètres!$A$1:$I$88,3,0)*0.475*44/12</f>
        <v>#N/A</v>
      </c>
      <c r="DG141" s="23" t="e">
        <f>EXP(-LN(2)/25)*DG140+(1-EXP(-LN(2)/25))/(LN(2)/25)*Calculateur!DB141*Calculateur!DD141*VLOOKUP('Données projet'!$B$13,Paramètres!$A$1:$I$88,3,0)*0.475*44/12</f>
        <v>#N/A</v>
      </c>
      <c r="DH141" s="23" t="e">
        <f>EXP(-LN(2)/2)*DH140+(1-EXP(-LN(2)/2))/(LN(2)/2)*DB141*DE141*VLOOKUP('Données projet'!$B$13,Paramètres!$A$1:$I$88,3,0)*0.475*44/12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projet'!$B$14,Paramètres!$A$1:$I$88,3,0)*VLOOKUP('Données projet'!$B$14,Paramètres!$A$1:$I$88,5,0)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projet'!$B$14,Paramètres!$A$1:$I$88,7,0))</f>
        <v>0</v>
      </c>
      <c r="DY141" s="17">
        <f>IF(ISNA(VLOOKUP(A141,'Données projet'!$A$165:$I$185,6,0)),0%,VLOOKUP(A141,'Données projet'!$A$165:$I$185,6,0)*VLOOKUP('Données projet'!$B$14,Paramètres!$A$1:$I$88,7,0))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projet'!$B$14,Paramètres!$A$1:$I$88,3,0)*0.475*44/12</f>
        <v>#N/A</v>
      </c>
      <c r="EB141" s="23" t="e">
        <f>EXP(-LN(2)/25)*EB140+(1-EXP(-LN(2)/25))/(LN(2)/25)*Calculateur!DW141*Calculateur!DY141*VLOOKUP('Données projet'!$B$14,Paramètres!$A$1:$I$88,3,0)*0.475*44/12</f>
        <v>#N/A</v>
      </c>
      <c r="EC141" s="23" t="e">
        <f>EXP(-LN(2)/2)*EC140+(1-EXP(-LN(2)/2))/(LN(2)/2)*DW141*DZ141*VLOOKUP('Données projet'!$B$14,Paramètres!$A$1:$I$88,3,0)*0.475*44/12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projet'!$B$15,Paramètres!$A$1:$I$88,3,0)*VLOOKUP('Données projet'!$B$15,Paramètres!$A$1:$I$88,5,0)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projet'!$B$15,Paramètres!$A$1:$I$88,7,0))</f>
        <v>0</v>
      </c>
      <c r="ET141" s="17">
        <f>IF(ISNA(VLOOKUP(A141,'Données projet'!$A$191:$I$211,6,0)),0%,VLOOKUP(A141,'Données projet'!$A$191:$I$211,6,0)*VLOOKUP('Données projet'!$B$15,Paramètres!$A$1:$I$88,7,0))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projet'!$B$15,Paramètres!$A$1:$I$88,3,0)*0.475*44/12</f>
        <v>#N/A</v>
      </c>
      <c r="EW141" s="23" t="e">
        <f>EXP(-LN(2)/25)*EW140+(1-EXP(-LN(2)/25))/(LN(2)/25)*Calculateur!ER141*Calculateur!ET141*VLOOKUP('Données projet'!$B$15,Paramètres!$A$1:$I$88,3,0)*0.475*44/12</f>
        <v>#N/A</v>
      </c>
      <c r="EX141" s="23" t="e">
        <f>EXP(-LN(2)/2)*EX140+(1-EXP(-LN(2)/2))/(LN(2)/2)*ER141*EU141*VLOOKUP('Données projet'!$B$15,Paramètres!$A$1:$I$88,3,0)*0.475*44/12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projet'!$B$16,Paramètres!$A$1:$I$88,3,0)*VLOOKUP('Données projet'!$B$16,Paramètres!$A$1:$I$88,5,0)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projet'!$B$16,Paramètres!$A$1:$I$88,7,0))</f>
        <v>0</v>
      </c>
      <c r="FO141" s="17">
        <f>IF(ISNA(VLOOKUP(A141,'Données projet'!$A$217:$I$237,6,0)),0%,VLOOKUP(A141,'Données projet'!$A$217:$I$237,6,0)*VLOOKUP('Données projet'!$B$16,Paramètres!$A$1:$I$88,7,0))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projet'!$B$16,Paramètres!$A$1:$I$88,3,0)*0.475*44/12</f>
        <v>#N/A</v>
      </c>
      <c r="FR141" s="23" t="e">
        <f>EXP(-LN(2)/25)*FR140+(1-EXP(-LN(2)/25))/(LN(2)/25)*Calculateur!FM141*Calculateur!FO141*VLOOKUP('Données projet'!$B$16,Paramètres!$A$1:$I$88,3,0)*0.475*44/12</f>
        <v>#N/A</v>
      </c>
      <c r="FS141" s="23" t="e">
        <f>EXP(-LN(2)/2)*FS140+(1-EXP(-LN(2)/2))/(LN(2)/2)*FM141*FP141*VLOOKUP('Données projet'!$B$16,Paramètres!$A$1:$I$88,3,0)*0.475*44/12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projet'!$B$17,Paramètres!$A$1:$I$88,3,0)*VLOOKUP('Données projet'!$B$17,Paramètres!$A$1:$I$88,5,0)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projet'!$B$17,Paramètres!$A$1:$I$88,7,0))</f>
        <v>0</v>
      </c>
      <c r="GJ141" s="17">
        <f>IF(ISNA(VLOOKUP(A141,'Données projet'!$A$243:$I$263,6,0)),0%,VLOOKUP(A141,'Données projet'!$A$243:$I$263,6,0)*VLOOKUP('Données projet'!$B$17,Paramètres!$A$1:$I$88,7,0))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projet'!$B$17,Paramètres!$A$1:$I$88,3,0)*0.475*44/12</f>
        <v>#N/A</v>
      </c>
      <c r="GM141" s="23" t="e">
        <f>EXP(-LN(2)/25)*GM140+(1-EXP(-LN(2)/25))/(LN(2)/25)*Calculateur!GH141*Calculateur!GJ141*VLOOKUP('Données projet'!$B$17,Paramètres!$A$1:$I$88,3,0)*0.475*44/12</f>
        <v>#N/A</v>
      </c>
      <c r="GN141" s="23" t="e">
        <f>EXP(-LN(2)/2)*GN140+(1-EXP(-LN(2)/2))/(LN(2)/2)*GH141*GK141*VLOOKUP('Données projet'!$B$17,Paramètres!$A$1:$I$88,3,0)*0.475*44/12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projet'!$B$18,Paramètres!$A$1:$I$88,3,0)*VLOOKUP('Données projet'!$B$18,Paramètres!$A$1:$I$88,5,0)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projet'!$B$18,Paramètres!$A$1:$I$88,7,0))</f>
        <v>0</v>
      </c>
      <c r="HE141" s="17">
        <f>IF(ISNA(VLOOKUP(A141,'Données projet'!$A$269:$I$289,6,0)),0%,VLOOKUP(A141,'Données projet'!$A$269:$I$289,6,0)*VLOOKUP('Données projet'!$B$18,Paramètres!$A$1:$I$88,7,0))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projet'!$B$18,Paramètres!$A$1:$I$88,3,0)*0.475*44/12</f>
        <v>#N/A</v>
      </c>
      <c r="HH141" s="23" t="e">
        <f>EXP(-LN(2)/25)*HH140+(1-EXP(-LN(2)/25))/(LN(2)/25)*Calculateur!HC141*Calculateur!HE141*VLOOKUP('Données projet'!$B$18,Paramètres!$A$1:$I$88,3,0)*0.475*44/12</f>
        <v>#N/A</v>
      </c>
      <c r="HI141" s="23" t="e">
        <f>EXP(-LN(2)/2)*HI140+(1-EXP(-LN(2)/2))/(LN(2)/2)*HC141*HF141*VLOOKUP('Données projet'!$B$18,Paramètres!$A$1:$I$88,3,0)*0.475*44/12</f>
        <v>#N/A</v>
      </c>
      <c r="HJ141" s="24" t="e">
        <f t="shared" si="138"/>
        <v>#N/A</v>
      </c>
    </row>
    <row r="142" spans="1:218" s="5" customFormat="1" x14ac:dyDescent="0.3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4.5474735088646412E-13</v>
      </c>
      <c r="O142" s="14">
        <f>N142*VLOOKUP('Données projet'!$B$9,Paramètres!$A$1:$I$88,3,0)*VLOOKUP('Données projet'!$B$9,Paramètres!$A$1:$I$88,5,0)</f>
        <v>2.5420376914553347E-13</v>
      </c>
      <c r="P142" s="14">
        <f t="shared" si="141"/>
        <v>3.4258699088369875E-12</v>
      </c>
      <c r="Q142" s="22">
        <f t="shared" si="108"/>
        <v>6.4094616558195571E-12</v>
      </c>
      <c r="R142" s="62">
        <f t="shared" si="109"/>
        <v>285.28344025620731</v>
      </c>
      <c r="S142" s="62">
        <f ca="1">AVERAGE(OFFSET($R$3,0,0,'Données projet'!$E$9+1,1))-AVERAGE(OFFSET($H$3,0,0,'Données projet'!$E$9+1,1))</f>
        <v>367.03450586441784</v>
      </c>
      <c r="T142" s="62">
        <f t="shared" si="142"/>
        <v>413.14502442862897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projet'!$B$9,Paramètres!$A$1:$I$88,7,0))</f>
        <v>0</v>
      </c>
      <c r="X142" s="17">
        <f>IF(ISNA(VLOOKUP(A142,'Données projet'!$A$35:$I$55,6,0)),0%,VLOOKUP(A142,'Données projet'!$A$35:$I$55,6,0)*VLOOKUP('Données projet'!$B$9,Paramètres!$A$1:$I$88,7,0))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projet'!$B$9,Paramètres!$A$1:$I$88,3,0)*0.475*44/12</f>
        <v>50.093538829761435</v>
      </c>
      <c r="AA142" s="23">
        <f>EXP(-LN(2)/25)*AA141+(1-EXP(-LN(2)/25))/(LN(2)/25)*Calculateur!V142*Calculateur!X142*VLOOKUP('Données projet'!$B$9,Paramètres!$A$1:$I$88,3,0)*0.475*44/12</f>
        <v>14.790329231270022</v>
      </c>
      <c r="AB142" s="23">
        <f>EXP(-LN(2)/2)*AB141+(1-EXP(-LN(2)/2))/(LN(2)/2)*V142*Y142*VLOOKUP('Données projet'!$B$9,Paramètres!$A$1:$I$88,3,0)*0.475*44/12</f>
        <v>0</v>
      </c>
      <c r="AC142" s="24">
        <f t="shared" si="111"/>
        <v>64.88386806103145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projet'!$B$10,Paramètres!$A$1:$I$88,3,0)*VLOOKUP('Données projet'!$B$10,Paramètres!$A$1:$I$88,5,0)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projet'!$B$10,Paramètres!$A$1:$I$88,7,0))</f>
        <v>0</v>
      </c>
      <c r="AS142" s="17">
        <f>IF(ISNA(VLOOKUP(A142,'Données projet'!$A$61:$I$81,6,0)),0%,VLOOKUP(A142,'Données projet'!$A$61:$I$81,6,0)*VLOOKUP('Données projet'!$B$10,Paramètres!$A$1:$I$88,7,0))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projet'!$B$10,Paramètres!$A$1:$I$88,3,0)*0.475*44/12</f>
        <v>#N/A</v>
      </c>
      <c r="AV142" s="23" t="e">
        <f>EXP(-LN(2)/25)*AV141+(1-EXP(-LN(2)/25))/(LN(2)/25)*Calculateur!AQ142*Calculateur!AS142*VLOOKUP('Données projet'!$B$10,Paramètres!$A$1:$I$88,3,0)*0.475*44/12</f>
        <v>#N/A</v>
      </c>
      <c r="AW142" s="23" t="e">
        <f>EXP(-LN(2)/2)*AW141+(1-EXP(-LN(2)/2))/(LN(2)/2)*AQ142*AT142*VLOOKUP('Données projet'!$B$10,Paramètres!$A$1:$I$88,3,0)*0.475*44/12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projet'!$B$11,Paramètres!$A$1:$I$88,3,0)*VLOOKUP('Données projet'!$B$11,Paramètres!$A$1:$I$88,5,0)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projet'!$B$11,Paramètres!$A$1:$I$88,7,0))</f>
        <v>0</v>
      </c>
      <c r="BN142" s="17">
        <f>IF(ISNA(VLOOKUP(A142,'Données projet'!$A$87:$I$107,6,0)),0%,VLOOKUP(A142,'Données projet'!$A$87:$I$107,6,0)*VLOOKUP('Données projet'!$B$11,Paramètres!$A$1:$I$88,7,0))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projet'!$B$11,Paramètres!$A$1:$I$88,3,0)*0.475*44/12</f>
        <v>#N/A</v>
      </c>
      <c r="BQ142" s="23" t="e">
        <f>EXP(-LN(2)/25)*BQ141+(1-EXP(-LN(2)/25))/(LN(2)/25)*Calculateur!BL142*Calculateur!BN142*VLOOKUP('Données projet'!$B$11,Paramètres!$A$1:$I$88,3,0)*0.475*44/12</f>
        <v>#N/A</v>
      </c>
      <c r="BR142" s="23" t="e">
        <f>EXP(-LN(2)/2)*BR141+(1-EXP(-LN(2)/2))/(LN(2)/2)*BL142*BO142*VLOOKUP('Données projet'!$B$11,Paramètres!$A$1:$I$88,3,0)*0.475*44/12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projet'!$B$12,Paramètres!$A$1:$I$88,3,0)*VLOOKUP('Données projet'!$B$12,Paramètres!$A$1:$I$88,5,0)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projet'!$B$12,Paramètres!$A$1:$I$88,7,0))</f>
        <v>0</v>
      </c>
      <c r="CI142" s="17">
        <f>IF(ISNA(VLOOKUP(A142,'Données projet'!$A$113:$I$133,6,0)),0%,VLOOKUP(A142,'Données projet'!$A$113:$I$133,6,0)*VLOOKUP('Données projet'!$B$12,Paramètres!$A$1:$I$88,7,0))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projet'!$B$12,Paramètres!$A$1:$I$88,3,0)*0.475*44/12</f>
        <v>#N/A</v>
      </c>
      <c r="CL142" s="23" t="e">
        <f>EXP(-LN(2)/25)*CL141+(1-EXP(-LN(2)/25))/(LN(2)/25)*Calculateur!CG142*Calculateur!CI142*VLOOKUP('Données projet'!$B$12,Paramètres!$A$1:$I$88,3,0)*0.475*44/12</f>
        <v>#N/A</v>
      </c>
      <c r="CM142" s="23" t="e">
        <f>EXP(-LN(2)/2)*CM141+(1-EXP(-LN(2)/2))/(LN(2)/2)*CG142*CJ142*VLOOKUP('Données projet'!$B$12,Paramètres!$A$1:$I$88,3,0)*0.475*44/12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projet'!$B$13,Paramètres!$A$1:$I$88,3,0)*VLOOKUP('Données projet'!$B$13,Paramètres!$A$1:$I$88,5,0)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projet'!$B$13,Paramètres!$A$1:$I$88,7,0))</f>
        <v>0</v>
      </c>
      <c r="DD142" s="17">
        <f>IF(ISNA(VLOOKUP(A142,'Données projet'!$A$139:$I$159,6,0)),0%,VLOOKUP(A142,'Données projet'!$A$139:$I$159,6,0)*VLOOKUP('Données projet'!$B$13,Paramètres!$A$1:$I$88,7,0))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projet'!$B$13,Paramètres!$A$1:$I$88,3,0)*0.475*44/12</f>
        <v>#N/A</v>
      </c>
      <c r="DG142" s="23" t="e">
        <f>EXP(-LN(2)/25)*DG141+(1-EXP(-LN(2)/25))/(LN(2)/25)*Calculateur!DB142*Calculateur!DD142*VLOOKUP('Données projet'!$B$13,Paramètres!$A$1:$I$88,3,0)*0.475*44/12</f>
        <v>#N/A</v>
      </c>
      <c r="DH142" s="23" t="e">
        <f>EXP(-LN(2)/2)*DH141+(1-EXP(-LN(2)/2))/(LN(2)/2)*DB142*DE142*VLOOKUP('Données projet'!$B$13,Paramètres!$A$1:$I$88,3,0)*0.475*44/12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projet'!$B$14,Paramètres!$A$1:$I$88,3,0)*VLOOKUP('Données projet'!$B$14,Paramètres!$A$1:$I$88,5,0)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projet'!$B$14,Paramètres!$A$1:$I$88,7,0))</f>
        <v>0</v>
      </c>
      <c r="DY142" s="17">
        <f>IF(ISNA(VLOOKUP(A142,'Données projet'!$A$165:$I$185,6,0)),0%,VLOOKUP(A142,'Données projet'!$A$165:$I$185,6,0)*VLOOKUP('Données projet'!$B$14,Paramètres!$A$1:$I$88,7,0))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projet'!$B$14,Paramètres!$A$1:$I$88,3,0)*0.475*44/12</f>
        <v>#N/A</v>
      </c>
      <c r="EB142" s="23" t="e">
        <f>EXP(-LN(2)/25)*EB141+(1-EXP(-LN(2)/25))/(LN(2)/25)*Calculateur!DW142*Calculateur!DY142*VLOOKUP('Données projet'!$B$14,Paramètres!$A$1:$I$88,3,0)*0.475*44/12</f>
        <v>#N/A</v>
      </c>
      <c r="EC142" s="23" t="e">
        <f>EXP(-LN(2)/2)*EC141+(1-EXP(-LN(2)/2))/(LN(2)/2)*DW142*DZ142*VLOOKUP('Données projet'!$B$14,Paramètres!$A$1:$I$88,3,0)*0.475*44/12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projet'!$B$15,Paramètres!$A$1:$I$88,3,0)*VLOOKUP('Données projet'!$B$15,Paramètres!$A$1:$I$88,5,0)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projet'!$B$15,Paramètres!$A$1:$I$88,7,0))</f>
        <v>0</v>
      </c>
      <c r="ET142" s="17">
        <f>IF(ISNA(VLOOKUP(A142,'Données projet'!$A$191:$I$211,6,0)),0%,VLOOKUP(A142,'Données projet'!$A$191:$I$211,6,0)*VLOOKUP('Données projet'!$B$15,Paramètres!$A$1:$I$88,7,0))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projet'!$B$15,Paramètres!$A$1:$I$88,3,0)*0.475*44/12</f>
        <v>#N/A</v>
      </c>
      <c r="EW142" s="23" t="e">
        <f>EXP(-LN(2)/25)*EW141+(1-EXP(-LN(2)/25))/(LN(2)/25)*Calculateur!ER142*Calculateur!ET142*VLOOKUP('Données projet'!$B$15,Paramètres!$A$1:$I$88,3,0)*0.475*44/12</f>
        <v>#N/A</v>
      </c>
      <c r="EX142" s="23" t="e">
        <f>EXP(-LN(2)/2)*EX141+(1-EXP(-LN(2)/2))/(LN(2)/2)*ER142*EU142*VLOOKUP('Données projet'!$B$15,Paramètres!$A$1:$I$88,3,0)*0.475*44/12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projet'!$B$16,Paramètres!$A$1:$I$88,3,0)*VLOOKUP('Données projet'!$B$16,Paramètres!$A$1:$I$88,5,0)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projet'!$B$16,Paramètres!$A$1:$I$88,7,0))</f>
        <v>0</v>
      </c>
      <c r="FO142" s="17">
        <f>IF(ISNA(VLOOKUP(A142,'Données projet'!$A$217:$I$237,6,0)),0%,VLOOKUP(A142,'Données projet'!$A$217:$I$237,6,0)*VLOOKUP('Données projet'!$B$16,Paramètres!$A$1:$I$88,7,0))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projet'!$B$16,Paramètres!$A$1:$I$88,3,0)*0.475*44/12</f>
        <v>#N/A</v>
      </c>
      <c r="FR142" s="23" t="e">
        <f>EXP(-LN(2)/25)*FR141+(1-EXP(-LN(2)/25))/(LN(2)/25)*Calculateur!FM142*Calculateur!FO142*VLOOKUP('Données projet'!$B$16,Paramètres!$A$1:$I$88,3,0)*0.475*44/12</f>
        <v>#N/A</v>
      </c>
      <c r="FS142" s="23" t="e">
        <f>EXP(-LN(2)/2)*FS141+(1-EXP(-LN(2)/2))/(LN(2)/2)*FM142*FP142*VLOOKUP('Données projet'!$B$16,Paramètres!$A$1:$I$88,3,0)*0.475*44/12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projet'!$B$17,Paramètres!$A$1:$I$88,3,0)*VLOOKUP('Données projet'!$B$17,Paramètres!$A$1:$I$88,5,0)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projet'!$B$17,Paramètres!$A$1:$I$88,7,0))</f>
        <v>0</v>
      </c>
      <c r="GJ142" s="17">
        <f>IF(ISNA(VLOOKUP(A142,'Données projet'!$A$243:$I$263,6,0)),0%,VLOOKUP(A142,'Données projet'!$A$243:$I$263,6,0)*VLOOKUP('Données projet'!$B$17,Paramètres!$A$1:$I$88,7,0))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projet'!$B$17,Paramètres!$A$1:$I$88,3,0)*0.475*44/12</f>
        <v>#N/A</v>
      </c>
      <c r="GM142" s="23" t="e">
        <f>EXP(-LN(2)/25)*GM141+(1-EXP(-LN(2)/25))/(LN(2)/25)*Calculateur!GH142*Calculateur!GJ142*VLOOKUP('Données projet'!$B$17,Paramètres!$A$1:$I$88,3,0)*0.475*44/12</f>
        <v>#N/A</v>
      </c>
      <c r="GN142" s="23" t="e">
        <f>EXP(-LN(2)/2)*GN141+(1-EXP(-LN(2)/2))/(LN(2)/2)*GH142*GK142*VLOOKUP('Données projet'!$B$17,Paramètres!$A$1:$I$88,3,0)*0.475*44/12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projet'!$B$18,Paramètres!$A$1:$I$88,3,0)*VLOOKUP('Données projet'!$B$18,Paramètres!$A$1:$I$88,5,0)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projet'!$B$18,Paramètres!$A$1:$I$88,7,0))</f>
        <v>0</v>
      </c>
      <c r="HE142" s="17">
        <f>IF(ISNA(VLOOKUP(A142,'Données projet'!$A$269:$I$289,6,0)),0%,VLOOKUP(A142,'Données projet'!$A$269:$I$289,6,0)*VLOOKUP('Données projet'!$B$18,Paramètres!$A$1:$I$88,7,0))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projet'!$B$18,Paramètres!$A$1:$I$88,3,0)*0.475*44/12</f>
        <v>#N/A</v>
      </c>
      <c r="HH142" s="23" t="e">
        <f>EXP(-LN(2)/25)*HH141+(1-EXP(-LN(2)/25))/(LN(2)/25)*Calculateur!HC142*Calculateur!HE142*VLOOKUP('Données projet'!$B$18,Paramètres!$A$1:$I$88,3,0)*0.475*44/12</f>
        <v>#N/A</v>
      </c>
      <c r="HI142" s="23" t="e">
        <f>EXP(-LN(2)/2)*HI141+(1-EXP(-LN(2)/2))/(LN(2)/2)*HC142*HF142*VLOOKUP('Données projet'!$B$18,Paramètres!$A$1:$I$88,3,0)*0.475*44/12</f>
        <v>#N/A</v>
      </c>
      <c r="HJ142" s="24" t="e">
        <f t="shared" si="138"/>
        <v>#N/A</v>
      </c>
    </row>
    <row r="143" spans="1:218" s="5" customFormat="1" x14ac:dyDescent="0.3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4.5474735088646412E-13</v>
      </c>
      <c r="O143" s="14">
        <f>N143*VLOOKUP('Données projet'!$B$9,Paramètres!$A$1:$I$88,3,0)*VLOOKUP('Données projet'!$B$9,Paramètres!$A$1:$I$88,5,0)</f>
        <v>2.5420376914553347E-13</v>
      </c>
      <c r="P143" s="14">
        <f t="shared" si="141"/>
        <v>3.4258699088369875E-12</v>
      </c>
      <c r="Q143" s="22">
        <f t="shared" si="108"/>
        <v>6.4094616558195571E-12</v>
      </c>
      <c r="R143" s="62">
        <f t="shared" si="109"/>
        <v>285.42308790423078</v>
      </c>
      <c r="S143" s="62">
        <f ca="1">AVERAGE(OFFSET($R$3,0,0,'Données projet'!$E$9+1,1))-AVERAGE(OFFSET($H$3,0,0,'Données projet'!$E$9+1,1))</f>
        <v>367.03450586441784</v>
      </c>
      <c r="T143" s="62">
        <f t="shared" si="142"/>
        <v>413.14502442862897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projet'!$B$9,Paramètres!$A$1:$I$88,7,0))</f>
        <v>0</v>
      </c>
      <c r="X143" s="17">
        <f>IF(ISNA(VLOOKUP(A143,'Données projet'!$A$35:$I$55,6,0)),0%,VLOOKUP(A143,'Données projet'!$A$35:$I$55,6,0)*VLOOKUP('Données projet'!$B$9,Paramètres!$A$1:$I$88,7,0))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projet'!$B$9,Paramètres!$A$1:$I$88,3,0)*0.475*44/12</f>
        <v>49.111235087351538</v>
      </c>
      <c r="AA143" s="23">
        <f>EXP(-LN(2)/25)*AA142+(1-EXP(-LN(2)/25))/(LN(2)/25)*Calculateur!V143*Calculateur!X143*VLOOKUP('Données projet'!$B$9,Paramètres!$A$1:$I$88,3,0)*0.475*44/12</f>
        <v>14.385886900651332</v>
      </c>
      <c r="AB143" s="23">
        <f>EXP(-LN(2)/2)*AB142+(1-EXP(-LN(2)/2))/(LN(2)/2)*V143*Y143*VLOOKUP('Données projet'!$B$9,Paramètres!$A$1:$I$88,3,0)*0.475*44/12</f>
        <v>0</v>
      </c>
      <c r="AC143" s="24">
        <f t="shared" si="111"/>
        <v>63.497121988002874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projet'!$B$10,Paramètres!$A$1:$I$88,3,0)*VLOOKUP('Données projet'!$B$10,Paramètres!$A$1:$I$88,5,0)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projet'!$B$10,Paramètres!$A$1:$I$88,7,0))</f>
        <v>0</v>
      </c>
      <c r="AS143" s="17">
        <f>IF(ISNA(VLOOKUP(A143,'Données projet'!$A$61:$I$81,6,0)),0%,VLOOKUP(A143,'Données projet'!$A$61:$I$81,6,0)*VLOOKUP('Données projet'!$B$10,Paramètres!$A$1:$I$88,7,0))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projet'!$B$10,Paramètres!$A$1:$I$88,3,0)*0.475*44/12</f>
        <v>#N/A</v>
      </c>
      <c r="AV143" s="23" t="e">
        <f>EXP(-LN(2)/25)*AV142+(1-EXP(-LN(2)/25))/(LN(2)/25)*Calculateur!AQ143*Calculateur!AS143*VLOOKUP('Données projet'!$B$10,Paramètres!$A$1:$I$88,3,0)*0.475*44/12</f>
        <v>#N/A</v>
      </c>
      <c r="AW143" s="23" t="e">
        <f>EXP(-LN(2)/2)*AW142+(1-EXP(-LN(2)/2))/(LN(2)/2)*AQ143*AT143*VLOOKUP('Données projet'!$B$10,Paramètres!$A$1:$I$88,3,0)*0.475*44/12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projet'!$B$11,Paramètres!$A$1:$I$88,3,0)*VLOOKUP('Données projet'!$B$11,Paramètres!$A$1:$I$88,5,0)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projet'!$B$11,Paramètres!$A$1:$I$88,7,0))</f>
        <v>0</v>
      </c>
      <c r="BN143" s="17">
        <f>IF(ISNA(VLOOKUP(A143,'Données projet'!$A$87:$I$107,6,0)),0%,VLOOKUP(A143,'Données projet'!$A$87:$I$107,6,0)*VLOOKUP('Données projet'!$B$11,Paramètres!$A$1:$I$88,7,0))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projet'!$B$11,Paramètres!$A$1:$I$88,3,0)*0.475*44/12</f>
        <v>#N/A</v>
      </c>
      <c r="BQ143" s="23" t="e">
        <f>EXP(-LN(2)/25)*BQ142+(1-EXP(-LN(2)/25))/(LN(2)/25)*Calculateur!BL143*Calculateur!BN143*VLOOKUP('Données projet'!$B$11,Paramètres!$A$1:$I$88,3,0)*0.475*44/12</f>
        <v>#N/A</v>
      </c>
      <c r="BR143" s="23" t="e">
        <f>EXP(-LN(2)/2)*BR142+(1-EXP(-LN(2)/2))/(LN(2)/2)*BL143*BO143*VLOOKUP('Données projet'!$B$11,Paramètres!$A$1:$I$88,3,0)*0.475*44/12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projet'!$B$12,Paramètres!$A$1:$I$88,3,0)*VLOOKUP('Données projet'!$B$12,Paramètres!$A$1:$I$88,5,0)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projet'!$B$12,Paramètres!$A$1:$I$88,7,0))</f>
        <v>0</v>
      </c>
      <c r="CI143" s="17">
        <f>IF(ISNA(VLOOKUP(A143,'Données projet'!$A$113:$I$133,6,0)),0%,VLOOKUP(A143,'Données projet'!$A$113:$I$133,6,0)*VLOOKUP('Données projet'!$B$12,Paramètres!$A$1:$I$88,7,0))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projet'!$B$12,Paramètres!$A$1:$I$88,3,0)*0.475*44/12</f>
        <v>#N/A</v>
      </c>
      <c r="CL143" s="23" t="e">
        <f>EXP(-LN(2)/25)*CL142+(1-EXP(-LN(2)/25))/(LN(2)/25)*Calculateur!CG143*Calculateur!CI143*VLOOKUP('Données projet'!$B$12,Paramètres!$A$1:$I$88,3,0)*0.475*44/12</f>
        <v>#N/A</v>
      </c>
      <c r="CM143" s="23" t="e">
        <f>EXP(-LN(2)/2)*CM142+(1-EXP(-LN(2)/2))/(LN(2)/2)*CG143*CJ143*VLOOKUP('Données projet'!$B$12,Paramètres!$A$1:$I$88,3,0)*0.475*44/12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projet'!$B$13,Paramètres!$A$1:$I$88,3,0)*VLOOKUP('Données projet'!$B$13,Paramètres!$A$1:$I$88,5,0)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projet'!$B$13,Paramètres!$A$1:$I$88,7,0))</f>
        <v>0</v>
      </c>
      <c r="DD143" s="17">
        <f>IF(ISNA(VLOOKUP(A143,'Données projet'!$A$139:$I$159,6,0)),0%,VLOOKUP(A143,'Données projet'!$A$139:$I$159,6,0)*VLOOKUP('Données projet'!$B$13,Paramètres!$A$1:$I$88,7,0))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projet'!$B$13,Paramètres!$A$1:$I$88,3,0)*0.475*44/12</f>
        <v>#N/A</v>
      </c>
      <c r="DG143" s="23" t="e">
        <f>EXP(-LN(2)/25)*DG142+(1-EXP(-LN(2)/25))/(LN(2)/25)*Calculateur!DB143*Calculateur!DD143*VLOOKUP('Données projet'!$B$13,Paramètres!$A$1:$I$88,3,0)*0.475*44/12</f>
        <v>#N/A</v>
      </c>
      <c r="DH143" s="23" t="e">
        <f>EXP(-LN(2)/2)*DH142+(1-EXP(-LN(2)/2))/(LN(2)/2)*DB143*DE143*VLOOKUP('Données projet'!$B$13,Paramètres!$A$1:$I$88,3,0)*0.475*44/12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projet'!$B$14,Paramètres!$A$1:$I$88,3,0)*VLOOKUP('Données projet'!$B$14,Paramètres!$A$1:$I$88,5,0)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projet'!$B$14,Paramètres!$A$1:$I$88,7,0))</f>
        <v>0</v>
      </c>
      <c r="DY143" s="17">
        <f>IF(ISNA(VLOOKUP(A143,'Données projet'!$A$165:$I$185,6,0)),0%,VLOOKUP(A143,'Données projet'!$A$165:$I$185,6,0)*VLOOKUP('Données projet'!$B$14,Paramètres!$A$1:$I$88,7,0))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projet'!$B$14,Paramètres!$A$1:$I$88,3,0)*0.475*44/12</f>
        <v>#N/A</v>
      </c>
      <c r="EB143" s="23" t="e">
        <f>EXP(-LN(2)/25)*EB142+(1-EXP(-LN(2)/25))/(LN(2)/25)*Calculateur!DW143*Calculateur!DY143*VLOOKUP('Données projet'!$B$14,Paramètres!$A$1:$I$88,3,0)*0.475*44/12</f>
        <v>#N/A</v>
      </c>
      <c r="EC143" s="23" t="e">
        <f>EXP(-LN(2)/2)*EC142+(1-EXP(-LN(2)/2))/(LN(2)/2)*DW143*DZ143*VLOOKUP('Données projet'!$B$14,Paramètres!$A$1:$I$88,3,0)*0.475*44/12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projet'!$B$15,Paramètres!$A$1:$I$88,3,0)*VLOOKUP('Données projet'!$B$15,Paramètres!$A$1:$I$88,5,0)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projet'!$B$15,Paramètres!$A$1:$I$88,7,0))</f>
        <v>0</v>
      </c>
      <c r="ET143" s="17">
        <f>IF(ISNA(VLOOKUP(A143,'Données projet'!$A$191:$I$211,6,0)),0%,VLOOKUP(A143,'Données projet'!$A$191:$I$211,6,0)*VLOOKUP('Données projet'!$B$15,Paramètres!$A$1:$I$88,7,0))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projet'!$B$15,Paramètres!$A$1:$I$88,3,0)*0.475*44/12</f>
        <v>#N/A</v>
      </c>
      <c r="EW143" s="23" t="e">
        <f>EXP(-LN(2)/25)*EW142+(1-EXP(-LN(2)/25))/(LN(2)/25)*Calculateur!ER143*Calculateur!ET143*VLOOKUP('Données projet'!$B$15,Paramètres!$A$1:$I$88,3,0)*0.475*44/12</f>
        <v>#N/A</v>
      </c>
      <c r="EX143" s="23" t="e">
        <f>EXP(-LN(2)/2)*EX142+(1-EXP(-LN(2)/2))/(LN(2)/2)*ER143*EU143*VLOOKUP('Données projet'!$B$15,Paramètres!$A$1:$I$88,3,0)*0.475*44/12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projet'!$B$16,Paramètres!$A$1:$I$88,3,0)*VLOOKUP('Données projet'!$B$16,Paramètres!$A$1:$I$88,5,0)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projet'!$B$16,Paramètres!$A$1:$I$88,7,0))</f>
        <v>0</v>
      </c>
      <c r="FO143" s="17">
        <f>IF(ISNA(VLOOKUP(A143,'Données projet'!$A$217:$I$237,6,0)),0%,VLOOKUP(A143,'Données projet'!$A$217:$I$237,6,0)*VLOOKUP('Données projet'!$B$16,Paramètres!$A$1:$I$88,7,0))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projet'!$B$16,Paramètres!$A$1:$I$88,3,0)*0.475*44/12</f>
        <v>#N/A</v>
      </c>
      <c r="FR143" s="23" t="e">
        <f>EXP(-LN(2)/25)*FR142+(1-EXP(-LN(2)/25))/(LN(2)/25)*Calculateur!FM143*Calculateur!FO143*VLOOKUP('Données projet'!$B$16,Paramètres!$A$1:$I$88,3,0)*0.475*44/12</f>
        <v>#N/A</v>
      </c>
      <c r="FS143" s="23" t="e">
        <f>EXP(-LN(2)/2)*FS142+(1-EXP(-LN(2)/2))/(LN(2)/2)*FM143*FP143*VLOOKUP('Données projet'!$B$16,Paramètres!$A$1:$I$88,3,0)*0.475*44/12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projet'!$B$17,Paramètres!$A$1:$I$88,3,0)*VLOOKUP('Données projet'!$B$17,Paramètres!$A$1:$I$88,5,0)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projet'!$B$17,Paramètres!$A$1:$I$88,7,0))</f>
        <v>0</v>
      </c>
      <c r="GJ143" s="17">
        <f>IF(ISNA(VLOOKUP(A143,'Données projet'!$A$243:$I$263,6,0)),0%,VLOOKUP(A143,'Données projet'!$A$243:$I$263,6,0)*VLOOKUP('Données projet'!$B$17,Paramètres!$A$1:$I$88,7,0))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projet'!$B$17,Paramètres!$A$1:$I$88,3,0)*0.475*44/12</f>
        <v>#N/A</v>
      </c>
      <c r="GM143" s="23" t="e">
        <f>EXP(-LN(2)/25)*GM142+(1-EXP(-LN(2)/25))/(LN(2)/25)*Calculateur!GH143*Calculateur!GJ143*VLOOKUP('Données projet'!$B$17,Paramètres!$A$1:$I$88,3,0)*0.475*44/12</f>
        <v>#N/A</v>
      </c>
      <c r="GN143" s="23" t="e">
        <f>EXP(-LN(2)/2)*GN142+(1-EXP(-LN(2)/2))/(LN(2)/2)*GH143*GK143*VLOOKUP('Données projet'!$B$17,Paramètres!$A$1:$I$88,3,0)*0.475*44/12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projet'!$B$18,Paramètres!$A$1:$I$88,3,0)*VLOOKUP('Données projet'!$B$18,Paramètres!$A$1:$I$88,5,0)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projet'!$B$18,Paramètres!$A$1:$I$88,7,0))</f>
        <v>0</v>
      </c>
      <c r="HE143" s="17">
        <f>IF(ISNA(VLOOKUP(A143,'Données projet'!$A$269:$I$289,6,0)),0%,VLOOKUP(A143,'Données projet'!$A$269:$I$289,6,0)*VLOOKUP('Données projet'!$B$18,Paramètres!$A$1:$I$88,7,0))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projet'!$B$18,Paramètres!$A$1:$I$88,3,0)*0.475*44/12</f>
        <v>#N/A</v>
      </c>
      <c r="HH143" s="23" t="e">
        <f>EXP(-LN(2)/25)*HH142+(1-EXP(-LN(2)/25))/(LN(2)/25)*Calculateur!HC143*Calculateur!HE143*VLOOKUP('Données projet'!$B$18,Paramètres!$A$1:$I$88,3,0)*0.475*44/12</f>
        <v>#N/A</v>
      </c>
      <c r="HI143" s="23" t="e">
        <f>EXP(-LN(2)/2)*HI142+(1-EXP(-LN(2)/2))/(LN(2)/2)*HC143*HF143*VLOOKUP('Données projet'!$B$18,Paramètres!$A$1:$I$88,3,0)*0.475*44/12</f>
        <v>#N/A</v>
      </c>
      <c r="HJ143" s="24" t="e">
        <f t="shared" si="138"/>
        <v>#N/A</v>
      </c>
    </row>
    <row r="144" spans="1:218" s="5" customFormat="1" x14ac:dyDescent="0.3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4.5474735088646412E-13</v>
      </c>
      <c r="O144" s="14">
        <f>N144*VLOOKUP('Données projet'!$B$9,Paramètres!$A$1:$I$88,3,0)*VLOOKUP('Données projet'!$B$9,Paramètres!$A$1:$I$88,5,0)</f>
        <v>2.5420376914553347E-13</v>
      </c>
      <c r="P144" s="14">
        <f t="shared" si="141"/>
        <v>3.4258699088369875E-12</v>
      </c>
      <c r="Q144" s="22">
        <f t="shared" si="108"/>
        <v>6.4094616558195571E-12</v>
      </c>
      <c r="R144" s="62">
        <f t="shared" si="109"/>
        <v>285.56031297776644</v>
      </c>
      <c r="S144" s="62">
        <f ca="1">AVERAGE(OFFSET($R$3,0,0,'Données projet'!$E$9+1,1))-AVERAGE(OFFSET($H$3,0,0,'Données projet'!$E$9+1,1))</f>
        <v>367.03450586441784</v>
      </c>
      <c r="T144" s="62">
        <f t="shared" si="142"/>
        <v>413.14502442862897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projet'!$B$9,Paramètres!$A$1:$I$88,7,0))</f>
        <v>0</v>
      </c>
      <c r="X144" s="17">
        <f>IF(ISNA(VLOOKUP(A144,'Données projet'!$A$35:$I$55,6,0)),0%,VLOOKUP(A144,'Données projet'!$A$35:$I$55,6,0)*VLOOKUP('Données projet'!$B$9,Paramètres!$A$1:$I$88,7,0))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projet'!$B$9,Paramètres!$A$1:$I$88,3,0)*0.475*44/12</f>
        <v>48.148193722184175</v>
      </c>
      <c r="AA144" s="23">
        <f>EXP(-LN(2)/25)*AA143+(1-EXP(-LN(2)/25))/(LN(2)/25)*Calculateur!V144*Calculateur!X144*VLOOKUP('Données projet'!$B$9,Paramètres!$A$1:$I$88,3,0)*0.475*44/12</f>
        <v>13.992504066832108</v>
      </c>
      <c r="AB144" s="23">
        <f>EXP(-LN(2)/2)*AB143+(1-EXP(-LN(2)/2))/(LN(2)/2)*V144*Y144*VLOOKUP('Données projet'!$B$9,Paramètres!$A$1:$I$88,3,0)*0.475*44/12</f>
        <v>0</v>
      </c>
      <c r="AC144" s="24">
        <f t="shared" si="111"/>
        <v>62.140697789016286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projet'!$B$10,Paramètres!$A$1:$I$88,3,0)*VLOOKUP('Données projet'!$B$10,Paramètres!$A$1:$I$88,5,0)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projet'!$B$10,Paramètres!$A$1:$I$88,7,0))</f>
        <v>0</v>
      </c>
      <c r="AS144" s="17">
        <f>IF(ISNA(VLOOKUP(A144,'Données projet'!$A$61:$I$81,6,0)),0%,VLOOKUP(A144,'Données projet'!$A$61:$I$81,6,0)*VLOOKUP('Données projet'!$B$10,Paramètres!$A$1:$I$88,7,0))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projet'!$B$10,Paramètres!$A$1:$I$88,3,0)*0.475*44/12</f>
        <v>#N/A</v>
      </c>
      <c r="AV144" s="23" t="e">
        <f>EXP(-LN(2)/25)*AV143+(1-EXP(-LN(2)/25))/(LN(2)/25)*Calculateur!AQ144*Calculateur!AS144*VLOOKUP('Données projet'!$B$10,Paramètres!$A$1:$I$88,3,0)*0.475*44/12</f>
        <v>#N/A</v>
      </c>
      <c r="AW144" s="23" t="e">
        <f>EXP(-LN(2)/2)*AW143+(1-EXP(-LN(2)/2))/(LN(2)/2)*AQ144*AT144*VLOOKUP('Données projet'!$B$10,Paramètres!$A$1:$I$88,3,0)*0.475*44/12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projet'!$B$11,Paramètres!$A$1:$I$88,3,0)*VLOOKUP('Données projet'!$B$11,Paramètres!$A$1:$I$88,5,0)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projet'!$B$11,Paramètres!$A$1:$I$88,7,0))</f>
        <v>0</v>
      </c>
      <c r="BN144" s="17">
        <f>IF(ISNA(VLOOKUP(A144,'Données projet'!$A$87:$I$107,6,0)),0%,VLOOKUP(A144,'Données projet'!$A$87:$I$107,6,0)*VLOOKUP('Données projet'!$B$11,Paramètres!$A$1:$I$88,7,0))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projet'!$B$11,Paramètres!$A$1:$I$88,3,0)*0.475*44/12</f>
        <v>#N/A</v>
      </c>
      <c r="BQ144" s="23" t="e">
        <f>EXP(-LN(2)/25)*BQ143+(1-EXP(-LN(2)/25))/(LN(2)/25)*Calculateur!BL144*Calculateur!BN144*VLOOKUP('Données projet'!$B$11,Paramètres!$A$1:$I$88,3,0)*0.475*44/12</f>
        <v>#N/A</v>
      </c>
      <c r="BR144" s="23" t="e">
        <f>EXP(-LN(2)/2)*BR143+(1-EXP(-LN(2)/2))/(LN(2)/2)*BL144*BO144*VLOOKUP('Données projet'!$B$11,Paramètres!$A$1:$I$88,3,0)*0.475*44/12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projet'!$B$12,Paramètres!$A$1:$I$88,3,0)*VLOOKUP('Données projet'!$B$12,Paramètres!$A$1:$I$88,5,0)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projet'!$B$12,Paramètres!$A$1:$I$88,7,0))</f>
        <v>0</v>
      </c>
      <c r="CI144" s="17">
        <f>IF(ISNA(VLOOKUP(A144,'Données projet'!$A$113:$I$133,6,0)),0%,VLOOKUP(A144,'Données projet'!$A$113:$I$133,6,0)*VLOOKUP('Données projet'!$B$12,Paramètres!$A$1:$I$88,7,0))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projet'!$B$12,Paramètres!$A$1:$I$88,3,0)*0.475*44/12</f>
        <v>#N/A</v>
      </c>
      <c r="CL144" s="23" t="e">
        <f>EXP(-LN(2)/25)*CL143+(1-EXP(-LN(2)/25))/(LN(2)/25)*Calculateur!CG144*Calculateur!CI144*VLOOKUP('Données projet'!$B$12,Paramètres!$A$1:$I$88,3,0)*0.475*44/12</f>
        <v>#N/A</v>
      </c>
      <c r="CM144" s="23" t="e">
        <f>EXP(-LN(2)/2)*CM143+(1-EXP(-LN(2)/2))/(LN(2)/2)*CG144*CJ144*VLOOKUP('Données projet'!$B$12,Paramètres!$A$1:$I$88,3,0)*0.475*44/12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projet'!$B$13,Paramètres!$A$1:$I$88,3,0)*VLOOKUP('Données projet'!$B$13,Paramètres!$A$1:$I$88,5,0)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projet'!$B$13,Paramètres!$A$1:$I$88,7,0))</f>
        <v>0</v>
      </c>
      <c r="DD144" s="17">
        <f>IF(ISNA(VLOOKUP(A144,'Données projet'!$A$139:$I$159,6,0)),0%,VLOOKUP(A144,'Données projet'!$A$139:$I$159,6,0)*VLOOKUP('Données projet'!$B$13,Paramètres!$A$1:$I$88,7,0))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projet'!$B$13,Paramètres!$A$1:$I$88,3,0)*0.475*44/12</f>
        <v>#N/A</v>
      </c>
      <c r="DG144" s="23" t="e">
        <f>EXP(-LN(2)/25)*DG143+(1-EXP(-LN(2)/25))/(LN(2)/25)*Calculateur!DB144*Calculateur!DD144*VLOOKUP('Données projet'!$B$13,Paramètres!$A$1:$I$88,3,0)*0.475*44/12</f>
        <v>#N/A</v>
      </c>
      <c r="DH144" s="23" t="e">
        <f>EXP(-LN(2)/2)*DH143+(1-EXP(-LN(2)/2))/(LN(2)/2)*DB144*DE144*VLOOKUP('Données projet'!$B$13,Paramètres!$A$1:$I$88,3,0)*0.475*44/12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projet'!$B$14,Paramètres!$A$1:$I$88,3,0)*VLOOKUP('Données projet'!$B$14,Paramètres!$A$1:$I$88,5,0)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projet'!$B$14,Paramètres!$A$1:$I$88,7,0))</f>
        <v>0</v>
      </c>
      <c r="DY144" s="17">
        <f>IF(ISNA(VLOOKUP(A144,'Données projet'!$A$165:$I$185,6,0)),0%,VLOOKUP(A144,'Données projet'!$A$165:$I$185,6,0)*VLOOKUP('Données projet'!$B$14,Paramètres!$A$1:$I$88,7,0))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projet'!$B$14,Paramètres!$A$1:$I$88,3,0)*0.475*44/12</f>
        <v>#N/A</v>
      </c>
      <c r="EB144" s="23" t="e">
        <f>EXP(-LN(2)/25)*EB143+(1-EXP(-LN(2)/25))/(LN(2)/25)*Calculateur!DW144*Calculateur!DY144*VLOOKUP('Données projet'!$B$14,Paramètres!$A$1:$I$88,3,0)*0.475*44/12</f>
        <v>#N/A</v>
      </c>
      <c r="EC144" s="23" t="e">
        <f>EXP(-LN(2)/2)*EC143+(1-EXP(-LN(2)/2))/(LN(2)/2)*DW144*DZ144*VLOOKUP('Données projet'!$B$14,Paramètres!$A$1:$I$88,3,0)*0.475*44/12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projet'!$B$15,Paramètres!$A$1:$I$88,3,0)*VLOOKUP('Données projet'!$B$15,Paramètres!$A$1:$I$88,5,0)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projet'!$B$15,Paramètres!$A$1:$I$88,7,0))</f>
        <v>0</v>
      </c>
      <c r="ET144" s="17">
        <f>IF(ISNA(VLOOKUP(A144,'Données projet'!$A$191:$I$211,6,0)),0%,VLOOKUP(A144,'Données projet'!$A$191:$I$211,6,0)*VLOOKUP('Données projet'!$B$15,Paramètres!$A$1:$I$88,7,0))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projet'!$B$15,Paramètres!$A$1:$I$88,3,0)*0.475*44/12</f>
        <v>#N/A</v>
      </c>
      <c r="EW144" s="23" t="e">
        <f>EXP(-LN(2)/25)*EW143+(1-EXP(-LN(2)/25))/(LN(2)/25)*Calculateur!ER144*Calculateur!ET144*VLOOKUP('Données projet'!$B$15,Paramètres!$A$1:$I$88,3,0)*0.475*44/12</f>
        <v>#N/A</v>
      </c>
      <c r="EX144" s="23" t="e">
        <f>EXP(-LN(2)/2)*EX143+(1-EXP(-LN(2)/2))/(LN(2)/2)*ER144*EU144*VLOOKUP('Données projet'!$B$15,Paramètres!$A$1:$I$88,3,0)*0.475*44/12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projet'!$B$16,Paramètres!$A$1:$I$88,3,0)*VLOOKUP('Données projet'!$B$16,Paramètres!$A$1:$I$88,5,0)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projet'!$B$16,Paramètres!$A$1:$I$88,7,0))</f>
        <v>0</v>
      </c>
      <c r="FO144" s="17">
        <f>IF(ISNA(VLOOKUP(A144,'Données projet'!$A$217:$I$237,6,0)),0%,VLOOKUP(A144,'Données projet'!$A$217:$I$237,6,0)*VLOOKUP('Données projet'!$B$16,Paramètres!$A$1:$I$88,7,0))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projet'!$B$16,Paramètres!$A$1:$I$88,3,0)*0.475*44/12</f>
        <v>#N/A</v>
      </c>
      <c r="FR144" s="23" t="e">
        <f>EXP(-LN(2)/25)*FR143+(1-EXP(-LN(2)/25))/(LN(2)/25)*Calculateur!FM144*Calculateur!FO144*VLOOKUP('Données projet'!$B$16,Paramètres!$A$1:$I$88,3,0)*0.475*44/12</f>
        <v>#N/A</v>
      </c>
      <c r="FS144" s="23" t="e">
        <f>EXP(-LN(2)/2)*FS143+(1-EXP(-LN(2)/2))/(LN(2)/2)*FM144*FP144*VLOOKUP('Données projet'!$B$16,Paramètres!$A$1:$I$88,3,0)*0.475*44/12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projet'!$B$17,Paramètres!$A$1:$I$88,3,0)*VLOOKUP('Données projet'!$B$17,Paramètres!$A$1:$I$88,5,0)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projet'!$B$17,Paramètres!$A$1:$I$88,7,0))</f>
        <v>0</v>
      </c>
      <c r="GJ144" s="17">
        <f>IF(ISNA(VLOOKUP(A144,'Données projet'!$A$243:$I$263,6,0)),0%,VLOOKUP(A144,'Données projet'!$A$243:$I$263,6,0)*VLOOKUP('Données projet'!$B$17,Paramètres!$A$1:$I$88,7,0))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projet'!$B$17,Paramètres!$A$1:$I$88,3,0)*0.475*44/12</f>
        <v>#N/A</v>
      </c>
      <c r="GM144" s="23" t="e">
        <f>EXP(-LN(2)/25)*GM143+(1-EXP(-LN(2)/25))/(LN(2)/25)*Calculateur!GH144*Calculateur!GJ144*VLOOKUP('Données projet'!$B$17,Paramètres!$A$1:$I$88,3,0)*0.475*44/12</f>
        <v>#N/A</v>
      </c>
      <c r="GN144" s="23" t="e">
        <f>EXP(-LN(2)/2)*GN143+(1-EXP(-LN(2)/2))/(LN(2)/2)*GH144*GK144*VLOOKUP('Données projet'!$B$17,Paramètres!$A$1:$I$88,3,0)*0.475*44/12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projet'!$B$18,Paramètres!$A$1:$I$88,3,0)*VLOOKUP('Données projet'!$B$18,Paramètres!$A$1:$I$88,5,0)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projet'!$B$18,Paramètres!$A$1:$I$88,7,0))</f>
        <v>0</v>
      </c>
      <c r="HE144" s="17">
        <f>IF(ISNA(VLOOKUP(A144,'Données projet'!$A$269:$I$289,6,0)),0%,VLOOKUP(A144,'Données projet'!$A$269:$I$289,6,0)*VLOOKUP('Données projet'!$B$18,Paramètres!$A$1:$I$88,7,0))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projet'!$B$18,Paramètres!$A$1:$I$88,3,0)*0.475*44/12</f>
        <v>#N/A</v>
      </c>
      <c r="HH144" s="23" t="e">
        <f>EXP(-LN(2)/25)*HH143+(1-EXP(-LN(2)/25))/(LN(2)/25)*Calculateur!HC144*Calculateur!HE144*VLOOKUP('Données projet'!$B$18,Paramètres!$A$1:$I$88,3,0)*0.475*44/12</f>
        <v>#N/A</v>
      </c>
      <c r="HI144" s="23" t="e">
        <f>EXP(-LN(2)/2)*HI143+(1-EXP(-LN(2)/2))/(LN(2)/2)*HC144*HF144*VLOOKUP('Données projet'!$B$18,Paramètres!$A$1:$I$88,3,0)*0.475*44/12</f>
        <v>#N/A</v>
      </c>
      <c r="HJ144" s="24" t="e">
        <f t="shared" si="138"/>
        <v>#N/A</v>
      </c>
    </row>
    <row r="145" spans="1:218" s="5" customFormat="1" x14ac:dyDescent="0.3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4.5474735088646412E-13</v>
      </c>
      <c r="O145" s="14">
        <f>N145*VLOOKUP('Données projet'!$B$9,Paramètres!$A$1:$I$88,3,0)*VLOOKUP('Données projet'!$B$9,Paramètres!$A$1:$I$88,5,0)</f>
        <v>2.5420376914553347E-13</v>
      </c>
      <c r="P145" s="14">
        <f t="shared" si="141"/>
        <v>3.4258699088369875E-12</v>
      </c>
      <c r="Q145" s="22">
        <f t="shared" si="108"/>
        <v>6.4094616558195571E-12</v>
      </c>
      <c r="R145" s="62">
        <f t="shared" si="109"/>
        <v>285.6951575030655</v>
      </c>
      <c r="S145" s="62">
        <f ca="1">AVERAGE(OFFSET($R$3,0,0,'Données projet'!$E$9+1,1))-AVERAGE(OFFSET($H$3,0,0,'Données projet'!$E$9+1,1))</f>
        <v>367.03450586441784</v>
      </c>
      <c r="T145" s="62">
        <f t="shared" si="142"/>
        <v>413.14502442862897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projet'!$B$9,Paramètres!$A$1:$I$88,7,0))</f>
        <v>0</v>
      </c>
      <c r="X145" s="17">
        <f>IF(ISNA(VLOOKUP(A145,'Données projet'!$A$35:$I$55,6,0)),0%,VLOOKUP(A145,'Données projet'!$A$35:$I$55,6,0)*VLOOKUP('Données projet'!$B$9,Paramètres!$A$1:$I$88,7,0))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projet'!$B$9,Paramètres!$A$1:$I$88,3,0)*0.475*44/12</f>
        <v>47.204037010790515</v>
      </c>
      <c r="AA145" s="23">
        <f>EXP(-LN(2)/25)*AA144+(1-EXP(-LN(2)/25))/(LN(2)/25)*Calculateur!V145*Calculateur!X145*VLOOKUP('Données projet'!$B$9,Paramètres!$A$1:$I$88,3,0)*0.475*44/12</f>
        <v>13.609878307290776</v>
      </c>
      <c r="AB145" s="23">
        <f>EXP(-LN(2)/2)*AB144+(1-EXP(-LN(2)/2))/(LN(2)/2)*V145*Y145*VLOOKUP('Données projet'!$B$9,Paramètres!$A$1:$I$88,3,0)*0.475*44/12</f>
        <v>0</v>
      </c>
      <c r="AC145" s="24">
        <f t="shared" si="111"/>
        <v>60.813915318081293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projet'!$B$10,Paramètres!$A$1:$I$88,3,0)*VLOOKUP('Données projet'!$B$10,Paramètres!$A$1:$I$88,5,0)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projet'!$B$10,Paramètres!$A$1:$I$88,7,0))</f>
        <v>0</v>
      </c>
      <c r="AS145" s="17">
        <f>IF(ISNA(VLOOKUP(A145,'Données projet'!$A$61:$I$81,6,0)),0%,VLOOKUP(A145,'Données projet'!$A$61:$I$81,6,0)*VLOOKUP('Données projet'!$B$10,Paramètres!$A$1:$I$88,7,0))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projet'!$B$10,Paramètres!$A$1:$I$88,3,0)*0.475*44/12</f>
        <v>#N/A</v>
      </c>
      <c r="AV145" s="23" t="e">
        <f>EXP(-LN(2)/25)*AV144+(1-EXP(-LN(2)/25))/(LN(2)/25)*Calculateur!AQ145*Calculateur!AS145*VLOOKUP('Données projet'!$B$10,Paramètres!$A$1:$I$88,3,0)*0.475*44/12</f>
        <v>#N/A</v>
      </c>
      <c r="AW145" s="23" t="e">
        <f>EXP(-LN(2)/2)*AW144+(1-EXP(-LN(2)/2))/(LN(2)/2)*AQ145*AT145*VLOOKUP('Données projet'!$B$10,Paramètres!$A$1:$I$88,3,0)*0.475*44/12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projet'!$B$11,Paramètres!$A$1:$I$88,3,0)*VLOOKUP('Données projet'!$B$11,Paramètres!$A$1:$I$88,5,0)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projet'!$B$11,Paramètres!$A$1:$I$88,7,0))</f>
        <v>0</v>
      </c>
      <c r="BN145" s="17">
        <f>IF(ISNA(VLOOKUP(A145,'Données projet'!$A$87:$I$107,6,0)),0%,VLOOKUP(A145,'Données projet'!$A$87:$I$107,6,0)*VLOOKUP('Données projet'!$B$11,Paramètres!$A$1:$I$88,7,0))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projet'!$B$11,Paramètres!$A$1:$I$88,3,0)*0.475*44/12</f>
        <v>#N/A</v>
      </c>
      <c r="BQ145" s="23" t="e">
        <f>EXP(-LN(2)/25)*BQ144+(1-EXP(-LN(2)/25))/(LN(2)/25)*Calculateur!BL145*Calculateur!BN145*VLOOKUP('Données projet'!$B$11,Paramètres!$A$1:$I$88,3,0)*0.475*44/12</f>
        <v>#N/A</v>
      </c>
      <c r="BR145" s="23" t="e">
        <f>EXP(-LN(2)/2)*BR144+(1-EXP(-LN(2)/2))/(LN(2)/2)*BL145*BO145*VLOOKUP('Données projet'!$B$11,Paramètres!$A$1:$I$88,3,0)*0.475*44/12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projet'!$B$12,Paramètres!$A$1:$I$88,3,0)*VLOOKUP('Données projet'!$B$12,Paramètres!$A$1:$I$88,5,0)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projet'!$B$12,Paramètres!$A$1:$I$88,7,0))</f>
        <v>0</v>
      </c>
      <c r="CI145" s="17">
        <f>IF(ISNA(VLOOKUP(A145,'Données projet'!$A$113:$I$133,6,0)),0%,VLOOKUP(A145,'Données projet'!$A$113:$I$133,6,0)*VLOOKUP('Données projet'!$B$12,Paramètres!$A$1:$I$88,7,0))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projet'!$B$12,Paramètres!$A$1:$I$88,3,0)*0.475*44/12</f>
        <v>#N/A</v>
      </c>
      <c r="CL145" s="23" t="e">
        <f>EXP(-LN(2)/25)*CL144+(1-EXP(-LN(2)/25))/(LN(2)/25)*Calculateur!CG145*Calculateur!CI145*VLOOKUP('Données projet'!$B$12,Paramètres!$A$1:$I$88,3,0)*0.475*44/12</f>
        <v>#N/A</v>
      </c>
      <c r="CM145" s="23" t="e">
        <f>EXP(-LN(2)/2)*CM144+(1-EXP(-LN(2)/2))/(LN(2)/2)*CG145*CJ145*VLOOKUP('Données projet'!$B$12,Paramètres!$A$1:$I$88,3,0)*0.475*44/12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projet'!$B$13,Paramètres!$A$1:$I$88,3,0)*VLOOKUP('Données projet'!$B$13,Paramètres!$A$1:$I$88,5,0)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projet'!$B$13,Paramètres!$A$1:$I$88,7,0))</f>
        <v>0</v>
      </c>
      <c r="DD145" s="17">
        <f>IF(ISNA(VLOOKUP(A145,'Données projet'!$A$139:$I$159,6,0)),0%,VLOOKUP(A145,'Données projet'!$A$139:$I$159,6,0)*VLOOKUP('Données projet'!$B$13,Paramètres!$A$1:$I$88,7,0))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projet'!$B$13,Paramètres!$A$1:$I$88,3,0)*0.475*44/12</f>
        <v>#N/A</v>
      </c>
      <c r="DG145" s="23" t="e">
        <f>EXP(-LN(2)/25)*DG144+(1-EXP(-LN(2)/25))/(LN(2)/25)*Calculateur!DB145*Calculateur!DD145*VLOOKUP('Données projet'!$B$13,Paramètres!$A$1:$I$88,3,0)*0.475*44/12</f>
        <v>#N/A</v>
      </c>
      <c r="DH145" s="23" t="e">
        <f>EXP(-LN(2)/2)*DH144+(1-EXP(-LN(2)/2))/(LN(2)/2)*DB145*DE145*VLOOKUP('Données projet'!$B$13,Paramètres!$A$1:$I$88,3,0)*0.475*44/12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projet'!$B$14,Paramètres!$A$1:$I$88,3,0)*VLOOKUP('Données projet'!$B$14,Paramètres!$A$1:$I$88,5,0)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projet'!$B$14,Paramètres!$A$1:$I$88,7,0))</f>
        <v>0</v>
      </c>
      <c r="DY145" s="17">
        <f>IF(ISNA(VLOOKUP(A145,'Données projet'!$A$165:$I$185,6,0)),0%,VLOOKUP(A145,'Données projet'!$A$165:$I$185,6,0)*VLOOKUP('Données projet'!$B$14,Paramètres!$A$1:$I$88,7,0))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projet'!$B$14,Paramètres!$A$1:$I$88,3,0)*0.475*44/12</f>
        <v>#N/A</v>
      </c>
      <c r="EB145" s="23" t="e">
        <f>EXP(-LN(2)/25)*EB144+(1-EXP(-LN(2)/25))/(LN(2)/25)*Calculateur!DW145*Calculateur!DY145*VLOOKUP('Données projet'!$B$14,Paramètres!$A$1:$I$88,3,0)*0.475*44/12</f>
        <v>#N/A</v>
      </c>
      <c r="EC145" s="23" t="e">
        <f>EXP(-LN(2)/2)*EC144+(1-EXP(-LN(2)/2))/(LN(2)/2)*DW145*DZ145*VLOOKUP('Données projet'!$B$14,Paramètres!$A$1:$I$88,3,0)*0.475*44/12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projet'!$B$15,Paramètres!$A$1:$I$88,3,0)*VLOOKUP('Données projet'!$B$15,Paramètres!$A$1:$I$88,5,0)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projet'!$B$15,Paramètres!$A$1:$I$88,7,0))</f>
        <v>0</v>
      </c>
      <c r="ET145" s="17">
        <f>IF(ISNA(VLOOKUP(A145,'Données projet'!$A$191:$I$211,6,0)),0%,VLOOKUP(A145,'Données projet'!$A$191:$I$211,6,0)*VLOOKUP('Données projet'!$B$15,Paramètres!$A$1:$I$88,7,0))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projet'!$B$15,Paramètres!$A$1:$I$88,3,0)*0.475*44/12</f>
        <v>#N/A</v>
      </c>
      <c r="EW145" s="23" t="e">
        <f>EXP(-LN(2)/25)*EW144+(1-EXP(-LN(2)/25))/(LN(2)/25)*Calculateur!ER145*Calculateur!ET145*VLOOKUP('Données projet'!$B$15,Paramètres!$A$1:$I$88,3,0)*0.475*44/12</f>
        <v>#N/A</v>
      </c>
      <c r="EX145" s="23" t="e">
        <f>EXP(-LN(2)/2)*EX144+(1-EXP(-LN(2)/2))/(LN(2)/2)*ER145*EU145*VLOOKUP('Données projet'!$B$15,Paramètres!$A$1:$I$88,3,0)*0.475*44/12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projet'!$B$16,Paramètres!$A$1:$I$88,3,0)*VLOOKUP('Données projet'!$B$16,Paramètres!$A$1:$I$88,5,0)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projet'!$B$16,Paramètres!$A$1:$I$88,7,0))</f>
        <v>0</v>
      </c>
      <c r="FO145" s="17">
        <f>IF(ISNA(VLOOKUP(A145,'Données projet'!$A$217:$I$237,6,0)),0%,VLOOKUP(A145,'Données projet'!$A$217:$I$237,6,0)*VLOOKUP('Données projet'!$B$16,Paramètres!$A$1:$I$88,7,0))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projet'!$B$16,Paramètres!$A$1:$I$88,3,0)*0.475*44/12</f>
        <v>#N/A</v>
      </c>
      <c r="FR145" s="23" t="e">
        <f>EXP(-LN(2)/25)*FR144+(1-EXP(-LN(2)/25))/(LN(2)/25)*Calculateur!FM145*Calculateur!FO145*VLOOKUP('Données projet'!$B$16,Paramètres!$A$1:$I$88,3,0)*0.475*44/12</f>
        <v>#N/A</v>
      </c>
      <c r="FS145" s="23" t="e">
        <f>EXP(-LN(2)/2)*FS144+(1-EXP(-LN(2)/2))/(LN(2)/2)*FM145*FP145*VLOOKUP('Données projet'!$B$16,Paramètres!$A$1:$I$88,3,0)*0.475*44/12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projet'!$B$17,Paramètres!$A$1:$I$88,3,0)*VLOOKUP('Données projet'!$B$17,Paramètres!$A$1:$I$88,5,0)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projet'!$B$17,Paramètres!$A$1:$I$88,7,0))</f>
        <v>0</v>
      </c>
      <c r="GJ145" s="17">
        <f>IF(ISNA(VLOOKUP(A145,'Données projet'!$A$243:$I$263,6,0)),0%,VLOOKUP(A145,'Données projet'!$A$243:$I$263,6,0)*VLOOKUP('Données projet'!$B$17,Paramètres!$A$1:$I$88,7,0))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projet'!$B$17,Paramètres!$A$1:$I$88,3,0)*0.475*44/12</f>
        <v>#N/A</v>
      </c>
      <c r="GM145" s="23" t="e">
        <f>EXP(-LN(2)/25)*GM144+(1-EXP(-LN(2)/25))/(LN(2)/25)*Calculateur!GH145*Calculateur!GJ145*VLOOKUP('Données projet'!$B$17,Paramètres!$A$1:$I$88,3,0)*0.475*44/12</f>
        <v>#N/A</v>
      </c>
      <c r="GN145" s="23" t="e">
        <f>EXP(-LN(2)/2)*GN144+(1-EXP(-LN(2)/2))/(LN(2)/2)*GH145*GK145*VLOOKUP('Données projet'!$B$17,Paramètres!$A$1:$I$88,3,0)*0.475*44/12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projet'!$B$18,Paramètres!$A$1:$I$88,3,0)*VLOOKUP('Données projet'!$B$18,Paramètres!$A$1:$I$88,5,0)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projet'!$B$18,Paramètres!$A$1:$I$88,7,0))</f>
        <v>0</v>
      </c>
      <c r="HE145" s="17">
        <f>IF(ISNA(VLOOKUP(A145,'Données projet'!$A$269:$I$289,6,0)),0%,VLOOKUP(A145,'Données projet'!$A$269:$I$289,6,0)*VLOOKUP('Données projet'!$B$18,Paramètres!$A$1:$I$88,7,0))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projet'!$B$18,Paramètres!$A$1:$I$88,3,0)*0.475*44/12</f>
        <v>#N/A</v>
      </c>
      <c r="HH145" s="23" t="e">
        <f>EXP(-LN(2)/25)*HH144+(1-EXP(-LN(2)/25))/(LN(2)/25)*Calculateur!HC145*Calculateur!HE145*VLOOKUP('Données projet'!$B$18,Paramètres!$A$1:$I$88,3,0)*0.475*44/12</f>
        <v>#N/A</v>
      </c>
      <c r="HI145" s="23" t="e">
        <f>EXP(-LN(2)/2)*HI144+(1-EXP(-LN(2)/2))/(LN(2)/2)*HC145*HF145*VLOOKUP('Données projet'!$B$18,Paramètres!$A$1:$I$88,3,0)*0.475*44/12</f>
        <v>#N/A</v>
      </c>
      <c r="HJ145" s="24" t="e">
        <f t="shared" si="138"/>
        <v>#N/A</v>
      </c>
    </row>
    <row r="146" spans="1:218" s="5" customFormat="1" x14ac:dyDescent="0.3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4.5474735088646412E-13</v>
      </c>
      <c r="O146" s="14">
        <f>N146*VLOOKUP('Données projet'!$B$9,Paramètres!$A$1:$I$88,3,0)*VLOOKUP('Données projet'!$B$9,Paramètres!$A$1:$I$88,5,0)</f>
        <v>2.5420376914553347E-13</v>
      </c>
      <c r="P146" s="14">
        <f t="shared" si="141"/>
        <v>3.4258699088369875E-12</v>
      </c>
      <c r="Q146" s="22">
        <f t="shared" si="108"/>
        <v>6.4094616558195571E-12</v>
      </c>
      <c r="R146" s="62">
        <f t="shared" si="109"/>
        <v>285.82766277731787</v>
      </c>
      <c r="S146" s="62">
        <f ca="1">AVERAGE(OFFSET($R$3,0,0,'Données projet'!$E$9+1,1))-AVERAGE(OFFSET($H$3,0,0,'Données projet'!$E$9+1,1))</f>
        <v>367.03450586441784</v>
      </c>
      <c r="T146" s="62">
        <f t="shared" si="142"/>
        <v>413.14502442862897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projet'!$B$9,Paramètres!$A$1:$I$88,7,0))</f>
        <v>0</v>
      </c>
      <c r="X146" s="17">
        <f>IF(ISNA(VLOOKUP(A146,'Données projet'!$A$35:$I$55,6,0)),0%,VLOOKUP(A146,'Données projet'!$A$35:$I$55,6,0)*VLOOKUP('Données projet'!$B$9,Paramètres!$A$1:$I$88,7,0))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projet'!$B$9,Paramètres!$A$1:$I$88,3,0)*0.475*44/12</f>
        <v>46.278394636628555</v>
      </c>
      <c r="AA146" s="23">
        <f>EXP(-LN(2)/25)*AA145+(1-EXP(-LN(2)/25))/(LN(2)/25)*Calculateur!V146*Calculateur!X146*VLOOKUP('Données projet'!$B$9,Paramètres!$A$1:$I$88,3,0)*0.475*44/12</f>
        <v>13.237715469265515</v>
      </c>
      <c r="AB146" s="23">
        <f>EXP(-LN(2)/2)*AB145+(1-EXP(-LN(2)/2))/(LN(2)/2)*V146*Y146*VLOOKUP('Données projet'!$B$9,Paramètres!$A$1:$I$88,3,0)*0.475*44/12</f>
        <v>0</v>
      </c>
      <c r="AC146" s="24">
        <f t="shared" si="111"/>
        <v>59.516110105894072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projet'!$B$10,Paramètres!$A$1:$I$88,3,0)*VLOOKUP('Données projet'!$B$10,Paramètres!$A$1:$I$88,5,0)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projet'!$B$10,Paramètres!$A$1:$I$88,7,0))</f>
        <v>0</v>
      </c>
      <c r="AS146" s="17">
        <f>IF(ISNA(VLOOKUP(A146,'Données projet'!$A$61:$I$81,6,0)),0%,VLOOKUP(A146,'Données projet'!$A$61:$I$81,6,0)*VLOOKUP('Données projet'!$B$10,Paramètres!$A$1:$I$88,7,0))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projet'!$B$10,Paramètres!$A$1:$I$88,3,0)*0.475*44/12</f>
        <v>#N/A</v>
      </c>
      <c r="AV146" s="23" t="e">
        <f>EXP(-LN(2)/25)*AV145+(1-EXP(-LN(2)/25))/(LN(2)/25)*Calculateur!AQ146*Calculateur!AS146*VLOOKUP('Données projet'!$B$10,Paramètres!$A$1:$I$88,3,0)*0.475*44/12</f>
        <v>#N/A</v>
      </c>
      <c r="AW146" s="23" t="e">
        <f>EXP(-LN(2)/2)*AW145+(1-EXP(-LN(2)/2))/(LN(2)/2)*AQ146*AT146*VLOOKUP('Données projet'!$B$10,Paramètres!$A$1:$I$88,3,0)*0.475*44/12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projet'!$B$11,Paramètres!$A$1:$I$88,3,0)*VLOOKUP('Données projet'!$B$11,Paramètres!$A$1:$I$88,5,0)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projet'!$B$11,Paramètres!$A$1:$I$88,7,0))</f>
        <v>0</v>
      </c>
      <c r="BN146" s="17">
        <f>IF(ISNA(VLOOKUP(A146,'Données projet'!$A$87:$I$107,6,0)),0%,VLOOKUP(A146,'Données projet'!$A$87:$I$107,6,0)*VLOOKUP('Données projet'!$B$11,Paramètres!$A$1:$I$88,7,0))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projet'!$B$11,Paramètres!$A$1:$I$88,3,0)*0.475*44/12</f>
        <v>#N/A</v>
      </c>
      <c r="BQ146" s="23" t="e">
        <f>EXP(-LN(2)/25)*BQ145+(1-EXP(-LN(2)/25))/(LN(2)/25)*Calculateur!BL146*Calculateur!BN146*VLOOKUP('Données projet'!$B$11,Paramètres!$A$1:$I$88,3,0)*0.475*44/12</f>
        <v>#N/A</v>
      </c>
      <c r="BR146" s="23" t="e">
        <f>EXP(-LN(2)/2)*BR145+(1-EXP(-LN(2)/2))/(LN(2)/2)*BL146*BO146*VLOOKUP('Données projet'!$B$11,Paramètres!$A$1:$I$88,3,0)*0.475*44/12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projet'!$B$12,Paramètres!$A$1:$I$88,3,0)*VLOOKUP('Données projet'!$B$12,Paramètres!$A$1:$I$88,5,0)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projet'!$B$12,Paramètres!$A$1:$I$88,7,0))</f>
        <v>0</v>
      </c>
      <c r="CI146" s="17">
        <f>IF(ISNA(VLOOKUP(A146,'Données projet'!$A$113:$I$133,6,0)),0%,VLOOKUP(A146,'Données projet'!$A$113:$I$133,6,0)*VLOOKUP('Données projet'!$B$12,Paramètres!$A$1:$I$88,7,0))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projet'!$B$12,Paramètres!$A$1:$I$88,3,0)*0.475*44/12</f>
        <v>#N/A</v>
      </c>
      <c r="CL146" s="23" t="e">
        <f>EXP(-LN(2)/25)*CL145+(1-EXP(-LN(2)/25))/(LN(2)/25)*Calculateur!CG146*Calculateur!CI146*VLOOKUP('Données projet'!$B$12,Paramètres!$A$1:$I$88,3,0)*0.475*44/12</f>
        <v>#N/A</v>
      </c>
      <c r="CM146" s="23" t="e">
        <f>EXP(-LN(2)/2)*CM145+(1-EXP(-LN(2)/2))/(LN(2)/2)*CG146*CJ146*VLOOKUP('Données projet'!$B$12,Paramètres!$A$1:$I$88,3,0)*0.475*44/12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projet'!$B$13,Paramètres!$A$1:$I$88,3,0)*VLOOKUP('Données projet'!$B$13,Paramètres!$A$1:$I$88,5,0)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projet'!$B$13,Paramètres!$A$1:$I$88,7,0))</f>
        <v>0</v>
      </c>
      <c r="DD146" s="17">
        <f>IF(ISNA(VLOOKUP(A146,'Données projet'!$A$139:$I$159,6,0)),0%,VLOOKUP(A146,'Données projet'!$A$139:$I$159,6,0)*VLOOKUP('Données projet'!$B$13,Paramètres!$A$1:$I$88,7,0))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projet'!$B$13,Paramètres!$A$1:$I$88,3,0)*0.475*44/12</f>
        <v>#N/A</v>
      </c>
      <c r="DG146" s="23" t="e">
        <f>EXP(-LN(2)/25)*DG145+(1-EXP(-LN(2)/25))/(LN(2)/25)*Calculateur!DB146*Calculateur!DD146*VLOOKUP('Données projet'!$B$13,Paramètres!$A$1:$I$88,3,0)*0.475*44/12</f>
        <v>#N/A</v>
      </c>
      <c r="DH146" s="23" t="e">
        <f>EXP(-LN(2)/2)*DH145+(1-EXP(-LN(2)/2))/(LN(2)/2)*DB146*DE146*VLOOKUP('Données projet'!$B$13,Paramètres!$A$1:$I$88,3,0)*0.475*44/12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projet'!$B$14,Paramètres!$A$1:$I$88,3,0)*VLOOKUP('Données projet'!$B$14,Paramètres!$A$1:$I$88,5,0)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projet'!$B$14,Paramètres!$A$1:$I$88,7,0))</f>
        <v>0</v>
      </c>
      <c r="DY146" s="17">
        <f>IF(ISNA(VLOOKUP(A146,'Données projet'!$A$165:$I$185,6,0)),0%,VLOOKUP(A146,'Données projet'!$A$165:$I$185,6,0)*VLOOKUP('Données projet'!$B$14,Paramètres!$A$1:$I$88,7,0))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projet'!$B$14,Paramètres!$A$1:$I$88,3,0)*0.475*44/12</f>
        <v>#N/A</v>
      </c>
      <c r="EB146" s="23" t="e">
        <f>EXP(-LN(2)/25)*EB145+(1-EXP(-LN(2)/25))/(LN(2)/25)*Calculateur!DW146*Calculateur!DY146*VLOOKUP('Données projet'!$B$14,Paramètres!$A$1:$I$88,3,0)*0.475*44/12</f>
        <v>#N/A</v>
      </c>
      <c r="EC146" s="23" t="e">
        <f>EXP(-LN(2)/2)*EC145+(1-EXP(-LN(2)/2))/(LN(2)/2)*DW146*DZ146*VLOOKUP('Données projet'!$B$14,Paramètres!$A$1:$I$88,3,0)*0.475*44/12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projet'!$B$15,Paramètres!$A$1:$I$88,3,0)*VLOOKUP('Données projet'!$B$15,Paramètres!$A$1:$I$88,5,0)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projet'!$B$15,Paramètres!$A$1:$I$88,7,0))</f>
        <v>0</v>
      </c>
      <c r="ET146" s="17">
        <f>IF(ISNA(VLOOKUP(A146,'Données projet'!$A$191:$I$211,6,0)),0%,VLOOKUP(A146,'Données projet'!$A$191:$I$211,6,0)*VLOOKUP('Données projet'!$B$15,Paramètres!$A$1:$I$88,7,0))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projet'!$B$15,Paramètres!$A$1:$I$88,3,0)*0.475*44/12</f>
        <v>#N/A</v>
      </c>
      <c r="EW146" s="23" t="e">
        <f>EXP(-LN(2)/25)*EW145+(1-EXP(-LN(2)/25))/(LN(2)/25)*Calculateur!ER146*Calculateur!ET146*VLOOKUP('Données projet'!$B$15,Paramètres!$A$1:$I$88,3,0)*0.475*44/12</f>
        <v>#N/A</v>
      </c>
      <c r="EX146" s="23" t="e">
        <f>EXP(-LN(2)/2)*EX145+(1-EXP(-LN(2)/2))/(LN(2)/2)*ER146*EU146*VLOOKUP('Données projet'!$B$15,Paramètres!$A$1:$I$88,3,0)*0.475*44/12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projet'!$B$16,Paramètres!$A$1:$I$88,3,0)*VLOOKUP('Données projet'!$B$16,Paramètres!$A$1:$I$88,5,0)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projet'!$B$16,Paramètres!$A$1:$I$88,7,0))</f>
        <v>0</v>
      </c>
      <c r="FO146" s="17">
        <f>IF(ISNA(VLOOKUP(A146,'Données projet'!$A$217:$I$237,6,0)),0%,VLOOKUP(A146,'Données projet'!$A$217:$I$237,6,0)*VLOOKUP('Données projet'!$B$16,Paramètres!$A$1:$I$88,7,0))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projet'!$B$16,Paramètres!$A$1:$I$88,3,0)*0.475*44/12</f>
        <v>#N/A</v>
      </c>
      <c r="FR146" s="23" t="e">
        <f>EXP(-LN(2)/25)*FR145+(1-EXP(-LN(2)/25))/(LN(2)/25)*Calculateur!FM146*Calculateur!FO146*VLOOKUP('Données projet'!$B$16,Paramètres!$A$1:$I$88,3,0)*0.475*44/12</f>
        <v>#N/A</v>
      </c>
      <c r="FS146" s="23" t="e">
        <f>EXP(-LN(2)/2)*FS145+(1-EXP(-LN(2)/2))/(LN(2)/2)*FM146*FP146*VLOOKUP('Données projet'!$B$16,Paramètres!$A$1:$I$88,3,0)*0.475*44/12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projet'!$B$17,Paramètres!$A$1:$I$88,3,0)*VLOOKUP('Données projet'!$B$17,Paramètres!$A$1:$I$88,5,0)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projet'!$B$17,Paramètres!$A$1:$I$88,7,0))</f>
        <v>0</v>
      </c>
      <c r="GJ146" s="17">
        <f>IF(ISNA(VLOOKUP(A146,'Données projet'!$A$243:$I$263,6,0)),0%,VLOOKUP(A146,'Données projet'!$A$243:$I$263,6,0)*VLOOKUP('Données projet'!$B$17,Paramètres!$A$1:$I$88,7,0))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projet'!$B$17,Paramètres!$A$1:$I$88,3,0)*0.475*44/12</f>
        <v>#N/A</v>
      </c>
      <c r="GM146" s="23" t="e">
        <f>EXP(-LN(2)/25)*GM145+(1-EXP(-LN(2)/25))/(LN(2)/25)*Calculateur!GH146*Calculateur!GJ146*VLOOKUP('Données projet'!$B$17,Paramètres!$A$1:$I$88,3,0)*0.475*44/12</f>
        <v>#N/A</v>
      </c>
      <c r="GN146" s="23" t="e">
        <f>EXP(-LN(2)/2)*GN145+(1-EXP(-LN(2)/2))/(LN(2)/2)*GH146*GK146*VLOOKUP('Données projet'!$B$17,Paramètres!$A$1:$I$88,3,0)*0.475*44/12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projet'!$B$18,Paramètres!$A$1:$I$88,3,0)*VLOOKUP('Données projet'!$B$18,Paramètres!$A$1:$I$88,5,0)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projet'!$B$18,Paramètres!$A$1:$I$88,7,0))</f>
        <v>0</v>
      </c>
      <c r="HE146" s="17">
        <f>IF(ISNA(VLOOKUP(A146,'Données projet'!$A$269:$I$289,6,0)),0%,VLOOKUP(A146,'Données projet'!$A$269:$I$289,6,0)*VLOOKUP('Données projet'!$B$18,Paramètres!$A$1:$I$88,7,0))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projet'!$B$18,Paramètres!$A$1:$I$88,3,0)*0.475*44/12</f>
        <v>#N/A</v>
      </c>
      <c r="HH146" s="23" t="e">
        <f>EXP(-LN(2)/25)*HH145+(1-EXP(-LN(2)/25))/(LN(2)/25)*Calculateur!HC146*Calculateur!HE146*VLOOKUP('Données projet'!$B$18,Paramètres!$A$1:$I$88,3,0)*0.475*44/12</f>
        <v>#N/A</v>
      </c>
      <c r="HI146" s="23" t="e">
        <f>EXP(-LN(2)/2)*HI145+(1-EXP(-LN(2)/2))/(LN(2)/2)*HC146*HF146*VLOOKUP('Données projet'!$B$18,Paramètres!$A$1:$I$88,3,0)*0.475*44/12</f>
        <v>#N/A</v>
      </c>
      <c r="HJ146" s="24" t="e">
        <f t="shared" si="138"/>
        <v>#N/A</v>
      </c>
    </row>
    <row r="147" spans="1:218" s="5" customFormat="1" x14ac:dyDescent="0.3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4.5474735088646412E-13</v>
      </c>
      <c r="O147" s="14">
        <f>N147*VLOOKUP('Données projet'!$B$9,Paramètres!$A$1:$I$88,3,0)*VLOOKUP('Données projet'!$B$9,Paramètres!$A$1:$I$88,5,0)</f>
        <v>2.5420376914553347E-13</v>
      </c>
      <c r="P147" s="14">
        <f t="shared" si="141"/>
        <v>3.4258699088369875E-12</v>
      </c>
      <c r="Q147" s="22">
        <f t="shared" si="108"/>
        <v>6.4094616558195571E-12</v>
      </c>
      <c r="R147" s="62">
        <f t="shared" si="109"/>
        <v>285.9578693812993</v>
      </c>
      <c r="S147" s="62">
        <f ca="1">AVERAGE(OFFSET($R$3,0,0,'Données projet'!$E$9+1,1))-AVERAGE(OFFSET($H$3,0,0,'Données projet'!$E$9+1,1))</f>
        <v>367.03450586441784</v>
      </c>
      <c r="T147" s="62">
        <f t="shared" si="142"/>
        <v>413.14502442862897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projet'!$B$9,Paramètres!$A$1:$I$88,7,0))</f>
        <v>0</v>
      </c>
      <c r="X147" s="17">
        <f>IF(ISNA(VLOOKUP(A147,'Données projet'!$A$35:$I$55,6,0)),0%,VLOOKUP(A147,'Données projet'!$A$35:$I$55,6,0)*VLOOKUP('Données projet'!$B$9,Paramètres!$A$1:$I$88,7,0))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projet'!$B$9,Paramètres!$A$1:$I$88,3,0)*0.475*44/12</f>
        <v>45.370903544837809</v>
      </c>
      <c r="AA147" s="23">
        <f>EXP(-LN(2)/25)*AA146+(1-EXP(-LN(2)/25))/(LN(2)/25)*Calculateur!V147*Calculateur!X147*VLOOKUP('Données projet'!$B$9,Paramètres!$A$1:$I$88,3,0)*0.475*44/12</f>
        <v>12.875729443617248</v>
      </c>
      <c r="AB147" s="23">
        <f>EXP(-LN(2)/2)*AB146+(1-EXP(-LN(2)/2))/(LN(2)/2)*V147*Y147*VLOOKUP('Données projet'!$B$9,Paramètres!$A$1:$I$88,3,0)*0.475*44/12</f>
        <v>0</v>
      </c>
      <c r="AC147" s="24">
        <f t="shared" si="111"/>
        <v>58.246632988455055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projet'!$B$10,Paramètres!$A$1:$I$88,3,0)*VLOOKUP('Données projet'!$B$10,Paramètres!$A$1:$I$88,5,0)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projet'!$B$10,Paramètres!$A$1:$I$88,7,0))</f>
        <v>0</v>
      </c>
      <c r="AS147" s="17">
        <f>IF(ISNA(VLOOKUP(A147,'Données projet'!$A$61:$I$81,6,0)),0%,VLOOKUP(A147,'Données projet'!$A$61:$I$81,6,0)*VLOOKUP('Données projet'!$B$10,Paramètres!$A$1:$I$88,7,0))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projet'!$B$10,Paramètres!$A$1:$I$88,3,0)*0.475*44/12</f>
        <v>#N/A</v>
      </c>
      <c r="AV147" s="23" t="e">
        <f>EXP(-LN(2)/25)*AV146+(1-EXP(-LN(2)/25))/(LN(2)/25)*Calculateur!AQ147*Calculateur!AS147*VLOOKUP('Données projet'!$B$10,Paramètres!$A$1:$I$88,3,0)*0.475*44/12</f>
        <v>#N/A</v>
      </c>
      <c r="AW147" s="23" t="e">
        <f>EXP(-LN(2)/2)*AW146+(1-EXP(-LN(2)/2))/(LN(2)/2)*AQ147*AT147*VLOOKUP('Données projet'!$B$10,Paramètres!$A$1:$I$88,3,0)*0.475*44/12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projet'!$B$11,Paramètres!$A$1:$I$88,3,0)*VLOOKUP('Données projet'!$B$11,Paramètres!$A$1:$I$88,5,0)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projet'!$B$11,Paramètres!$A$1:$I$88,7,0))</f>
        <v>0</v>
      </c>
      <c r="BN147" s="17">
        <f>IF(ISNA(VLOOKUP(A147,'Données projet'!$A$87:$I$107,6,0)),0%,VLOOKUP(A147,'Données projet'!$A$87:$I$107,6,0)*VLOOKUP('Données projet'!$B$11,Paramètres!$A$1:$I$88,7,0))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projet'!$B$11,Paramètres!$A$1:$I$88,3,0)*0.475*44/12</f>
        <v>#N/A</v>
      </c>
      <c r="BQ147" s="23" t="e">
        <f>EXP(-LN(2)/25)*BQ146+(1-EXP(-LN(2)/25))/(LN(2)/25)*Calculateur!BL147*Calculateur!BN147*VLOOKUP('Données projet'!$B$11,Paramètres!$A$1:$I$88,3,0)*0.475*44/12</f>
        <v>#N/A</v>
      </c>
      <c r="BR147" s="23" t="e">
        <f>EXP(-LN(2)/2)*BR146+(1-EXP(-LN(2)/2))/(LN(2)/2)*BL147*BO147*VLOOKUP('Données projet'!$B$11,Paramètres!$A$1:$I$88,3,0)*0.475*44/12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projet'!$B$12,Paramètres!$A$1:$I$88,3,0)*VLOOKUP('Données projet'!$B$12,Paramètres!$A$1:$I$88,5,0)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projet'!$B$12,Paramètres!$A$1:$I$88,7,0))</f>
        <v>0</v>
      </c>
      <c r="CI147" s="17">
        <f>IF(ISNA(VLOOKUP(A147,'Données projet'!$A$113:$I$133,6,0)),0%,VLOOKUP(A147,'Données projet'!$A$113:$I$133,6,0)*VLOOKUP('Données projet'!$B$12,Paramètres!$A$1:$I$88,7,0))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projet'!$B$12,Paramètres!$A$1:$I$88,3,0)*0.475*44/12</f>
        <v>#N/A</v>
      </c>
      <c r="CL147" s="23" t="e">
        <f>EXP(-LN(2)/25)*CL146+(1-EXP(-LN(2)/25))/(LN(2)/25)*Calculateur!CG147*Calculateur!CI147*VLOOKUP('Données projet'!$B$12,Paramètres!$A$1:$I$88,3,0)*0.475*44/12</f>
        <v>#N/A</v>
      </c>
      <c r="CM147" s="23" t="e">
        <f>EXP(-LN(2)/2)*CM146+(1-EXP(-LN(2)/2))/(LN(2)/2)*CG147*CJ147*VLOOKUP('Données projet'!$B$12,Paramètres!$A$1:$I$88,3,0)*0.475*44/12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projet'!$B$13,Paramètres!$A$1:$I$88,3,0)*VLOOKUP('Données projet'!$B$13,Paramètres!$A$1:$I$88,5,0)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projet'!$B$13,Paramètres!$A$1:$I$88,7,0))</f>
        <v>0</v>
      </c>
      <c r="DD147" s="17">
        <f>IF(ISNA(VLOOKUP(A147,'Données projet'!$A$139:$I$159,6,0)),0%,VLOOKUP(A147,'Données projet'!$A$139:$I$159,6,0)*VLOOKUP('Données projet'!$B$13,Paramètres!$A$1:$I$88,7,0))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projet'!$B$13,Paramètres!$A$1:$I$88,3,0)*0.475*44/12</f>
        <v>#N/A</v>
      </c>
      <c r="DG147" s="23" t="e">
        <f>EXP(-LN(2)/25)*DG146+(1-EXP(-LN(2)/25))/(LN(2)/25)*Calculateur!DB147*Calculateur!DD147*VLOOKUP('Données projet'!$B$13,Paramètres!$A$1:$I$88,3,0)*0.475*44/12</f>
        <v>#N/A</v>
      </c>
      <c r="DH147" s="23" t="e">
        <f>EXP(-LN(2)/2)*DH146+(1-EXP(-LN(2)/2))/(LN(2)/2)*DB147*DE147*VLOOKUP('Données projet'!$B$13,Paramètres!$A$1:$I$88,3,0)*0.475*44/12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projet'!$B$14,Paramètres!$A$1:$I$88,3,0)*VLOOKUP('Données projet'!$B$14,Paramètres!$A$1:$I$88,5,0)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projet'!$B$14,Paramètres!$A$1:$I$88,7,0))</f>
        <v>0</v>
      </c>
      <c r="DY147" s="17">
        <f>IF(ISNA(VLOOKUP(A147,'Données projet'!$A$165:$I$185,6,0)),0%,VLOOKUP(A147,'Données projet'!$A$165:$I$185,6,0)*VLOOKUP('Données projet'!$B$14,Paramètres!$A$1:$I$88,7,0))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projet'!$B$14,Paramètres!$A$1:$I$88,3,0)*0.475*44/12</f>
        <v>#N/A</v>
      </c>
      <c r="EB147" s="23" t="e">
        <f>EXP(-LN(2)/25)*EB146+(1-EXP(-LN(2)/25))/(LN(2)/25)*Calculateur!DW147*Calculateur!DY147*VLOOKUP('Données projet'!$B$14,Paramètres!$A$1:$I$88,3,0)*0.475*44/12</f>
        <v>#N/A</v>
      </c>
      <c r="EC147" s="23" t="e">
        <f>EXP(-LN(2)/2)*EC146+(1-EXP(-LN(2)/2))/(LN(2)/2)*DW147*DZ147*VLOOKUP('Données projet'!$B$14,Paramètres!$A$1:$I$88,3,0)*0.475*44/12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projet'!$B$15,Paramètres!$A$1:$I$88,3,0)*VLOOKUP('Données projet'!$B$15,Paramètres!$A$1:$I$88,5,0)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projet'!$B$15,Paramètres!$A$1:$I$88,7,0))</f>
        <v>0</v>
      </c>
      <c r="ET147" s="17">
        <f>IF(ISNA(VLOOKUP(A147,'Données projet'!$A$191:$I$211,6,0)),0%,VLOOKUP(A147,'Données projet'!$A$191:$I$211,6,0)*VLOOKUP('Données projet'!$B$15,Paramètres!$A$1:$I$88,7,0))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projet'!$B$15,Paramètres!$A$1:$I$88,3,0)*0.475*44/12</f>
        <v>#N/A</v>
      </c>
      <c r="EW147" s="23" t="e">
        <f>EXP(-LN(2)/25)*EW146+(1-EXP(-LN(2)/25))/(LN(2)/25)*Calculateur!ER147*Calculateur!ET147*VLOOKUP('Données projet'!$B$15,Paramètres!$A$1:$I$88,3,0)*0.475*44/12</f>
        <v>#N/A</v>
      </c>
      <c r="EX147" s="23" t="e">
        <f>EXP(-LN(2)/2)*EX146+(1-EXP(-LN(2)/2))/(LN(2)/2)*ER147*EU147*VLOOKUP('Données projet'!$B$15,Paramètres!$A$1:$I$88,3,0)*0.475*44/12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projet'!$B$16,Paramètres!$A$1:$I$88,3,0)*VLOOKUP('Données projet'!$B$16,Paramètres!$A$1:$I$88,5,0)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projet'!$B$16,Paramètres!$A$1:$I$88,7,0))</f>
        <v>0</v>
      </c>
      <c r="FO147" s="17">
        <f>IF(ISNA(VLOOKUP(A147,'Données projet'!$A$217:$I$237,6,0)),0%,VLOOKUP(A147,'Données projet'!$A$217:$I$237,6,0)*VLOOKUP('Données projet'!$B$16,Paramètres!$A$1:$I$88,7,0))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projet'!$B$16,Paramètres!$A$1:$I$88,3,0)*0.475*44/12</f>
        <v>#N/A</v>
      </c>
      <c r="FR147" s="23" t="e">
        <f>EXP(-LN(2)/25)*FR146+(1-EXP(-LN(2)/25))/(LN(2)/25)*Calculateur!FM147*Calculateur!FO147*VLOOKUP('Données projet'!$B$16,Paramètres!$A$1:$I$88,3,0)*0.475*44/12</f>
        <v>#N/A</v>
      </c>
      <c r="FS147" s="23" t="e">
        <f>EXP(-LN(2)/2)*FS146+(1-EXP(-LN(2)/2))/(LN(2)/2)*FM147*FP147*VLOOKUP('Données projet'!$B$16,Paramètres!$A$1:$I$88,3,0)*0.475*44/12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projet'!$B$17,Paramètres!$A$1:$I$88,3,0)*VLOOKUP('Données projet'!$B$17,Paramètres!$A$1:$I$88,5,0)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projet'!$B$17,Paramètres!$A$1:$I$88,7,0))</f>
        <v>0</v>
      </c>
      <c r="GJ147" s="17">
        <f>IF(ISNA(VLOOKUP(A147,'Données projet'!$A$243:$I$263,6,0)),0%,VLOOKUP(A147,'Données projet'!$A$243:$I$263,6,0)*VLOOKUP('Données projet'!$B$17,Paramètres!$A$1:$I$88,7,0))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projet'!$B$17,Paramètres!$A$1:$I$88,3,0)*0.475*44/12</f>
        <v>#N/A</v>
      </c>
      <c r="GM147" s="23" t="e">
        <f>EXP(-LN(2)/25)*GM146+(1-EXP(-LN(2)/25))/(LN(2)/25)*Calculateur!GH147*Calculateur!GJ147*VLOOKUP('Données projet'!$B$17,Paramètres!$A$1:$I$88,3,0)*0.475*44/12</f>
        <v>#N/A</v>
      </c>
      <c r="GN147" s="23" t="e">
        <f>EXP(-LN(2)/2)*GN146+(1-EXP(-LN(2)/2))/(LN(2)/2)*GH147*GK147*VLOOKUP('Données projet'!$B$17,Paramètres!$A$1:$I$88,3,0)*0.475*44/12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projet'!$B$18,Paramètres!$A$1:$I$88,3,0)*VLOOKUP('Données projet'!$B$18,Paramètres!$A$1:$I$88,5,0)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projet'!$B$18,Paramètres!$A$1:$I$88,7,0))</f>
        <v>0</v>
      </c>
      <c r="HE147" s="17">
        <f>IF(ISNA(VLOOKUP(A147,'Données projet'!$A$269:$I$289,6,0)),0%,VLOOKUP(A147,'Données projet'!$A$269:$I$289,6,0)*VLOOKUP('Données projet'!$B$18,Paramètres!$A$1:$I$88,7,0))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projet'!$B$18,Paramètres!$A$1:$I$88,3,0)*0.475*44/12</f>
        <v>#N/A</v>
      </c>
      <c r="HH147" s="23" t="e">
        <f>EXP(-LN(2)/25)*HH146+(1-EXP(-LN(2)/25))/(LN(2)/25)*Calculateur!HC147*Calculateur!HE147*VLOOKUP('Données projet'!$B$18,Paramètres!$A$1:$I$88,3,0)*0.475*44/12</f>
        <v>#N/A</v>
      </c>
      <c r="HI147" s="23" t="e">
        <f>EXP(-LN(2)/2)*HI146+(1-EXP(-LN(2)/2))/(LN(2)/2)*HC147*HF147*VLOOKUP('Données projet'!$B$18,Paramètres!$A$1:$I$88,3,0)*0.475*44/12</f>
        <v>#N/A</v>
      </c>
      <c r="HJ147" s="24" t="e">
        <f t="shared" si="138"/>
        <v>#N/A</v>
      </c>
    </row>
    <row r="148" spans="1:218" s="5" customFormat="1" x14ac:dyDescent="0.3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4.5474735088646412E-13</v>
      </c>
      <c r="O148" s="14">
        <f>N148*VLOOKUP('Données projet'!$B$9,Paramètres!$A$1:$I$88,3,0)*VLOOKUP('Données projet'!$B$9,Paramètres!$A$1:$I$88,5,0)</f>
        <v>2.5420376914553347E-13</v>
      </c>
      <c r="P148" s="14">
        <f t="shared" si="141"/>
        <v>3.4258699088369875E-12</v>
      </c>
      <c r="Q148" s="22">
        <f t="shared" si="108"/>
        <v>6.4094616558195571E-12</v>
      </c>
      <c r="R148" s="62">
        <f t="shared" si="109"/>
        <v>286.0858171918</v>
      </c>
      <c r="S148" s="62">
        <f ca="1">AVERAGE(OFFSET($R$3,0,0,'Données projet'!$E$9+1,1))-AVERAGE(OFFSET($H$3,0,0,'Données projet'!$E$9+1,1))</f>
        <v>367.03450586441784</v>
      </c>
      <c r="T148" s="62">
        <f t="shared" si="142"/>
        <v>413.14502442862897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projet'!$B$9,Paramètres!$A$1:$I$88,7,0))</f>
        <v>0</v>
      </c>
      <c r="X148" s="17">
        <f>IF(ISNA(VLOOKUP(A148,'Données projet'!$A$35:$I$55,6,0)),0%,VLOOKUP(A148,'Données projet'!$A$35:$I$55,6,0)*VLOOKUP('Données projet'!$B$9,Paramètres!$A$1:$I$88,7,0))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projet'!$B$9,Paramètres!$A$1:$I$88,3,0)*0.475*44/12</f>
        <v>44.481207799842167</v>
      </c>
      <c r="AA148" s="23">
        <f>EXP(-LN(2)/25)*AA147+(1-EXP(-LN(2)/25))/(LN(2)/25)*Calculateur!V148*Calculateur!X148*VLOOKUP('Données projet'!$B$9,Paramètres!$A$1:$I$88,3,0)*0.475*44/12</f>
        <v>12.523641944876351</v>
      </c>
      <c r="AB148" s="23">
        <f>EXP(-LN(2)/2)*AB147+(1-EXP(-LN(2)/2))/(LN(2)/2)*V148*Y148*VLOOKUP('Données projet'!$B$9,Paramètres!$A$1:$I$88,3,0)*0.475*44/12</f>
        <v>0</v>
      </c>
      <c r="AC148" s="24">
        <f t="shared" si="111"/>
        <v>57.00484974471852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projet'!$B$10,Paramètres!$A$1:$I$88,3,0)*VLOOKUP('Données projet'!$B$10,Paramètres!$A$1:$I$88,5,0)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projet'!$B$10,Paramètres!$A$1:$I$88,7,0))</f>
        <v>0</v>
      </c>
      <c r="AS148" s="17">
        <f>IF(ISNA(VLOOKUP(A148,'Données projet'!$A$61:$I$81,6,0)),0%,VLOOKUP(A148,'Données projet'!$A$61:$I$81,6,0)*VLOOKUP('Données projet'!$B$10,Paramètres!$A$1:$I$88,7,0))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projet'!$B$10,Paramètres!$A$1:$I$88,3,0)*0.475*44/12</f>
        <v>#N/A</v>
      </c>
      <c r="AV148" s="23" t="e">
        <f>EXP(-LN(2)/25)*AV147+(1-EXP(-LN(2)/25))/(LN(2)/25)*Calculateur!AQ148*Calculateur!AS148*VLOOKUP('Données projet'!$B$10,Paramètres!$A$1:$I$88,3,0)*0.475*44/12</f>
        <v>#N/A</v>
      </c>
      <c r="AW148" s="23" t="e">
        <f>EXP(-LN(2)/2)*AW147+(1-EXP(-LN(2)/2))/(LN(2)/2)*AQ148*AT148*VLOOKUP('Données projet'!$B$10,Paramètres!$A$1:$I$88,3,0)*0.475*44/12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projet'!$B$11,Paramètres!$A$1:$I$88,3,0)*VLOOKUP('Données projet'!$B$11,Paramètres!$A$1:$I$88,5,0)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projet'!$B$11,Paramètres!$A$1:$I$88,7,0))</f>
        <v>0</v>
      </c>
      <c r="BN148" s="17">
        <f>IF(ISNA(VLOOKUP(A148,'Données projet'!$A$87:$I$107,6,0)),0%,VLOOKUP(A148,'Données projet'!$A$87:$I$107,6,0)*VLOOKUP('Données projet'!$B$11,Paramètres!$A$1:$I$88,7,0))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projet'!$B$11,Paramètres!$A$1:$I$88,3,0)*0.475*44/12</f>
        <v>#N/A</v>
      </c>
      <c r="BQ148" s="23" t="e">
        <f>EXP(-LN(2)/25)*BQ147+(1-EXP(-LN(2)/25))/(LN(2)/25)*Calculateur!BL148*Calculateur!BN148*VLOOKUP('Données projet'!$B$11,Paramètres!$A$1:$I$88,3,0)*0.475*44/12</f>
        <v>#N/A</v>
      </c>
      <c r="BR148" s="23" t="e">
        <f>EXP(-LN(2)/2)*BR147+(1-EXP(-LN(2)/2))/(LN(2)/2)*BL148*BO148*VLOOKUP('Données projet'!$B$11,Paramètres!$A$1:$I$88,3,0)*0.475*44/12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projet'!$B$12,Paramètres!$A$1:$I$88,3,0)*VLOOKUP('Données projet'!$B$12,Paramètres!$A$1:$I$88,5,0)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projet'!$B$12,Paramètres!$A$1:$I$88,7,0))</f>
        <v>0</v>
      </c>
      <c r="CI148" s="17">
        <f>IF(ISNA(VLOOKUP(A148,'Données projet'!$A$113:$I$133,6,0)),0%,VLOOKUP(A148,'Données projet'!$A$113:$I$133,6,0)*VLOOKUP('Données projet'!$B$12,Paramètres!$A$1:$I$88,7,0))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projet'!$B$12,Paramètres!$A$1:$I$88,3,0)*0.475*44/12</f>
        <v>#N/A</v>
      </c>
      <c r="CL148" s="23" t="e">
        <f>EXP(-LN(2)/25)*CL147+(1-EXP(-LN(2)/25))/(LN(2)/25)*Calculateur!CG148*Calculateur!CI148*VLOOKUP('Données projet'!$B$12,Paramètres!$A$1:$I$88,3,0)*0.475*44/12</f>
        <v>#N/A</v>
      </c>
      <c r="CM148" s="23" t="e">
        <f>EXP(-LN(2)/2)*CM147+(1-EXP(-LN(2)/2))/(LN(2)/2)*CG148*CJ148*VLOOKUP('Données projet'!$B$12,Paramètres!$A$1:$I$88,3,0)*0.475*44/12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projet'!$B$13,Paramètres!$A$1:$I$88,3,0)*VLOOKUP('Données projet'!$B$13,Paramètres!$A$1:$I$88,5,0)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projet'!$B$13,Paramètres!$A$1:$I$88,7,0))</f>
        <v>0</v>
      </c>
      <c r="DD148" s="17">
        <f>IF(ISNA(VLOOKUP(A148,'Données projet'!$A$139:$I$159,6,0)),0%,VLOOKUP(A148,'Données projet'!$A$139:$I$159,6,0)*VLOOKUP('Données projet'!$B$13,Paramètres!$A$1:$I$88,7,0))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projet'!$B$13,Paramètres!$A$1:$I$88,3,0)*0.475*44/12</f>
        <v>#N/A</v>
      </c>
      <c r="DG148" s="23" t="e">
        <f>EXP(-LN(2)/25)*DG147+(1-EXP(-LN(2)/25))/(LN(2)/25)*Calculateur!DB148*Calculateur!DD148*VLOOKUP('Données projet'!$B$13,Paramètres!$A$1:$I$88,3,0)*0.475*44/12</f>
        <v>#N/A</v>
      </c>
      <c r="DH148" s="23" t="e">
        <f>EXP(-LN(2)/2)*DH147+(1-EXP(-LN(2)/2))/(LN(2)/2)*DB148*DE148*VLOOKUP('Données projet'!$B$13,Paramètres!$A$1:$I$88,3,0)*0.475*44/12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projet'!$B$14,Paramètres!$A$1:$I$88,3,0)*VLOOKUP('Données projet'!$B$14,Paramètres!$A$1:$I$88,5,0)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projet'!$B$14,Paramètres!$A$1:$I$88,7,0))</f>
        <v>0</v>
      </c>
      <c r="DY148" s="17">
        <f>IF(ISNA(VLOOKUP(A148,'Données projet'!$A$165:$I$185,6,0)),0%,VLOOKUP(A148,'Données projet'!$A$165:$I$185,6,0)*VLOOKUP('Données projet'!$B$14,Paramètres!$A$1:$I$88,7,0))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projet'!$B$14,Paramètres!$A$1:$I$88,3,0)*0.475*44/12</f>
        <v>#N/A</v>
      </c>
      <c r="EB148" s="23" t="e">
        <f>EXP(-LN(2)/25)*EB147+(1-EXP(-LN(2)/25))/(LN(2)/25)*Calculateur!DW148*Calculateur!DY148*VLOOKUP('Données projet'!$B$14,Paramètres!$A$1:$I$88,3,0)*0.475*44/12</f>
        <v>#N/A</v>
      </c>
      <c r="EC148" s="23" t="e">
        <f>EXP(-LN(2)/2)*EC147+(1-EXP(-LN(2)/2))/(LN(2)/2)*DW148*DZ148*VLOOKUP('Données projet'!$B$14,Paramètres!$A$1:$I$88,3,0)*0.475*44/12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projet'!$B$15,Paramètres!$A$1:$I$88,3,0)*VLOOKUP('Données projet'!$B$15,Paramètres!$A$1:$I$88,5,0)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projet'!$B$15,Paramètres!$A$1:$I$88,7,0))</f>
        <v>0</v>
      </c>
      <c r="ET148" s="17">
        <f>IF(ISNA(VLOOKUP(A148,'Données projet'!$A$191:$I$211,6,0)),0%,VLOOKUP(A148,'Données projet'!$A$191:$I$211,6,0)*VLOOKUP('Données projet'!$B$15,Paramètres!$A$1:$I$88,7,0))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projet'!$B$15,Paramètres!$A$1:$I$88,3,0)*0.475*44/12</f>
        <v>#N/A</v>
      </c>
      <c r="EW148" s="23" t="e">
        <f>EXP(-LN(2)/25)*EW147+(1-EXP(-LN(2)/25))/(LN(2)/25)*Calculateur!ER148*Calculateur!ET148*VLOOKUP('Données projet'!$B$15,Paramètres!$A$1:$I$88,3,0)*0.475*44/12</f>
        <v>#N/A</v>
      </c>
      <c r="EX148" s="23" t="e">
        <f>EXP(-LN(2)/2)*EX147+(1-EXP(-LN(2)/2))/(LN(2)/2)*ER148*EU148*VLOOKUP('Données projet'!$B$15,Paramètres!$A$1:$I$88,3,0)*0.475*44/12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projet'!$B$16,Paramètres!$A$1:$I$88,3,0)*VLOOKUP('Données projet'!$B$16,Paramètres!$A$1:$I$88,5,0)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projet'!$B$16,Paramètres!$A$1:$I$88,7,0))</f>
        <v>0</v>
      </c>
      <c r="FO148" s="17">
        <f>IF(ISNA(VLOOKUP(A148,'Données projet'!$A$217:$I$237,6,0)),0%,VLOOKUP(A148,'Données projet'!$A$217:$I$237,6,0)*VLOOKUP('Données projet'!$B$16,Paramètres!$A$1:$I$88,7,0))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projet'!$B$16,Paramètres!$A$1:$I$88,3,0)*0.475*44/12</f>
        <v>#N/A</v>
      </c>
      <c r="FR148" s="23" t="e">
        <f>EXP(-LN(2)/25)*FR147+(1-EXP(-LN(2)/25))/(LN(2)/25)*Calculateur!FM148*Calculateur!FO148*VLOOKUP('Données projet'!$B$16,Paramètres!$A$1:$I$88,3,0)*0.475*44/12</f>
        <v>#N/A</v>
      </c>
      <c r="FS148" s="23" t="e">
        <f>EXP(-LN(2)/2)*FS147+(1-EXP(-LN(2)/2))/(LN(2)/2)*FM148*FP148*VLOOKUP('Données projet'!$B$16,Paramètres!$A$1:$I$88,3,0)*0.475*44/12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projet'!$B$17,Paramètres!$A$1:$I$88,3,0)*VLOOKUP('Données projet'!$B$17,Paramètres!$A$1:$I$88,5,0)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projet'!$B$17,Paramètres!$A$1:$I$88,7,0))</f>
        <v>0</v>
      </c>
      <c r="GJ148" s="17">
        <f>IF(ISNA(VLOOKUP(A148,'Données projet'!$A$243:$I$263,6,0)),0%,VLOOKUP(A148,'Données projet'!$A$243:$I$263,6,0)*VLOOKUP('Données projet'!$B$17,Paramètres!$A$1:$I$88,7,0))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projet'!$B$17,Paramètres!$A$1:$I$88,3,0)*0.475*44/12</f>
        <v>#N/A</v>
      </c>
      <c r="GM148" s="23" t="e">
        <f>EXP(-LN(2)/25)*GM147+(1-EXP(-LN(2)/25))/(LN(2)/25)*Calculateur!GH148*Calculateur!GJ148*VLOOKUP('Données projet'!$B$17,Paramètres!$A$1:$I$88,3,0)*0.475*44/12</f>
        <v>#N/A</v>
      </c>
      <c r="GN148" s="23" t="e">
        <f>EXP(-LN(2)/2)*GN147+(1-EXP(-LN(2)/2))/(LN(2)/2)*GH148*GK148*VLOOKUP('Données projet'!$B$17,Paramètres!$A$1:$I$88,3,0)*0.475*44/12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projet'!$B$18,Paramètres!$A$1:$I$88,3,0)*VLOOKUP('Données projet'!$B$18,Paramètres!$A$1:$I$88,5,0)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projet'!$B$18,Paramètres!$A$1:$I$88,7,0))</f>
        <v>0</v>
      </c>
      <c r="HE148" s="17">
        <f>IF(ISNA(VLOOKUP(A148,'Données projet'!$A$269:$I$289,6,0)),0%,VLOOKUP(A148,'Données projet'!$A$269:$I$289,6,0)*VLOOKUP('Données projet'!$B$18,Paramètres!$A$1:$I$88,7,0))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projet'!$B$18,Paramètres!$A$1:$I$88,3,0)*0.475*44/12</f>
        <v>#N/A</v>
      </c>
      <c r="HH148" s="23" t="e">
        <f>EXP(-LN(2)/25)*HH147+(1-EXP(-LN(2)/25))/(LN(2)/25)*Calculateur!HC148*Calculateur!HE148*VLOOKUP('Données projet'!$B$18,Paramètres!$A$1:$I$88,3,0)*0.475*44/12</f>
        <v>#N/A</v>
      </c>
      <c r="HI148" s="23" t="e">
        <f>EXP(-LN(2)/2)*HI147+(1-EXP(-LN(2)/2))/(LN(2)/2)*HC148*HF148*VLOOKUP('Données projet'!$B$18,Paramètres!$A$1:$I$88,3,0)*0.475*44/12</f>
        <v>#N/A</v>
      </c>
      <c r="HJ148" s="24" t="e">
        <f t="shared" si="138"/>
        <v>#N/A</v>
      </c>
    </row>
    <row r="149" spans="1:218" s="5" customFormat="1" x14ac:dyDescent="0.3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4.5474735088646412E-13</v>
      </c>
      <c r="O149" s="14">
        <f>N149*VLOOKUP('Données projet'!$B$9,Paramètres!$A$1:$I$88,3,0)*VLOOKUP('Données projet'!$B$9,Paramètres!$A$1:$I$88,5,0)</f>
        <v>2.5420376914553347E-13</v>
      </c>
      <c r="P149" s="14">
        <f t="shared" si="141"/>
        <v>3.4258699088369875E-12</v>
      </c>
      <c r="Q149" s="22">
        <f t="shared" si="108"/>
        <v>6.4094616558195571E-12</v>
      </c>
      <c r="R149" s="62">
        <f t="shared" si="109"/>
        <v>286.21154539383707</v>
      </c>
      <c r="S149" s="62">
        <f ca="1">AVERAGE(OFFSET($R$3,0,0,'Données projet'!$E$9+1,1))-AVERAGE(OFFSET($H$3,0,0,'Données projet'!$E$9+1,1))</f>
        <v>367.03450586441784</v>
      </c>
      <c r="T149" s="62">
        <f t="shared" si="142"/>
        <v>413.14502442862897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projet'!$B$9,Paramètres!$A$1:$I$88,7,0))</f>
        <v>0</v>
      </c>
      <c r="X149" s="17">
        <f>IF(ISNA(VLOOKUP(A149,'Données projet'!$A$35:$I$55,6,0)),0%,VLOOKUP(A149,'Données projet'!$A$35:$I$55,6,0)*VLOOKUP('Données projet'!$B$9,Paramètres!$A$1:$I$88,7,0))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projet'!$B$9,Paramètres!$A$1:$I$88,3,0)*0.475*44/12</f>
        <v>43.608958445745067</v>
      </c>
      <c r="AA149" s="23">
        <f>EXP(-LN(2)/25)*AA148+(1-EXP(-LN(2)/25))/(LN(2)/25)*Calculateur!V149*Calculateur!X149*VLOOKUP('Données projet'!$B$9,Paramètres!$A$1:$I$88,3,0)*0.475*44/12</f>
        <v>12.181182297304</v>
      </c>
      <c r="AB149" s="23">
        <f>EXP(-LN(2)/2)*AB148+(1-EXP(-LN(2)/2))/(LN(2)/2)*V149*Y149*VLOOKUP('Données projet'!$B$9,Paramètres!$A$1:$I$88,3,0)*0.475*44/12</f>
        <v>0</v>
      </c>
      <c r="AC149" s="24">
        <f t="shared" si="111"/>
        <v>55.790140743049065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projet'!$B$10,Paramètres!$A$1:$I$88,3,0)*VLOOKUP('Données projet'!$B$10,Paramètres!$A$1:$I$88,5,0)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projet'!$B$10,Paramètres!$A$1:$I$88,7,0))</f>
        <v>0</v>
      </c>
      <c r="AS149" s="17">
        <f>IF(ISNA(VLOOKUP(A149,'Données projet'!$A$61:$I$81,6,0)),0%,VLOOKUP(A149,'Données projet'!$A$61:$I$81,6,0)*VLOOKUP('Données projet'!$B$10,Paramètres!$A$1:$I$88,7,0))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projet'!$B$10,Paramètres!$A$1:$I$88,3,0)*0.475*44/12</f>
        <v>#N/A</v>
      </c>
      <c r="AV149" s="23" t="e">
        <f>EXP(-LN(2)/25)*AV148+(1-EXP(-LN(2)/25))/(LN(2)/25)*Calculateur!AQ149*Calculateur!AS149*VLOOKUP('Données projet'!$B$10,Paramètres!$A$1:$I$88,3,0)*0.475*44/12</f>
        <v>#N/A</v>
      </c>
      <c r="AW149" s="23" t="e">
        <f>EXP(-LN(2)/2)*AW148+(1-EXP(-LN(2)/2))/(LN(2)/2)*AQ149*AT149*VLOOKUP('Données projet'!$B$10,Paramètres!$A$1:$I$88,3,0)*0.475*44/12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projet'!$B$11,Paramètres!$A$1:$I$88,3,0)*VLOOKUP('Données projet'!$B$11,Paramètres!$A$1:$I$88,5,0)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projet'!$B$11,Paramètres!$A$1:$I$88,7,0))</f>
        <v>0</v>
      </c>
      <c r="BN149" s="17">
        <f>IF(ISNA(VLOOKUP(A149,'Données projet'!$A$87:$I$107,6,0)),0%,VLOOKUP(A149,'Données projet'!$A$87:$I$107,6,0)*VLOOKUP('Données projet'!$B$11,Paramètres!$A$1:$I$88,7,0))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projet'!$B$11,Paramètres!$A$1:$I$88,3,0)*0.475*44/12</f>
        <v>#N/A</v>
      </c>
      <c r="BQ149" s="23" t="e">
        <f>EXP(-LN(2)/25)*BQ148+(1-EXP(-LN(2)/25))/(LN(2)/25)*Calculateur!BL149*Calculateur!BN149*VLOOKUP('Données projet'!$B$11,Paramètres!$A$1:$I$88,3,0)*0.475*44/12</f>
        <v>#N/A</v>
      </c>
      <c r="BR149" s="23" t="e">
        <f>EXP(-LN(2)/2)*BR148+(1-EXP(-LN(2)/2))/(LN(2)/2)*BL149*BO149*VLOOKUP('Données projet'!$B$11,Paramètres!$A$1:$I$88,3,0)*0.475*44/12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projet'!$B$12,Paramètres!$A$1:$I$88,3,0)*VLOOKUP('Données projet'!$B$12,Paramètres!$A$1:$I$88,5,0)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projet'!$B$12,Paramètres!$A$1:$I$88,7,0))</f>
        <v>0</v>
      </c>
      <c r="CI149" s="17">
        <f>IF(ISNA(VLOOKUP(A149,'Données projet'!$A$113:$I$133,6,0)),0%,VLOOKUP(A149,'Données projet'!$A$113:$I$133,6,0)*VLOOKUP('Données projet'!$B$12,Paramètres!$A$1:$I$88,7,0))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projet'!$B$12,Paramètres!$A$1:$I$88,3,0)*0.475*44/12</f>
        <v>#N/A</v>
      </c>
      <c r="CL149" s="23" t="e">
        <f>EXP(-LN(2)/25)*CL148+(1-EXP(-LN(2)/25))/(LN(2)/25)*Calculateur!CG149*Calculateur!CI149*VLOOKUP('Données projet'!$B$12,Paramètres!$A$1:$I$88,3,0)*0.475*44/12</f>
        <v>#N/A</v>
      </c>
      <c r="CM149" s="23" t="e">
        <f>EXP(-LN(2)/2)*CM148+(1-EXP(-LN(2)/2))/(LN(2)/2)*CG149*CJ149*VLOOKUP('Données projet'!$B$12,Paramètres!$A$1:$I$88,3,0)*0.475*44/12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projet'!$B$13,Paramètres!$A$1:$I$88,3,0)*VLOOKUP('Données projet'!$B$13,Paramètres!$A$1:$I$88,5,0)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projet'!$B$13,Paramètres!$A$1:$I$88,7,0))</f>
        <v>0</v>
      </c>
      <c r="DD149" s="17">
        <f>IF(ISNA(VLOOKUP(A149,'Données projet'!$A$139:$I$159,6,0)),0%,VLOOKUP(A149,'Données projet'!$A$139:$I$159,6,0)*VLOOKUP('Données projet'!$B$13,Paramètres!$A$1:$I$88,7,0))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projet'!$B$13,Paramètres!$A$1:$I$88,3,0)*0.475*44/12</f>
        <v>#N/A</v>
      </c>
      <c r="DG149" s="23" t="e">
        <f>EXP(-LN(2)/25)*DG148+(1-EXP(-LN(2)/25))/(LN(2)/25)*Calculateur!DB149*Calculateur!DD149*VLOOKUP('Données projet'!$B$13,Paramètres!$A$1:$I$88,3,0)*0.475*44/12</f>
        <v>#N/A</v>
      </c>
      <c r="DH149" s="23" t="e">
        <f>EXP(-LN(2)/2)*DH148+(1-EXP(-LN(2)/2))/(LN(2)/2)*DB149*DE149*VLOOKUP('Données projet'!$B$13,Paramètres!$A$1:$I$88,3,0)*0.475*44/12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projet'!$B$14,Paramètres!$A$1:$I$88,3,0)*VLOOKUP('Données projet'!$B$14,Paramètres!$A$1:$I$88,5,0)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projet'!$B$14,Paramètres!$A$1:$I$88,7,0))</f>
        <v>0</v>
      </c>
      <c r="DY149" s="17">
        <f>IF(ISNA(VLOOKUP(A149,'Données projet'!$A$165:$I$185,6,0)),0%,VLOOKUP(A149,'Données projet'!$A$165:$I$185,6,0)*VLOOKUP('Données projet'!$B$14,Paramètres!$A$1:$I$88,7,0))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projet'!$B$14,Paramètres!$A$1:$I$88,3,0)*0.475*44/12</f>
        <v>#N/A</v>
      </c>
      <c r="EB149" s="23" t="e">
        <f>EXP(-LN(2)/25)*EB148+(1-EXP(-LN(2)/25))/(LN(2)/25)*Calculateur!DW149*Calculateur!DY149*VLOOKUP('Données projet'!$B$14,Paramètres!$A$1:$I$88,3,0)*0.475*44/12</f>
        <v>#N/A</v>
      </c>
      <c r="EC149" s="23" t="e">
        <f>EXP(-LN(2)/2)*EC148+(1-EXP(-LN(2)/2))/(LN(2)/2)*DW149*DZ149*VLOOKUP('Données projet'!$B$14,Paramètres!$A$1:$I$88,3,0)*0.475*44/12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projet'!$B$15,Paramètres!$A$1:$I$88,3,0)*VLOOKUP('Données projet'!$B$15,Paramètres!$A$1:$I$88,5,0)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projet'!$B$15,Paramètres!$A$1:$I$88,7,0))</f>
        <v>0</v>
      </c>
      <c r="ET149" s="17">
        <f>IF(ISNA(VLOOKUP(A149,'Données projet'!$A$191:$I$211,6,0)),0%,VLOOKUP(A149,'Données projet'!$A$191:$I$211,6,0)*VLOOKUP('Données projet'!$B$15,Paramètres!$A$1:$I$88,7,0))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projet'!$B$15,Paramètres!$A$1:$I$88,3,0)*0.475*44/12</f>
        <v>#N/A</v>
      </c>
      <c r="EW149" s="23" t="e">
        <f>EXP(-LN(2)/25)*EW148+(1-EXP(-LN(2)/25))/(LN(2)/25)*Calculateur!ER149*Calculateur!ET149*VLOOKUP('Données projet'!$B$15,Paramètres!$A$1:$I$88,3,0)*0.475*44/12</f>
        <v>#N/A</v>
      </c>
      <c r="EX149" s="23" t="e">
        <f>EXP(-LN(2)/2)*EX148+(1-EXP(-LN(2)/2))/(LN(2)/2)*ER149*EU149*VLOOKUP('Données projet'!$B$15,Paramètres!$A$1:$I$88,3,0)*0.475*44/12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projet'!$B$16,Paramètres!$A$1:$I$88,3,0)*VLOOKUP('Données projet'!$B$16,Paramètres!$A$1:$I$88,5,0)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projet'!$B$16,Paramètres!$A$1:$I$88,7,0))</f>
        <v>0</v>
      </c>
      <c r="FO149" s="17">
        <f>IF(ISNA(VLOOKUP(A149,'Données projet'!$A$217:$I$237,6,0)),0%,VLOOKUP(A149,'Données projet'!$A$217:$I$237,6,0)*VLOOKUP('Données projet'!$B$16,Paramètres!$A$1:$I$88,7,0))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projet'!$B$16,Paramètres!$A$1:$I$88,3,0)*0.475*44/12</f>
        <v>#N/A</v>
      </c>
      <c r="FR149" s="23" t="e">
        <f>EXP(-LN(2)/25)*FR148+(1-EXP(-LN(2)/25))/(LN(2)/25)*Calculateur!FM149*Calculateur!FO149*VLOOKUP('Données projet'!$B$16,Paramètres!$A$1:$I$88,3,0)*0.475*44/12</f>
        <v>#N/A</v>
      </c>
      <c r="FS149" s="23" t="e">
        <f>EXP(-LN(2)/2)*FS148+(1-EXP(-LN(2)/2))/(LN(2)/2)*FM149*FP149*VLOOKUP('Données projet'!$B$16,Paramètres!$A$1:$I$88,3,0)*0.475*44/12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projet'!$B$17,Paramètres!$A$1:$I$88,3,0)*VLOOKUP('Données projet'!$B$17,Paramètres!$A$1:$I$88,5,0)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projet'!$B$17,Paramètres!$A$1:$I$88,7,0))</f>
        <v>0</v>
      </c>
      <c r="GJ149" s="17">
        <f>IF(ISNA(VLOOKUP(A149,'Données projet'!$A$243:$I$263,6,0)),0%,VLOOKUP(A149,'Données projet'!$A$243:$I$263,6,0)*VLOOKUP('Données projet'!$B$17,Paramètres!$A$1:$I$88,7,0))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projet'!$B$17,Paramètres!$A$1:$I$88,3,0)*0.475*44/12</f>
        <v>#N/A</v>
      </c>
      <c r="GM149" s="23" t="e">
        <f>EXP(-LN(2)/25)*GM148+(1-EXP(-LN(2)/25))/(LN(2)/25)*Calculateur!GH149*Calculateur!GJ149*VLOOKUP('Données projet'!$B$17,Paramètres!$A$1:$I$88,3,0)*0.475*44/12</f>
        <v>#N/A</v>
      </c>
      <c r="GN149" s="23" t="e">
        <f>EXP(-LN(2)/2)*GN148+(1-EXP(-LN(2)/2))/(LN(2)/2)*GH149*GK149*VLOOKUP('Données projet'!$B$17,Paramètres!$A$1:$I$88,3,0)*0.475*44/12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projet'!$B$18,Paramètres!$A$1:$I$88,3,0)*VLOOKUP('Données projet'!$B$18,Paramètres!$A$1:$I$88,5,0)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projet'!$B$18,Paramètres!$A$1:$I$88,7,0))</f>
        <v>0</v>
      </c>
      <c r="HE149" s="17">
        <f>IF(ISNA(VLOOKUP(A149,'Données projet'!$A$269:$I$289,6,0)),0%,VLOOKUP(A149,'Données projet'!$A$269:$I$289,6,0)*VLOOKUP('Données projet'!$B$18,Paramètres!$A$1:$I$88,7,0))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projet'!$B$18,Paramètres!$A$1:$I$88,3,0)*0.475*44/12</f>
        <v>#N/A</v>
      </c>
      <c r="HH149" s="23" t="e">
        <f>EXP(-LN(2)/25)*HH148+(1-EXP(-LN(2)/25))/(LN(2)/25)*Calculateur!HC149*Calculateur!HE149*VLOOKUP('Données projet'!$B$18,Paramètres!$A$1:$I$88,3,0)*0.475*44/12</f>
        <v>#N/A</v>
      </c>
      <c r="HI149" s="23" t="e">
        <f>EXP(-LN(2)/2)*HI148+(1-EXP(-LN(2)/2))/(LN(2)/2)*HC149*HF149*VLOOKUP('Données projet'!$B$18,Paramètres!$A$1:$I$88,3,0)*0.475*44/12</f>
        <v>#N/A</v>
      </c>
      <c r="HJ149" s="24" t="e">
        <f t="shared" si="138"/>
        <v>#N/A</v>
      </c>
    </row>
    <row r="150" spans="1:218" s="5" customFormat="1" x14ac:dyDescent="0.3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4.5474735088646412E-13</v>
      </c>
      <c r="O150" s="14">
        <f>N150*VLOOKUP('Données projet'!$B$9,Paramètres!$A$1:$I$88,3,0)*VLOOKUP('Données projet'!$B$9,Paramètres!$A$1:$I$88,5,0)</f>
        <v>2.5420376914553347E-13</v>
      </c>
      <c r="P150" s="14">
        <f t="shared" si="141"/>
        <v>3.4258699088369875E-12</v>
      </c>
      <c r="Q150" s="22">
        <f t="shared" si="108"/>
        <v>6.4094616558195571E-12</v>
      </c>
      <c r="R150" s="62">
        <f t="shared" si="109"/>
        <v>286.33509249265484</v>
      </c>
      <c r="S150" s="62">
        <f ca="1">AVERAGE(OFFSET($R$3,0,0,'Données projet'!$E$9+1,1))-AVERAGE(OFFSET($H$3,0,0,'Données projet'!$E$9+1,1))</f>
        <v>367.03450586441784</v>
      </c>
      <c r="T150" s="62">
        <f t="shared" si="142"/>
        <v>413.14502442862897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projet'!$B$9,Paramètres!$A$1:$I$88,7,0))</f>
        <v>0</v>
      </c>
      <c r="X150" s="17">
        <f>IF(ISNA(VLOOKUP(A150,'Données projet'!$A$35:$I$55,6,0)),0%,VLOOKUP(A150,'Données projet'!$A$35:$I$55,6,0)*VLOOKUP('Données projet'!$B$9,Paramètres!$A$1:$I$88,7,0))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projet'!$B$9,Paramètres!$A$1:$I$88,3,0)*0.475*44/12</f>
        <v>42.753813369462243</v>
      </c>
      <c r="AA150" s="23">
        <f>EXP(-LN(2)/25)*AA149+(1-EXP(-LN(2)/25))/(LN(2)/25)*Calculateur!V150*Calculateur!X150*VLOOKUP('Données projet'!$B$9,Paramètres!$A$1:$I$88,3,0)*0.475*44/12</f>
        <v>11.848087226803685</v>
      </c>
      <c r="AB150" s="23">
        <f>EXP(-LN(2)/2)*AB149+(1-EXP(-LN(2)/2))/(LN(2)/2)*V150*Y150*VLOOKUP('Données projet'!$B$9,Paramètres!$A$1:$I$88,3,0)*0.475*44/12</f>
        <v>0</v>
      </c>
      <c r="AC150" s="24">
        <f t="shared" si="111"/>
        <v>54.601900596265928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projet'!$B$10,Paramètres!$A$1:$I$88,3,0)*VLOOKUP('Données projet'!$B$10,Paramètres!$A$1:$I$88,5,0)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projet'!$B$10,Paramètres!$A$1:$I$88,7,0))</f>
        <v>0</v>
      </c>
      <c r="AS150" s="17">
        <f>IF(ISNA(VLOOKUP(A150,'Données projet'!$A$61:$I$81,6,0)),0%,VLOOKUP(A150,'Données projet'!$A$61:$I$81,6,0)*VLOOKUP('Données projet'!$B$10,Paramètres!$A$1:$I$88,7,0))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projet'!$B$10,Paramètres!$A$1:$I$88,3,0)*0.475*44/12</f>
        <v>#N/A</v>
      </c>
      <c r="AV150" s="23" t="e">
        <f>EXP(-LN(2)/25)*AV149+(1-EXP(-LN(2)/25))/(LN(2)/25)*Calculateur!AQ150*Calculateur!AS150*VLOOKUP('Données projet'!$B$10,Paramètres!$A$1:$I$88,3,0)*0.475*44/12</f>
        <v>#N/A</v>
      </c>
      <c r="AW150" s="23" t="e">
        <f>EXP(-LN(2)/2)*AW149+(1-EXP(-LN(2)/2))/(LN(2)/2)*AQ150*AT150*VLOOKUP('Données projet'!$B$10,Paramètres!$A$1:$I$88,3,0)*0.475*44/12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projet'!$B$11,Paramètres!$A$1:$I$88,3,0)*VLOOKUP('Données projet'!$B$11,Paramètres!$A$1:$I$88,5,0)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projet'!$B$11,Paramètres!$A$1:$I$88,7,0))</f>
        <v>0</v>
      </c>
      <c r="BN150" s="17">
        <f>IF(ISNA(VLOOKUP(A150,'Données projet'!$A$87:$I$107,6,0)),0%,VLOOKUP(A150,'Données projet'!$A$87:$I$107,6,0)*VLOOKUP('Données projet'!$B$11,Paramètres!$A$1:$I$88,7,0))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projet'!$B$11,Paramètres!$A$1:$I$88,3,0)*0.475*44/12</f>
        <v>#N/A</v>
      </c>
      <c r="BQ150" s="23" t="e">
        <f>EXP(-LN(2)/25)*BQ149+(1-EXP(-LN(2)/25))/(LN(2)/25)*Calculateur!BL150*Calculateur!BN150*VLOOKUP('Données projet'!$B$11,Paramètres!$A$1:$I$88,3,0)*0.475*44/12</f>
        <v>#N/A</v>
      </c>
      <c r="BR150" s="23" t="e">
        <f>EXP(-LN(2)/2)*BR149+(1-EXP(-LN(2)/2))/(LN(2)/2)*BL150*BO150*VLOOKUP('Données projet'!$B$11,Paramètres!$A$1:$I$88,3,0)*0.475*44/12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projet'!$B$12,Paramètres!$A$1:$I$88,3,0)*VLOOKUP('Données projet'!$B$12,Paramètres!$A$1:$I$88,5,0)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projet'!$B$12,Paramètres!$A$1:$I$88,7,0))</f>
        <v>0</v>
      </c>
      <c r="CI150" s="17">
        <f>IF(ISNA(VLOOKUP(A150,'Données projet'!$A$113:$I$133,6,0)),0%,VLOOKUP(A150,'Données projet'!$A$113:$I$133,6,0)*VLOOKUP('Données projet'!$B$12,Paramètres!$A$1:$I$88,7,0))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projet'!$B$12,Paramètres!$A$1:$I$88,3,0)*0.475*44/12</f>
        <v>#N/A</v>
      </c>
      <c r="CL150" s="23" t="e">
        <f>EXP(-LN(2)/25)*CL149+(1-EXP(-LN(2)/25))/(LN(2)/25)*Calculateur!CG150*Calculateur!CI150*VLOOKUP('Données projet'!$B$12,Paramètres!$A$1:$I$88,3,0)*0.475*44/12</f>
        <v>#N/A</v>
      </c>
      <c r="CM150" s="23" t="e">
        <f>EXP(-LN(2)/2)*CM149+(1-EXP(-LN(2)/2))/(LN(2)/2)*CG150*CJ150*VLOOKUP('Données projet'!$B$12,Paramètres!$A$1:$I$88,3,0)*0.475*44/12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projet'!$B$13,Paramètres!$A$1:$I$88,3,0)*VLOOKUP('Données projet'!$B$13,Paramètres!$A$1:$I$88,5,0)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projet'!$B$13,Paramètres!$A$1:$I$88,7,0))</f>
        <v>0</v>
      </c>
      <c r="DD150" s="17">
        <f>IF(ISNA(VLOOKUP(A150,'Données projet'!$A$139:$I$159,6,0)),0%,VLOOKUP(A150,'Données projet'!$A$139:$I$159,6,0)*VLOOKUP('Données projet'!$B$13,Paramètres!$A$1:$I$88,7,0))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projet'!$B$13,Paramètres!$A$1:$I$88,3,0)*0.475*44/12</f>
        <v>#N/A</v>
      </c>
      <c r="DG150" s="23" t="e">
        <f>EXP(-LN(2)/25)*DG149+(1-EXP(-LN(2)/25))/(LN(2)/25)*Calculateur!DB150*Calculateur!DD150*VLOOKUP('Données projet'!$B$13,Paramètres!$A$1:$I$88,3,0)*0.475*44/12</f>
        <v>#N/A</v>
      </c>
      <c r="DH150" s="23" t="e">
        <f>EXP(-LN(2)/2)*DH149+(1-EXP(-LN(2)/2))/(LN(2)/2)*DB150*DE150*VLOOKUP('Données projet'!$B$13,Paramètres!$A$1:$I$88,3,0)*0.475*44/12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projet'!$B$14,Paramètres!$A$1:$I$88,3,0)*VLOOKUP('Données projet'!$B$14,Paramètres!$A$1:$I$88,5,0)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projet'!$B$14,Paramètres!$A$1:$I$88,7,0))</f>
        <v>0</v>
      </c>
      <c r="DY150" s="17">
        <f>IF(ISNA(VLOOKUP(A150,'Données projet'!$A$165:$I$185,6,0)),0%,VLOOKUP(A150,'Données projet'!$A$165:$I$185,6,0)*VLOOKUP('Données projet'!$B$14,Paramètres!$A$1:$I$88,7,0))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projet'!$B$14,Paramètres!$A$1:$I$88,3,0)*0.475*44/12</f>
        <v>#N/A</v>
      </c>
      <c r="EB150" s="23" t="e">
        <f>EXP(-LN(2)/25)*EB149+(1-EXP(-LN(2)/25))/(LN(2)/25)*Calculateur!DW150*Calculateur!DY150*VLOOKUP('Données projet'!$B$14,Paramètres!$A$1:$I$88,3,0)*0.475*44/12</f>
        <v>#N/A</v>
      </c>
      <c r="EC150" s="23" t="e">
        <f>EXP(-LN(2)/2)*EC149+(1-EXP(-LN(2)/2))/(LN(2)/2)*DW150*DZ150*VLOOKUP('Données projet'!$B$14,Paramètres!$A$1:$I$88,3,0)*0.475*44/12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projet'!$B$15,Paramètres!$A$1:$I$88,3,0)*VLOOKUP('Données projet'!$B$15,Paramètres!$A$1:$I$88,5,0)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projet'!$B$15,Paramètres!$A$1:$I$88,7,0))</f>
        <v>0</v>
      </c>
      <c r="ET150" s="17">
        <f>IF(ISNA(VLOOKUP(A150,'Données projet'!$A$191:$I$211,6,0)),0%,VLOOKUP(A150,'Données projet'!$A$191:$I$211,6,0)*VLOOKUP('Données projet'!$B$15,Paramètres!$A$1:$I$88,7,0))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projet'!$B$15,Paramètres!$A$1:$I$88,3,0)*0.475*44/12</f>
        <v>#N/A</v>
      </c>
      <c r="EW150" s="23" t="e">
        <f>EXP(-LN(2)/25)*EW149+(1-EXP(-LN(2)/25))/(LN(2)/25)*Calculateur!ER150*Calculateur!ET150*VLOOKUP('Données projet'!$B$15,Paramètres!$A$1:$I$88,3,0)*0.475*44/12</f>
        <v>#N/A</v>
      </c>
      <c r="EX150" s="23" t="e">
        <f>EXP(-LN(2)/2)*EX149+(1-EXP(-LN(2)/2))/(LN(2)/2)*ER150*EU150*VLOOKUP('Données projet'!$B$15,Paramètres!$A$1:$I$88,3,0)*0.475*44/12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projet'!$B$16,Paramètres!$A$1:$I$88,3,0)*VLOOKUP('Données projet'!$B$16,Paramètres!$A$1:$I$88,5,0)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projet'!$B$16,Paramètres!$A$1:$I$88,7,0))</f>
        <v>0</v>
      </c>
      <c r="FO150" s="17">
        <f>IF(ISNA(VLOOKUP(A150,'Données projet'!$A$217:$I$237,6,0)),0%,VLOOKUP(A150,'Données projet'!$A$217:$I$237,6,0)*VLOOKUP('Données projet'!$B$16,Paramètres!$A$1:$I$88,7,0))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projet'!$B$16,Paramètres!$A$1:$I$88,3,0)*0.475*44/12</f>
        <v>#N/A</v>
      </c>
      <c r="FR150" s="23" t="e">
        <f>EXP(-LN(2)/25)*FR149+(1-EXP(-LN(2)/25))/(LN(2)/25)*Calculateur!FM150*Calculateur!FO150*VLOOKUP('Données projet'!$B$16,Paramètres!$A$1:$I$88,3,0)*0.475*44/12</f>
        <v>#N/A</v>
      </c>
      <c r="FS150" s="23" t="e">
        <f>EXP(-LN(2)/2)*FS149+(1-EXP(-LN(2)/2))/(LN(2)/2)*FM150*FP150*VLOOKUP('Données projet'!$B$16,Paramètres!$A$1:$I$88,3,0)*0.475*44/12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projet'!$B$17,Paramètres!$A$1:$I$88,3,0)*VLOOKUP('Données projet'!$B$17,Paramètres!$A$1:$I$88,5,0)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projet'!$B$17,Paramètres!$A$1:$I$88,7,0))</f>
        <v>0</v>
      </c>
      <c r="GJ150" s="17">
        <f>IF(ISNA(VLOOKUP(A150,'Données projet'!$A$243:$I$263,6,0)),0%,VLOOKUP(A150,'Données projet'!$A$243:$I$263,6,0)*VLOOKUP('Données projet'!$B$17,Paramètres!$A$1:$I$88,7,0))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projet'!$B$17,Paramètres!$A$1:$I$88,3,0)*0.475*44/12</f>
        <v>#N/A</v>
      </c>
      <c r="GM150" s="23" t="e">
        <f>EXP(-LN(2)/25)*GM149+(1-EXP(-LN(2)/25))/(LN(2)/25)*Calculateur!GH150*Calculateur!GJ150*VLOOKUP('Données projet'!$B$17,Paramètres!$A$1:$I$88,3,0)*0.475*44/12</f>
        <v>#N/A</v>
      </c>
      <c r="GN150" s="23" t="e">
        <f>EXP(-LN(2)/2)*GN149+(1-EXP(-LN(2)/2))/(LN(2)/2)*GH150*GK150*VLOOKUP('Données projet'!$B$17,Paramètres!$A$1:$I$88,3,0)*0.475*44/12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projet'!$B$18,Paramètres!$A$1:$I$88,3,0)*VLOOKUP('Données projet'!$B$18,Paramètres!$A$1:$I$88,5,0)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projet'!$B$18,Paramètres!$A$1:$I$88,7,0))</f>
        <v>0</v>
      </c>
      <c r="HE150" s="17">
        <f>IF(ISNA(VLOOKUP(A150,'Données projet'!$A$269:$I$289,6,0)),0%,VLOOKUP(A150,'Données projet'!$A$269:$I$289,6,0)*VLOOKUP('Données projet'!$B$18,Paramètres!$A$1:$I$88,7,0))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projet'!$B$18,Paramètres!$A$1:$I$88,3,0)*0.475*44/12</f>
        <v>#N/A</v>
      </c>
      <c r="HH150" s="23" t="e">
        <f>EXP(-LN(2)/25)*HH149+(1-EXP(-LN(2)/25))/(LN(2)/25)*Calculateur!HC150*Calculateur!HE150*VLOOKUP('Données projet'!$B$18,Paramètres!$A$1:$I$88,3,0)*0.475*44/12</f>
        <v>#N/A</v>
      </c>
      <c r="HI150" s="23" t="e">
        <f>EXP(-LN(2)/2)*HI149+(1-EXP(-LN(2)/2))/(LN(2)/2)*HC150*HF150*VLOOKUP('Données projet'!$B$18,Paramètres!$A$1:$I$88,3,0)*0.475*44/12</f>
        <v>#N/A</v>
      </c>
      <c r="HJ150" s="24" t="e">
        <f t="shared" si="138"/>
        <v>#N/A</v>
      </c>
    </row>
    <row r="151" spans="1:218" s="5" customFormat="1" x14ac:dyDescent="0.3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4.5474735088646412E-13</v>
      </c>
      <c r="O151" s="14">
        <f>N151*VLOOKUP('Données projet'!$B$9,Paramètres!$A$1:$I$88,3,0)*VLOOKUP('Données projet'!$B$9,Paramètres!$A$1:$I$88,5,0)</f>
        <v>2.5420376914553347E-13</v>
      </c>
      <c r="P151" s="14">
        <f t="shared" si="141"/>
        <v>3.4258699088369875E-12</v>
      </c>
      <c r="Q151" s="22">
        <f t="shared" si="108"/>
        <v>6.4094616558195571E-12</v>
      </c>
      <c r="R151" s="62">
        <f t="shared" si="109"/>
        <v>286.45649632551812</v>
      </c>
      <c r="S151" s="62">
        <f ca="1">AVERAGE(OFFSET($R$3,0,0,'Données projet'!$E$9+1,1))-AVERAGE(OFFSET($H$3,0,0,'Données projet'!$E$9+1,1))</f>
        <v>367.03450586441784</v>
      </c>
      <c r="T151" s="62">
        <f t="shared" si="142"/>
        <v>413.14502442862897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projet'!$B$9,Paramètres!$A$1:$I$88,7,0))</f>
        <v>0</v>
      </c>
      <c r="X151" s="17">
        <f>IF(ISNA(VLOOKUP(A151,'Données projet'!$A$35:$I$55,6,0)),0%,VLOOKUP(A151,'Données projet'!$A$35:$I$55,6,0)*VLOOKUP('Données projet'!$B$9,Paramètres!$A$1:$I$88,7,0))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projet'!$B$9,Paramètres!$A$1:$I$88,3,0)*0.475*44/12</f>
        <v>41.915437166538332</v>
      </c>
      <c r="AA151" s="23">
        <f>EXP(-LN(2)/25)*AA150+(1-EXP(-LN(2)/25))/(LN(2)/25)*Calculateur!V151*Calculateur!X151*VLOOKUP('Données projet'!$B$9,Paramètres!$A$1:$I$88,3,0)*0.475*44/12</f>
        <v>11.52410065852291</v>
      </c>
      <c r="AB151" s="23">
        <f>EXP(-LN(2)/2)*AB150+(1-EXP(-LN(2)/2))/(LN(2)/2)*V151*Y151*VLOOKUP('Données projet'!$B$9,Paramètres!$A$1:$I$88,3,0)*0.475*44/12</f>
        <v>0</v>
      </c>
      <c r="AC151" s="24">
        <f t="shared" si="111"/>
        <v>53.439537825061244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projet'!$B$10,Paramètres!$A$1:$I$88,3,0)*VLOOKUP('Données projet'!$B$10,Paramètres!$A$1:$I$88,5,0)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projet'!$B$10,Paramètres!$A$1:$I$88,7,0))</f>
        <v>0</v>
      </c>
      <c r="AS151" s="17">
        <f>IF(ISNA(VLOOKUP(A151,'Données projet'!$A$61:$I$81,6,0)),0%,VLOOKUP(A151,'Données projet'!$A$61:$I$81,6,0)*VLOOKUP('Données projet'!$B$10,Paramètres!$A$1:$I$88,7,0))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projet'!$B$10,Paramètres!$A$1:$I$88,3,0)*0.475*44/12</f>
        <v>#N/A</v>
      </c>
      <c r="AV151" s="23" t="e">
        <f>EXP(-LN(2)/25)*AV150+(1-EXP(-LN(2)/25))/(LN(2)/25)*Calculateur!AQ151*Calculateur!AS151*VLOOKUP('Données projet'!$B$10,Paramètres!$A$1:$I$88,3,0)*0.475*44/12</f>
        <v>#N/A</v>
      </c>
      <c r="AW151" s="23" t="e">
        <f>EXP(-LN(2)/2)*AW150+(1-EXP(-LN(2)/2))/(LN(2)/2)*AQ151*AT151*VLOOKUP('Données projet'!$B$10,Paramètres!$A$1:$I$88,3,0)*0.475*44/12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projet'!$B$11,Paramètres!$A$1:$I$88,3,0)*VLOOKUP('Données projet'!$B$11,Paramètres!$A$1:$I$88,5,0)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projet'!$B$11,Paramètres!$A$1:$I$88,7,0))</f>
        <v>0</v>
      </c>
      <c r="BN151" s="17">
        <f>IF(ISNA(VLOOKUP(A151,'Données projet'!$A$87:$I$107,6,0)),0%,VLOOKUP(A151,'Données projet'!$A$87:$I$107,6,0)*VLOOKUP('Données projet'!$B$11,Paramètres!$A$1:$I$88,7,0))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projet'!$B$11,Paramètres!$A$1:$I$88,3,0)*0.475*44/12</f>
        <v>#N/A</v>
      </c>
      <c r="BQ151" s="23" t="e">
        <f>EXP(-LN(2)/25)*BQ150+(1-EXP(-LN(2)/25))/(LN(2)/25)*Calculateur!BL151*Calculateur!BN151*VLOOKUP('Données projet'!$B$11,Paramètres!$A$1:$I$88,3,0)*0.475*44/12</f>
        <v>#N/A</v>
      </c>
      <c r="BR151" s="23" t="e">
        <f>EXP(-LN(2)/2)*BR150+(1-EXP(-LN(2)/2))/(LN(2)/2)*BL151*BO151*VLOOKUP('Données projet'!$B$11,Paramètres!$A$1:$I$88,3,0)*0.475*44/12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projet'!$B$12,Paramètres!$A$1:$I$88,3,0)*VLOOKUP('Données projet'!$B$12,Paramètres!$A$1:$I$88,5,0)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projet'!$B$12,Paramètres!$A$1:$I$88,7,0))</f>
        <v>0</v>
      </c>
      <c r="CI151" s="17">
        <f>IF(ISNA(VLOOKUP(A151,'Données projet'!$A$113:$I$133,6,0)),0%,VLOOKUP(A151,'Données projet'!$A$113:$I$133,6,0)*VLOOKUP('Données projet'!$B$12,Paramètres!$A$1:$I$88,7,0))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projet'!$B$12,Paramètres!$A$1:$I$88,3,0)*0.475*44/12</f>
        <v>#N/A</v>
      </c>
      <c r="CL151" s="23" t="e">
        <f>EXP(-LN(2)/25)*CL150+(1-EXP(-LN(2)/25))/(LN(2)/25)*Calculateur!CG151*Calculateur!CI151*VLOOKUP('Données projet'!$B$12,Paramètres!$A$1:$I$88,3,0)*0.475*44/12</f>
        <v>#N/A</v>
      </c>
      <c r="CM151" s="23" t="e">
        <f>EXP(-LN(2)/2)*CM150+(1-EXP(-LN(2)/2))/(LN(2)/2)*CG151*CJ151*VLOOKUP('Données projet'!$B$12,Paramètres!$A$1:$I$88,3,0)*0.475*44/12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projet'!$B$13,Paramètres!$A$1:$I$88,3,0)*VLOOKUP('Données projet'!$B$13,Paramètres!$A$1:$I$88,5,0)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projet'!$B$13,Paramètres!$A$1:$I$88,7,0))</f>
        <v>0</v>
      </c>
      <c r="DD151" s="17">
        <f>IF(ISNA(VLOOKUP(A151,'Données projet'!$A$139:$I$159,6,0)),0%,VLOOKUP(A151,'Données projet'!$A$139:$I$159,6,0)*VLOOKUP('Données projet'!$B$13,Paramètres!$A$1:$I$88,7,0))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projet'!$B$13,Paramètres!$A$1:$I$88,3,0)*0.475*44/12</f>
        <v>#N/A</v>
      </c>
      <c r="DG151" s="23" t="e">
        <f>EXP(-LN(2)/25)*DG150+(1-EXP(-LN(2)/25))/(LN(2)/25)*Calculateur!DB151*Calculateur!DD151*VLOOKUP('Données projet'!$B$13,Paramètres!$A$1:$I$88,3,0)*0.475*44/12</f>
        <v>#N/A</v>
      </c>
      <c r="DH151" s="23" t="e">
        <f>EXP(-LN(2)/2)*DH150+(1-EXP(-LN(2)/2))/(LN(2)/2)*DB151*DE151*VLOOKUP('Données projet'!$B$13,Paramètres!$A$1:$I$88,3,0)*0.475*44/12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projet'!$B$14,Paramètres!$A$1:$I$88,3,0)*VLOOKUP('Données projet'!$B$14,Paramètres!$A$1:$I$88,5,0)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projet'!$B$14,Paramètres!$A$1:$I$88,7,0))</f>
        <v>0</v>
      </c>
      <c r="DY151" s="17">
        <f>IF(ISNA(VLOOKUP(A151,'Données projet'!$A$165:$I$185,6,0)),0%,VLOOKUP(A151,'Données projet'!$A$165:$I$185,6,0)*VLOOKUP('Données projet'!$B$14,Paramètres!$A$1:$I$88,7,0))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projet'!$B$14,Paramètres!$A$1:$I$88,3,0)*0.475*44/12</f>
        <v>#N/A</v>
      </c>
      <c r="EB151" s="23" t="e">
        <f>EXP(-LN(2)/25)*EB150+(1-EXP(-LN(2)/25))/(LN(2)/25)*Calculateur!DW151*Calculateur!DY151*VLOOKUP('Données projet'!$B$14,Paramètres!$A$1:$I$88,3,0)*0.475*44/12</f>
        <v>#N/A</v>
      </c>
      <c r="EC151" s="23" t="e">
        <f>EXP(-LN(2)/2)*EC150+(1-EXP(-LN(2)/2))/(LN(2)/2)*DW151*DZ151*VLOOKUP('Données projet'!$B$14,Paramètres!$A$1:$I$88,3,0)*0.475*44/12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projet'!$B$15,Paramètres!$A$1:$I$88,3,0)*VLOOKUP('Données projet'!$B$15,Paramètres!$A$1:$I$88,5,0)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projet'!$B$15,Paramètres!$A$1:$I$88,7,0))</f>
        <v>0</v>
      </c>
      <c r="ET151" s="17">
        <f>IF(ISNA(VLOOKUP(A151,'Données projet'!$A$191:$I$211,6,0)),0%,VLOOKUP(A151,'Données projet'!$A$191:$I$211,6,0)*VLOOKUP('Données projet'!$B$15,Paramètres!$A$1:$I$88,7,0))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projet'!$B$15,Paramètres!$A$1:$I$88,3,0)*0.475*44/12</f>
        <v>#N/A</v>
      </c>
      <c r="EW151" s="23" t="e">
        <f>EXP(-LN(2)/25)*EW150+(1-EXP(-LN(2)/25))/(LN(2)/25)*Calculateur!ER151*Calculateur!ET151*VLOOKUP('Données projet'!$B$15,Paramètres!$A$1:$I$88,3,0)*0.475*44/12</f>
        <v>#N/A</v>
      </c>
      <c r="EX151" s="23" t="e">
        <f>EXP(-LN(2)/2)*EX150+(1-EXP(-LN(2)/2))/(LN(2)/2)*ER151*EU151*VLOOKUP('Données projet'!$B$15,Paramètres!$A$1:$I$88,3,0)*0.475*44/12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projet'!$B$16,Paramètres!$A$1:$I$88,3,0)*VLOOKUP('Données projet'!$B$16,Paramètres!$A$1:$I$88,5,0)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projet'!$B$16,Paramètres!$A$1:$I$88,7,0))</f>
        <v>0</v>
      </c>
      <c r="FO151" s="17">
        <f>IF(ISNA(VLOOKUP(A151,'Données projet'!$A$217:$I$237,6,0)),0%,VLOOKUP(A151,'Données projet'!$A$217:$I$237,6,0)*VLOOKUP('Données projet'!$B$16,Paramètres!$A$1:$I$88,7,0))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projet'!$B$16,Paramètres!$A$1:$I$88,3,0)*0.475*44/12</f>
        <v>#N/A</v>
      </c>
      <c r="FR151" s="23" t="e">
        <f>EXP(-LN(2)/25)*FR150+(1-EXP(-LN(2)/25))/(LN(2)/25)*Calculateur!FM151*Calculateur!FO151*VLOOKUP('Données projet'!$B$16,Paramètres!$A$1:$I$88,3,0)*0.475*44/12</f>
        <v>#N/A</v>
      </c>
      <c r="FS151" s="23" t="e">
        <f>EXP(-LN(2)/2)*FS150+(1-EXP(-LN(2)/2))/(LN(2)/2)*FM151*FP151*VLOOKUP('Données projet'!$B$16,Paramètres!$A$1:$I$88,3,0)*0.475*44/12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projet'!$B$17,Paramètres!$A$1:$I$88,3,0)*VLOOKUP('Données projet'!$B$17,Paramètres!$A$1:$I$88,5,0)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projet'!$B$17,Paramètres!$A$1:$I$88,7,0))</f>
        <v>0</v>
      </c>
      <c r="GJ151" s="17">
        <f>IF(ISNA(VLOOKUP(A151,'Données projet'!$A$243:$I$263,6,0)),0%,VLOOKUP(A151,'Données projet'!$A$243:$I$263,6,0)*VLOOKUP('Données projet'!$B$17,Paramètres!$A$1:$I$88,7,0))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projet'!$B$17,Paramètres!$A$1:$I$88,3,0)*0.475*44/12</f>
        <v>#N/A</v>
      </c>
      <c r="GM151" s="23" t="e">
        <f>EXP(-LN(2)/25)*GM150+(1-EXP(-LN(2)/25))/(LN(2)/25)*Calculateur!GH151*Calculateur!GJ151*VLOOKUP('Données projet'!$B$17,Paramètres!$A$1:$I$88,3,0)*0.475*44/12</f>
        <v>#N/A</v>
      </c>
      <c r="GN151" s="23" t="e">
        <f>EXP(-LN(2)/2)*GN150+(1-EXP(-LN(2)/2))/(LN(2)/2)*GH151*GK151*VLOOKUP('Données projet'!$B$17,Paramètres!$A$1:$I$88,3,0)*0.475*44/12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projet'!$B$18,Paramètres!$A$1:$I$88,3,0)*VLOOKUP('Données projet'!$B$18,Paramètres!$A$1:$I$88,5,0)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projet'!$B$18,Paramètres!$A$1:$I$88,7,0))</f>
        <v>0</v>
      </c>
      <c r="HE151" s="17">
        <f>IF(ISNA(VLOOKUP(A151,'Données projet'!$A$269:$I$289,6,0)),0%,VLOOKUP(A151,'Données projet'!$A$269:$I$289,6,0)*VLOOKUP('Données projet'!$B$18,Paramètres!$A$1:$I$88,7,0))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projet'!$B$18,Paramètres!$A$1:$I$88,3,0)*0.475*44/12</f>
        <v>#N/A</v>
      </c>
      <c r="HH151" s="23" t="e">
        <f>EXP(-LN(2)/25)*HH150+(1-EXP(-LN(2)/25))/(LN(2)/25)*Calculateur!HC151*Calculateur!HE151*VLOOKUP('Données projet'!$B$18,Paramètres!$A$1:$I$88,3,0)*0.475*44/12</f>
        <v>#N/A</v>
      </c>
      <c r="HI151" s="23" t="e">
        <f>EXP(-LN(2)/2)*HI150+(1-EXP(-LN(2)/2))/(LN(2)/2)*HC151*HF151*VLOOKUP('Données projet'!$B$18,Paramètres!$A$1:$I$88,3,0)*0.475*44/12</f>
        <v>#N/A</v>
      </c>
      <c r="HJ151" s="24" t="e">
        <f t="shared" si="138"/>
        <v>#N/A</v>
      </c>
    </row>
    <row r="152" spans="1:218" s="5" customFormat="1" x14ac:dyDescent="0.3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4.5474735088646412E-13</v>
      </c>
      <c r="O152" s="14">
        <f>N152*VLOOKUP('Données projet'!$B$9,Paramètres!$A$1:$I$88,3,0)*VLOOKUP('Données projet'!$B$9,Paramètres!$A$1:$I$88,5,0)</f>
        <v>2.5420376914553347E-13</v>
      </c>
      <c r="P152" s="14">
        <f t="shared" si="141"/>
        <v>3.4258699088369875E-12</v>
      </c>
      <c r="Q152" s="22">
        <f t="shared" si="108"/>
        <v>6.4094616558195571E-12</v>
      </c>
      <c r="R152" s="62">
        <f t="shared" si="109"/>
        <v>286.57579407329951</v>
      </c>
      <c r="S152" s="62">
        <f ca="1">AVERAGE(OFFSET($R$3,0,0,'Données projet'!$E$9+1,1))-AVERAGE(OFFSET($H$3,0,0,'Données projet'!$E$9+1,1))</f>
        <v>367.03450586441784</v>
      </c>
      <c r="T152" s="62">
        <f t="shared" si="142"/>
        <v>413.14502442862897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projet'!$B$9,Paramètres!$A$1:$I$88,7,0))</f>
        <v>0</v>
      </c>
      <c r="X152" s="17">
        <f>IF(ISNA(VLOOKUP(A152,'Données projet'!$A$35:$I$55,6,0)),0%,VLOOKUP(A152,'Données projet'!$A$35:$I$55,6,0)*VLOOKUP('Données projet'!$B$9,Paramètres!$A$1:$I$88,7,0))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projet'!$B$9,Paramètres!$A$1:$I$88,3,0)*0.475*44/12</f>
        <v>41.093501009594767</v>
      </c>
      <c r="AA152" s="23">
        <f>EXP(-LN(2)/25)*AA151+(1-EXP(-LN(2)/25))/(LN(2)/25)*Calculateur!V152*Calculateur!X152*VLOOKUP('Données projet'!$B$9,Paramètres!$A$1:$I$88,3,0)*0.475*44/12</f>
        <v>11.208973519989486</v>
      </c>
      <c r="AB152" s="23">
        <f>EXP(-LN(2)/2)*AB151+(1-EXP(-LN(2)/2))/(LN(2)/2)*V152*Y152*VLOOKUP('Données projet'!$B$9,Paramètres!$A$1:$I$88,3,0)*0.475*44/12</f>
        <v>0</v>
      </c>
      <c r="AC152" s="24">
        <f t="shared" si="111"/>
        <v>52.302474529584252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projet'!$B$10,Paramètres!$A$1:$I$88,3,0)*VLOOKUP('Données projet'!$B$10,Paramètres!$A$1:$I$88,5,0)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projet'!$B$10,Paramètres!$A$1:$I$88,7,0))</f>
        <v>0</v>
      </c>
      <c r="AS152" s="17">
        <f>IF(ISNA(VLOOKUP(A152,'Données projet'!$A$61:$I$81,6,0)),0%,VLOOKUP(A152,'Données projet'!$A$61:$I$81,6,0)*VLOOKUP('Données projet'!$B$10,Paramètres!$A$1:$I$88,7,0))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projet'!$B$10,Paramètres!$A$1:$I$88,3,0)*0.475*44/12</f>
        <v>#N/A</v>
      </c>
      <c r="AV152" s="23" t="e">
        <f>EXP(-LN(2)/25)*AV151+(1-EXP(-LN(2)/25))/(LN(2)/25)*Calculateur!AQ152*Calculateur!AS152*VLOOKUP('Données projet'!$B$10,Paramètres!$A$1:$I$88,3,0)*0.475*44/12</f>
        <v>#N/A</v>
      </c>
      <c r="AW152" s="23" t="e">
        <f>EXP(-LN(2)/2)*AW151+(1-EXP(-LN(2)/2))/(LN(2)/2)*AQ152*AT152*VLOOKUP('Données projet'!$B$10,Paramètres!$A$1:$I$88,3,0)*0.475*44/12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projet'!$B$11,Paramètres!$A$1:$I$88,3,0)*VLOOKUP('Données projet'!$B$11,Paramètres!$A$1:$I$88,5,0)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projet'!$B$11,Paramètres!$A$1:$I$88,7,0))</f>
        <v>0</v>
      </c>
      <c r="BN152" s="17">
        <f>IF(ISNA(VLOOKUP(A152,'Données projet'!$A$87:$I$107,6,0)),0%,VLOOKUP(A152,'Données projet'!$A$87:$I$107,6,0)*VLOOKUP('Données projet'!$B$11,Paramètres!$A$1:$I$88,7,0))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projet'!$B$11,Paramètres!$A$1:$I$88,3,0)*0.475*44/12</f>
        <v>#N/A</v>
      </c>
      <c r="BQ152" s="23" t="e">
        <f>EXP(-LN(2)/25)*BQ151+(1-EXP(-LN(2)/25))/(LN(2)/25)*Calculateur!BL152*Calculateur!BN152*VLOOKUP('Données projet'!$B$11,Paramètres!$A$1:$I$88,3,0)*0.475*44/12</f>
        <v>#N/A</v>
      </c>
      <c r="BR152" s="23" t="e">
        <f>EXP(-LN(2)/2)*BR151+(1-EXP(-LN(2)/2))/(LN(2)/2)*BL152*BO152*VLOOKUP('Données projet'!$B$11,Paramètres!$A$1:$I$88,3,0)*0.475*44/12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projet'!$B$12,Paramètres!$A$1:$I$88,3,0)*VLOOKUP('Données projet'!$B$12,Paramètres!$A$1:$I$88,5,0)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projet'!$B$12,Paramètres!$A$1:$I$88,7,0))</f>
        <v>0</v>
      </c>
      <c r="CI152" s="17">
        <f>IF(ISNA(VLOOKUP(A152,'Données projet'!$A$113:$I$133,6,0)),0%,VLOOKUP(A152,'Données projet'!$A$113:$I$133,6,0)*VLOOKUP('Données projet'!$B$12,Paramètres!$A$1:$I$88,7,0))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projet'!$B$12,Paramètres!$A$1:$I$88,3,0)*0.475*44/12</f>
        <v>#N/A</v>
      </c>
      <c r="CL152" s="23" t="e">
        <f>EXP(-LN(2)/25)*CL151+(1-EXP(-LN(2)/25))/(LN(2)/25)*Calculateur!CG152*Calculateur!CI152*VLOOKUP('Données projet'!$B$12,Paramètres!$A$1:$I$88,3,0)*0.475*44/12</f>
        <v>#N/A</v>
      </c>
      <c r="CM152" s="23" t="e">
        <f>EXP(-LN(2)/2)*CM151+(1-EXP(-LN(2)/2))/(LN(2)/2)*CG152*CJ152*VLOOKUP('Données projet'!$B$12,Paramètres!$A$1:$I$88,3,0)*0.475*44/12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projet'!$B$13,Paramètres!$A$1:$I$88,3,0)*VLOOKUP('Données projet'!$B$13,Paramètres!$A$1:$I$88,5,0)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projet'!$B$13,Paramètres!$A$1:$I$88,7,0))</f>
        <v>0</v>
      </c>
      <c r="DD152" s="17">
        <f>IF(ISNA(VLOOKUP(A152,'Données projet'!$A$139:$I$159,6,0)),0%,VLOOKUP(A152,'Données projet'!$A$139:$I$159,6,0)*VLOOKUP('Données projet'!$B$13,Paramètres!$A$1:$I$88,7,0))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projet'!$B$13,Paramètres!$A$1:$I$88,3,0)*0.475*44/12</f>
        <v>#N/A</v>
      </c>
      <c r="DG152" s="23" t="e">
        <f>EXP(-LN(2)/25)*DG151+(1-EXP(-LN(2)/25))/(LN(2)/25)*Calculateur!DB152*Calculateur!DD152*VLOOKUP('Données projet'!$B$13,Paramètres!$A$1:$I$88,3,0)*0.475*44/12</f>
        <v>#N/A</v>
      </c>
      <c r="DH152" s="23" t="e">
        <f>EXP(-LN(2)/2)*DH151+(1-EXP(-LN(2)/2))/(LN(2)/2)*DB152*DE152*VLOOKUP('Données projet'!$B$13,Paramètres!$A$1:$I$88,3,0)*0.475*44/12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projet'!$B$14,Paramètres!$A$1:$I$88,3,0)*VLOOKUP('Données projet'!$B$14,Paramètres!$A$1:$I$88,5,0)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projet'!$B$14,Paramètres!$A$1:$I$88,7,0))</f>
        <v>0</v>
      </c>
      <c r="DY152" s="17">
        <f>IF(ISNA(VLOOKUP(A152,'Données projet'!$A$165:$I$185,6,0)),0%,VLOOKUP(A152,'Données projet'!$A$165:$I$185,6,0)*VLOOKUP('Données projet'!$B$14,Paramètres!$A$1:$I$88,7,0))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projet'!$B$14,Paramètres!$A$1:$I$88,3,0)*0.475*44/12</f>
        <v>#N/A</v>
      </c>
      <c r="EB152" s="23" t="e">
        <f>EXP(-LN(2)/25)*EB151+(1-EXP(-LN(2)/25))/(LN(2)/25)*Calculateur!DW152*Calculateur!DY152*VLOOKUP('Données projet'!$B$14,Paramètres!$A$1:$I$88,3,0)*0.475*44/12</f>
        <v>#N/A</v>
      </c>
      <c r="EC152" s="23" t="e">
        <f>EXP(-LN(2)/2)*EC151+(1-EXP(-LN(2)/2))/(LN(2)/2)*DW152*DZ152*VLOOKUP('Données projet'!$B$14,Paramètres!$A$1:$I$88,3,0)*0.475*44/12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projet'!$B$15,Paramètres!$A$1:$I$88,3,0)*VLOOKUP('Données projet'!$B$15,Paramètres!$A$1:$I$88,5,0)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projet'!$B$15,Paramètres!$A$1:$I$88,7,0))</f>
        <v>0</v>
      </c>
      <c r="ET152" s="17">
        <f>IF(ISNA(VLOOKUP(A152,'Données projet'!$A$191:$I$211,6,0)),0%,VLOOKUP(A152,'Données projet'!$A$191:$I$211,6,0)*VLOOKUP('Données projet'!$B$15,Paramètres!$A$1:$I$88,7,0))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projet'!$B$15,Paramètres!$A$1:$I$88,3,0)*0.475*44/12</f>
        <v>#N/A</v>
      </c>
      <c r="EW152" s="23" t="e">
        <f>EXP(-LN(2)/25)*EW151+(1-EXP(-LN(2)/25))/(LN(2)/25)*Calculateur!ER152*Calculateur!ET152*VLOOKUP('Données projet'!$B$15,Paramètres!$A$1:$I$88,3,0)*0.475*44/12</f>
        <v>#N/A</v>
      </c>
      <c r="EX152" s="23" t="e">
        <f>EXP(-LN(2)/2)*EX151+(1-EXP(-LN(2)/2))/(LN(2)/2)*ER152*EU152*VLOOKUP('Données projet'!$B$15,Paramètres!$A$1:$I$88,3,0)*0.475*44/12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projet'!$B$16,Paramètres!$A$1:$I$88,3,0)*VLOOKUP('Données projet'!$B$16,Paramètres!$A$1:$I$88,5,0)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projet'!$B$16,Paramètres!$A$1:$I$88,7,0))</f>
        <v>0</v>
      </c>
      <c r="FO152" s="17">
        <f>IF(ISNA(VLOOKUP(A152,'Données projet'!$A$217:$I$237,6,0)),0%,VLOOKUP(A152,'Données projet'!$A$217:$I$237,6,0)*VLOOKUP('Données projet'!$B$16,Paramètres!$A$1:$I$88,7,0))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projet'!$B$16,Paramètres!$A$1:$I$88,3,0)*0.475*44/12</f>
        <v>#N/A</v>
      </c>
      <c r="FR152" s="23" t="e">
        <f>EXP(-LN(2)/25)*FR151+(1-EXP(-LN(2)/25))/(LN(2)/25)*Calculateur!FM152*Calculateur!FO152*VLOOKUP('Données projet'!$B$16,Paramètres!$A$1:$I$88,3,0)*0.475*44/12</f>
        <v>#N/A</v>
      </c>
      <c r="FS152" s="23" t="e">
        <f>EXP(-LN(2)/2)*FS151+(1-EXP(-LN(2)/2))/(LN(2)/2)*FM152*FP152*VLOOKUP('Données projet'!$B$16,Paramètres!$A$1:$I$88,3,0)*0.475*44/12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projet'!$B$17,Paramètres!$A$1:$I$88,3,0)*VLOOKUP('Données projet'!$B$17,Paramètres!$A$1:$I$88,5,0)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projet'!$B$17,Paramètres!$A$1:$I$88,7,0))</f>
        <v>0</v>
      </c>
      <c r="GJ152" s="17">
        <f>IF(ISNA(VLOOKUP(A152,'Données projet'!$A$243:$I$263,6,0)),0%,VLOOKUP(A152,'Données projet'!$A$243:$I$263,6,0)*VLOOKUP('Données projet'!$B$17,Paramètres!$A$1:$I$88,7,0))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projet'!$B$17,Paramètres!$A$1:$I$88,3,0)*0.475*44/12</f>
        <v>#N/A</v>
      </c>
      <c r="GM152" s="23" t="e">
        <f>EXP(-LN(2)/25)*GM151+(1-EXP(-LN(2)/25))/(LN(2)/25)*Calculateur!GH152*Calculateur!GJ152*VLOOKUP('Données projet'!$B$17,Paramètres!$A$1:$I$88,3,0)*0.475*44/12</f>
        <v>#N/A</v>
      </c>
      <c r="GN152" s="23" t="e">
        <f>EXP(-LN(2)/2)*GN151+(1-EXP(-LN(2)/2))/(LN(2)/2)*GH152*GK152*VLOOKUP('Données projet'!$B$17,Paramètres!$A$1:$I$88,3,0)*0.475*44/12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projet'!$B$18,Paramètres!$A$1:$I$88,3,0)*VLOOKUP('Données projet'!$B$18,Paramètres!$A$1:$I$88,5,0)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projet'!$B$18,Paramètres!$A$1:$I$88,7,0))</f>
        <v>0</v>
      </c>
      <c r="HE152" s="17">
        <f>IF(ISNA(VLOOKUP(A152,'Données projet'!$A$269:$I$289,6,0)),0%,VLOOKUP(A152,'Données projet'!$A$269:$I$289,6,0)*VLOOKUP('Données projet'!$B$18,Paramètres!$A$1:$I$88,7,0))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projet'!$B$18,Paramètres!$A$1:$I$88,3,0)*0.475*44/12</f>
        <v>#N/A</v>
      </c>
      <c r="HH152" s="23" t="e">
        <f>EXP(-LN(2)/25)*HH151+(1-EXP(-LN(2)/25))/(LN(2)/25)*Calculateur!HC152*Calculateur!HE152*VLOOKUP('Données projet'!$B$18,Paramètres!$A$1:$I$88,3,0)*0.475*44/12</f>
        <v>#N/A</v>
      </c>
      <c r="HI152" s="23" t="e">
        <f>EXP(-LN(2)/2)*HI151+(1-EXP(-LN(2)/2))/(LN(2)/2)*HC152*HF152*VLOOKUP('Données projet'!$B$18,Paramètres!$A$1:$I$88,3,0)*0.475*44/12</f>
        <v>#N/A</v>
      </c>
      <c r="HJ152" s="24" t="e">
        <f t="shared" si="138"/>
        <v>#N/A</v>
      </c>
    </row>
    <row r="153" spans="1:218" s="5" customFormat="1" x14ac:dyDescent="0.3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4.5474735088646412E-13</v>
      </c>
      <c r="O153" s="14">
        <f>N153*VLOOKUP('Données projet'!$B$9,Paramètres!$A$1:$I$88,3,0)*VLOOKUP('Données projet'!$B$9,Paramètres!$A$1:$I$88,5,0)</f>
        <v>2.5420376914553347E-13</v>
      </c>
      <c r="P153" s="14">
        <f t="shared" si="141"/>
        <v>3.4258699088369875E-12</v>
      </c>
      <c r="Q153" s="22">
        <f t="shared" si="108"/>
        <v>6.4094616558195571E-12</v>
      </c>
      <c r="R153" s="62">
        <f t="shared" si="109"/>
        <v>286.69302227186677</v>
      </c>
      <c r="S153" s="62">
        <f ca="1">AVERAGE(OFFSET($R$3,0,0,'Données projet'!$E$9+1,1))-AVERAGE(OFFSET($H$3,0,0,'Données projet'!$E$9+1,1))</f>
        <v>367.03450586441784</v>
      </c>
      <c r="T153" s="62">
        <f t="shared" si="142"/>
        <v>413.14502442862897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projet'!$B$9,Paramètres!$A$1:$I$88,7,0))</f>
        <v>0</v>
      </c>
      <c r="X153" s="17">
        <f>IF(ISNA(VLOOKUP(A153,'Données projet'!$A$35:$I$55,6,0)),0%,VLOOKUP(A153,'Données projet'!$A$35:$I$55,6,0)*VLOOKUP('Données projet'!$B$9,Paramètres!$A$1:$I$88,7,0))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projet'!$B$9,Paramètres!$A$1:$I$88,3,0)*0.475*44/12</f>
        <v>40.287682519357311</v>
      </c>
      <c r="AA153" s="23">
        <f>EXP(-LN(2)/25)*AA152+(1-EXP(-LN(2)/25))/(LN(2)/25)*Calculateur!V153*Calculateur!X153*VLOOKUP('Données projet'!$B$9,Paramètres!$A$1:$I$88,3,0)*0.475*44/12</f>
        <v>10.902463549631076</v>
      </c>
      <c r="AB153" s="23">
        <f>EXP(-LN(2)/2)*AB152+(1-EXP(-LN(2)/2))/(LN(2)/2)*V153*Y153*VLOOKUP('Données projet'!$B$9,Paramètres!$A$1:$I$88,3,0)*0.475*44/12</f>
        <v>0</v>
      </c>
      <c r="AC153" s="24">
        <f t="shared" si="111"/>
        <v>51.190146068988383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projet'!$B$10,Paramètres!$A$1:$I$88,3,0)*VLOOKUP('Données projet'!$B$10,Paramètres!$A$1:$I$88,5,0)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projet'!$B$10,Paramètres!$A$1:$I$88,7,0))</f>
        <v>0</v>
      </c>
      <c r="AS153" s="17">
        <f>IF(ISNA(VLOOKUP(A153,'Données projet'!$A$61:$I$81,6,0)),0%,VLOOKUP(A153,'Données projet'!$A$61:$I$81,6,0)*VLOOKUP('Données projet'!$B$10,Paramètres!$A$1:$I$88,7,0))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projet'!$B$10,Paramètres!$A$1:$I$88,3,0)*0.475*44/12</f>
        <v>#N/A</v>
      </c>
      <c r="AV153" s="23" t="e">
        <f>EXP(-LN(2)/25)*AV152+(1-EXP(-LN(2)/25))/(LN(2)/25)*Calculateur!AQ153*Calculateur!AS153*VLOOKUP('Données projet'!$B$10,Paramètres!$A$1:$I$88,3,0)*0.475*44/12</f>
        <v>#N/A</v>
      </c>
      <c r="AW153" s="23" t="e">
        <f>EXP(-LN(2)/2)*AW152+(1-EXP(-LN(2)/2))/(LN(2)/2)*AQ153*AT153*VLOOKUP('Données projet'!$B$10,Paramètres!$A$1:$I$88,3,0)*0.475*44/12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projet'!$B$11,Paramètres!$A$1:$I$88,3,0)*VLOOKUP('Données projet'!$B$11,Paramètres!$A$1:$I$88,5,0)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projet'!$B$11,Paramètres!$A$1:$I$88,7,0))</f>
        <v>0</v>
      </c>
      <c r="BN153" s="17">
        <f>IF(ISNA(VLOOKUP(A153,'Données projet'!$A$87:$I$107,6,0)),0%,VLOOKUP(A153,'Données projet'!$A$87:$I$107,6,0)*VLOOKUP('Données projet'!$B$11,Paramètres!$A$1:$I$88,7,0))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projet'!$B$11,Paramètres!$A$1:$I$88,3,0)*0.475*44/12</f>
        <v>#N/A</v>
      </c>
      <c r="BQ153" s="23" t="e">
        <f>EXP(-LN(2)/25)*BQ152+(1-EXP(-LN(2)/25))/(LN(2)/25)*Calculateur!BL153*Calculateur!BN153*VLOOKUP('Données projet'!$B$11,Paramètres!$A$1:$I$88,3,0)*0.475*44/12</f>
        <v>#N/A</v>
      </c>
      <c r="BR153" s="23" t="e">
        <f>EXP(-LN(2)/2)*BR152+(1-EXP(-LN(2)/2))/(LN(2)/2)*BL153*BO153*VLOOKUP('Données projet'!$B$11,Paramètres!$A$1:$I$88,3,0)*0.475*44/12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projet'!$B$12,Paramètres!$A$1:$I$88,3,0)*VLOOKUP('Données projet'!$B$12,Paramètres!$A$1:$I$88,5,0)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projet'!$B$12,Paramètres!$A$1:$I$88,7,0))</f>
        <v>0</v>
      </c>
      <c r="CI153" s="17">
        <f>IF(ISNA(VLOOKUP(A153,'Données projet'!$A$113:$I$133,6,0)),0%,VLOOKUP(A153,'Données projet'!$A$113:$I$133,6,0)*VLOOKUP('Données projet'!$B$12,Paramètres!$A$1:$I$88,7,0))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projet'!$B$12,Paramètres!$A$1:$I$88,3,0)*0.475*44/12</f>
        <v>#N/A</v>
      </c>
      <c r="CL153" s="23" t="e">
        <f>EXP(-LN(2)/25)*CL152+(1-EXP(-LN(2)/25))/(LN(2)/25)*Calculateur!CG153*Calculateur!CI153*VLOOKUP('Données projet'!$B$12,Paramètres!$A$1:$I$88,3,0)*0.475*44/12</f>
        <v>#N/A</v>
      </c>
      <c r="CM153" s="23" t="e">
        <f>EXP(-LN(2)/2)*CM152+(1-EXP(-LN(2)/2))/(LN(2)/2)*CG153*CJ153*VLOOKUP('Données projet'!$B$12,Paramètres!$A$1:$I$88,3,0)*0.475*44/12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projet'!$B$13,Paramètres!$A$1:$I$88,3,0)*VLOOKUP('Données projet'!$B$13,Paramètres!$A$1:$I$88,5,0)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projet'!$B$13,Paramètres!$A$1:$I$88,7,0))</f>
        <v>0</v>
      </c>
      <c r="DD153" s="17">
        <f>IF(ISNA(VLOOKUP(A153,'Données projet'!$A$139:$I$159,6,0)),0%,VLOOKUP(A153,'Données projet'!$A$139:$I$159,6,0)*VLOOKUP('Données projet'!$B$13,Paramètres!$A$1:$I$88,7,0))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projet'!$B$13,Paramètres!$A$1:$I$88,3,0)*0.475*44/12</f>
        <v>#N/A</v>
      </c>
      <c r="DG153" s="23" t="e">
        <f>EXP(-LN(2)/25)*DG152+(1-EXP(-LN(2)/25))/(LN(2)/25)*Calculateur!DB153*Calculateur!DD153*VLOOKUP('Données projet'!$B$13,Paramètres!$A$1:$I$88,3,0)*0.475*44/12</f>
        <v>#N/A</v>
      </c>
      <c r="DH153" s="23" t="e">
        <f>EXP(-LN(2)/2)*DH152+(1-EXP(-LN(2)/2))/(LN(2)/2)*DB153*DE153*VLOOKUP('Données projet'!$B$13,Paramètres!$A$1:$I$88,3,0)*0.475*44/12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projet'!$B$14,Paramètres!$A$1:$I$88,3,0)*VLOOKUP('Données projet'!$B$14,Paramètres!$A$1:$I$88,5,0)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projet'!$B$14,Paramètres!$A$1:$I$88,7,0))</f>
        <v>0</v>
      </c>
      <c r="DY153" s="17">
        <f>IF(ISNA(VLOOKUP(A153,'Données projet'!$A$165:$I$185,6,0)),0%,VLOOKUP(A153,'Données projet'!$A$165:$I$185,6,0)*VLOOKUP('Données projet'!$B$14,Paramètres!$A$1:$I$88,7,0))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projet'!$B$14,Paramètres!$A$1:$I$88,3,0)*0.475*44/12</f>
        <v>#N/A</v>
      </c>
      <c r="EB153" s="23" t="e">
        <f>EXP(-LN(2)/25)*EB152+(1-EXP(-LN(2)/25))/(LN(2)/25)*Calculateur!DW153*Calculateur!DY153*VLOOKUP('Données projet'!$B$14,Paramètres!$A$1:$I$88,3,0)*0.475*44/12</f>
        <v>#N/A</v>
      </c>
      <c r="EC153" s="23" t="e">
        <f>EXP(-LN(2)/2)*EC152+(1-EXP(-LN(2)/2))/(LN(2)/2)*DW153*DZ153*VLOOKUP('Données projet'!$B$14,Paramètres!$A$1:$I$88,3,0)*0.475*44/12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projet'!$B$15,Paramètres!$A$1:$I$88,3,0)*VLOOKUP('Données projet'!$B$15,Paramètres!$A$1:$I$88,5,0)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projet'!$B$15,Paramètres!$A$1:$I$88,7,0))</f>
        <v>0</v>
      </c>
      <c r="ET153" s="17">
        <f>IF(ISNA(VLOOKUP(A153,'Données projet'!$A$191:$I$211,6,0)),0%,VLOOKUP(A153,'Données projet'!$A$191:$I$211,6,0)*VLOOKUP('Données projet'!$B$15,Paramètres!$A$1:$I$88,7,0))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projet'!$B$15,Paramètres!$A$1:$I$88,3,0)*0.475*44/12</f>
        <v>#N/A</v>
      </c>
      <c r="EW153" s="23" t="e">
        <f>EXP(-LN(2)/25)*EW152+(1-EXP(-LN(2)/25))/(LN(2)/25)*Calculateur!ER153*Calculateur!ET153*VLOOKUP('Données projet'!$B$15,Paramètres!$A$1:$I$88,3,0)*0.475*44/12</f>
        <v>#N/A</v>
      </c>
      <c r="EX153" s="23" t="e">
        <f>EXP(-LN(2)/2)*EX152+(1-EXP(-LN(2)/2))/(LN(2)/2)*ER153*EU153*VLOOKUP('Données projet'!$B$15,Paramètres!$A$1:$I$88,3,0)*0.475*44/12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projet'!$B$16,Paramètres!$A$1:$I$88,3,0)*VLOOKUP('Données projet'!$B$16,Paramètres!$A$1:$I$88,5,0)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projet'!$B$16,Paramètres!$A$1:$I$88,7,0))</f>
        <v>0</v>
      </c>
      <c r="FO153" s="17">
        <f>IF(ISNA(VLOOKUP(A153,'Données projet'!$A$217:$I$237,6,0)),0%,VLOOKUP(A153,'Données projet'!$A$217:$I$237,6,0)*VLOOKUP('Données projet'!$B$16,Paramètres!$A$1:$I$88,7,0))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projet'!$B$16,Paramètres!$A$1:$I$88,3,0)*0.475*44/12</f>
        <v>#N/A</v>
      </c>
      <c r="FR153" s="23" t="e">
        <f>EXP(-LN(2)/25)*FR152+(1-EXP(-LN(2)/25))/(LN(2)/25)*Calculateur!FM153*Calculateur!FO153*VLOOKUP('Données projet'!$B$16,Paramètres!$A$1:$I$88,3,0)*0.475*44/12</f>
        <v>#N/A</v>
      </c>
      <c r="FS153" s="23" t="e">
        <f>EXP(-LN(2)/2)*FS152+(1-EXP(-LN(2)/2))/(LN(2)/2)*FM153*FP153*VLOOKUP('Données projet'!$B$16,Paramètres!$A$1:$I$88,3,0)*0.475*44/12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projet'!$B$17,Paramètres!$A$1:$I$88,3,0)*VLOOKUP('Données projet'!$B$17,Paramètres!$A$1:$I$88,5,0)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projet'!$B$17,Paramètres!$A$1:$I$88,7,0))</f>
        <v>0</v>
      </c>
      <c r="GJ153" s="17">
        <f>IF(ISNA(VLOOKUP(A153,'Données projet'!$A$243:$I$263,6,0)),0%,VLOOKUP(A153,'Données projet'!$A$243:$I$263,6,0)*VLOOKUP('Données projet'!$B$17,Paramètres!$A$1:$I$88,7,0))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projet'!$B$17,Paramètres!$A$1:$I$88,3,0)*0.475*44/12</f>
        <v>#N/A</v>
      </c>
      <c r="GM153" s="23" t="e">
        <f>EXP(-LN(2)/25)*GM152+(1-EXP(-LN(2)/25))/(LN(2)/25)*Calculateur!GH153*Calculateur!GJ153*VLOOKUP('Données projet'!$B$17,Paramètres!$A$1:$I$88,3,0)*0.475*44/12</f>
        <v>#N/A</v>
      </c>
      <c r="GN153" s="23" t="e">
        <f>EXP(-LN(2)/2)*GN152+(1-EXP(-LN(2)/2))/(LN(2)/2)*GH153*GK153*VLOOKUP('Données projet'!$B$17,Paramètres!$A$1:$I$88,3,0)*0.475*44/12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projet'!$B$18,Paramètres!$A$1:$I$88,3,0)*VLOOKUP('Données projet'!$B$18,Paramètres!$A$1:$I$88,5,0)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projet'!$B$18,Paramètres!$A$1:$I$88,7,0))</f>
        <v>0</v>
      </c>
      <c r="HE153" s="17">
        <f>IF(ISNA(VLOOKUP(A153,'Données projet'!$A$269:$I$289,6,0)),0%,VLOOKUP(A153,'Données projet'!$A$269:$I$289,6,0)*VLOOKUP('Données projet'!$B$18,Paramètres!$A$1:$I$88,7,0))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projet'!$B$18,Paramètres!$A$1:$I$88,3,0)*0.475*44/12</f>
        <v>#N/A</v>
      </c>
      <c r="HH153" s="23" t="e">
        <f>EXP(-LN(2)/25)*HH152+(1-EXP(-LN(2)/25))/(LN(2)/25)*Calculateur!HC153*Calculateur!HE153*VLOOKUP('Données projet'!$B$18,Paramètres!$A$1:$I$88,3,0)*0.475*44/12</f>
        <v>#N/A</v>
      </c>
      <c r="HI153" s="23" t="e">
        <f>EXP(-LN(2)/2)*HI152+(1-EXP(-LN(2)/2))/(LN(2)/2)*HC153*HF153*VLOOKUP('Données projet'!$B$18,Paramètres!$A$1:$I$88,3,0)*0.475*44/12</f>
        <v>#N/A</v>
      </c>
      <c r="HJ153" s="24" t="e">
        <f t="shared" si="138"/>
        <v>#N/A</v>
      </c>
    </row>
    <row r="154" spans="1:218" x14ac:dyDescent="0.3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4.5474735088646412E-13</v>
      </c>
      <c r="O154" s="14">
        <f>N154*VLOOKUP('Données projet'!$B$9,Paramètres!$A$1:$I$88,3,0)*VLOOKUP('Données projet'!$B$9,Paramètres!$A$1:$I$88,5,0)</f>
        <v>2.5420376914553347E-13</v>
      </c>
      <c r="P154" s="14">
        <f t="shared" si="141"/>
        <v>3.4258699088369875E-12</v>
      </c>
      <c r="Q154" s="22">
        <f t="shared" ref="Q154:Q203" si="162">(O154+P154)*0.475*44/12</f>
        <v>6.4094616558195571E-12</v>
      </c>
      <c r="R154" s="62">
        <f t="shared" si="109"/>
        <v>286.80821682327178</v>
      </c>
      <c r="S154" s="62">
        <f ca="1">AVERAGE(OFFSET($R$3,0,0,'Données projet'!$E$9+1,1))-AVERAGE(OFFSET($H$3,0,0,'Données projet'!$E$9+1,1))</f>
        <v>367.03450586441784</v>
      </c>
      <c r="T154" s="62">
        <f t="shared" si="142"/>
        <v>413.14502442862897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projet'!$B$9,Paramètres!$A$1:$I$88,7,0))</f>
        <v>0</v>
      </c>
      <c r="X154" s="17">
        <f>IF(ISNA(VLOOKUP(A154,'Données projet'!$A$35:$I$55,6,0)),0%,VLOOKUP(A154,'Données projet'!$A$35:$I$55,6,0)*VLOOKUP('Données projet'!$B$9,Paramètres!$A$1:$I$88,7,0))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projet'!$B$9,Paramètres!$A$1:$I$88,3,0)*0.475*44/12</f>
        <v>39.497665638212666</v>
      </c>
      <c r="AA154" s="23">
        <f>EXP(-LN(2)/25)*AA153+(1-EXP(-LN(2)/25))/(LN(2)/25)*Calculateur!V154*Calculateur!X154*VLOOKUP('Données projet'!$B$9,Paramètres!$A$1:$I$88,3,0)*0.475*44/12</f>
        <v>10.604335110530775</v>
      </c>
      <c r="AB154" s="23">
        <f>EXP(-LN(2)/2)*AB153+(1-EXP(-LN(2)/2))/(LN(2)/2)*V154*Y154*VLOOKUP('Données projet'!$B$9,Paramètres!$A$1:$I$88,3,0)*0.475*44/12</f>
        <v>0</v>
      </c>
      <c r="AC154" s="24">
        <f t="shared" ref="AC154:AC203" si="163">SUM(Z154:AB154)</f>
        <v>50.102000748743443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projet'!$B$10,Paramètres!$A$1:$I$88,3,0)*VLOOKUP('Données projet'!$B$10,Paramètres!$A$1:$I$88,5,0)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projet'!$B$10,Paramètres!$A$1:$I$88,7,0))</f>
        <v>0</v>
      </c>
      <c r="AS154" s="17">
        <f>IF(ISNA(VLOOKUP(A154,'Données projet'!$A$61:$I$81,6,0)),0%,VLOOKUP(A154,'Données projet'!$A$61:$I$81,6,0)*VLOOKUP('Données projet'!$B$10,Paramètres!$A$1:$I$88,7,0))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projet'!$B$10,Paramètres!$A$1:$I$88,3,0)*0.475*44/12</f>
        <v>#N/A</v>
      </c>
      <c r="AV154" s="23" t="e">
        <f>EXP(-LN(2)/25)*AV153+(1-EXP(-LN(2)/25))/(LN(2)/25)*Calculateur!AQ154*Calculateur!AS154*VLOOKUP('Données projet'!$B$10,Paramètres!$A$1:$I$88,3,0)*0.475*44/12</f>
        <v>#N/A</v>
      </c>
      <c r="AW154" s="23" t="e">
        <f>EXP(-LN(2)/2)*AW153+(1-EXP(-LN(2)/2))/(LN(2)/2)*AQ154*AT154*VLOOKUP('Données projet'!$B$10,Paramètres!$A$1:$I$88,3,0)*0.475*44/12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projet'!$B$11,Paramètres!$A$1:$I$88,3,0)*VLOOKUP('Données projet'!$B$11,Paramètres!$A$1:$I$88,5,0)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projet'!$B$11,Paramètres!$A$1:$I$88,7,0))</f>
        <v>0</v>
      </c>
      <c r="BN154" s="17">
        <f>IF(ISNA(VLOOKUP(A154,'Données projet'!$A$87:$I$107,6,0)),0%,VLOOKUP(A154,'Données projet'!$A$87:$I$107,6,0)*VLOOKUP('Données projet'!$B$11,Paramètres!$A$1:$I$88,7,0))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projet'!$B$11,Paramètres!$A$1:$I$88,3,0)*0.475*44/12</f>
        <v>#N/A</v>
      </c>
      <c r="BQ154" s="23" t="e">
        <f>EXP(-LN(2)/25)*BQ153+(1-EXP(-LN(2)/25))/(LN(2)/25)*Calculateur!BL154*Calculateur!BN154*VLOOKUP('Données projet'!$B$11,Paramètres!$A$1:$I$88,3,0)*0.475*44/12</f>
        <v>#N/A</v>
      </c>
      <c r="BR154" s="23" t="e">
        <f>EXP(-LN(2)/2)*BR153+(1-EXP(-LN(2)/2))/(LN(2)/2)*BL154*BO154*VLOOKUP('Données projet'!$B$11,Paramètres!$A$1:$I$88,3,0)*0.475*44/12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projet'!$B$12,Paramètres!$A$1:$I$88,3,0)*VLOOKUP('Données projet'!$B$12,Paramètres!$A$1:$I$88,5,0)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projet'!$B$12,Paramètres!$A$1:$I$88,7,0))</f>
        <v>0</v>
      </c>
      <c r="CI154" s="17">
        <f>IF(ISNA(VLOOKUP(A154,'Données projet'!$A$113:$I$133,6,0)),0%,VLOOKUP(A154,'Données projet'!$A$113:$I$133,6,0)*VLOOKUP('Données projet'!$B$12,Paramètres!$A$1:$I$88,7,0))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projet'!$B$12,Paramètres!$A$1:$I$88,3,0)*0.475*44/12</f>
        <v>#N/A</v>
      </c>
      <c r="CL154" s="23" t="e">
        <f>EXP(-LN(2)/25)*CL153+(1-EXP(-LN(2)/25))/(LN(2)/25)*Calculateur!CG154*Calculateur!CI154*VLOOKUP('Données projet'!$B$12,Paramètres!$A$1:$I$88,3,0)*0.475*44/12</f>
        <v>#N/A</v>
      </c>
      <c r="CM154" s="23" t="e">
        <f>EXP(-LN(2)/2)*CM153+(1-EXP(-LN(2)/2))/(LN(2)/2)*CG154*CJ154*VLOOKUP('Données projet'!$B$12,Paramètres!$A$1:$I$88,3,0)*0.475*44/12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projet'!$B$13,Paramètres!$A$1:$I$88,3,0)*VLOOKUP('Données projet'!$B$13,Paramètres!$A$1:$I$88,5,0)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projet'!$B$13,Paramètres!$A$1:$I$88,7,0))</f>
        <v>0</v>
      </c>
      <c r="DD154" s="17">
        <f>IF(ISNA(VLOOKUP(A154,'Données projet'!$A$139:$I$159,6,0)),0%,VLOOKUP(A154,'Données projet'!$A$139:$I$159,6,0)*VLOOKUP('Données projet'!$B$13,Paramètres!$A$1:$I$88,7,0))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projet'!$B$13,Paramètres!$A$1:$I$88,3,0)*0.475*44/12</f>
        <v>#N/A</v>
      </c>
      <c r="DG154" s="23" t="e">
        <f>EXP(-LN(2)/25)*DG153+(1-EXP(-LN(2)/25))/(LN(2)/25)*Calculateur!DB154*Calculateur!DD154*VLOOKUP('Données projet'!$B$13,Paramètres!$A$1:$I$88,3,0)*0.475*44/12</f>
        <v>#N/A</v>
      </c>
      <c r="DH154" s="23" t="e">
        <f>EXP(-LN(2)/2)*DH153+(1-EXP(-LN(2)/2))/(LN(2)/2)*DB154*DE154*VLOOKUP('Données projet'!$B$13,Paramètres!$A$1:$I$88,3,0)*0.475*44/12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projet'!$B$14,Paramètres!$A$1:$I$88,3,0)*VLOOKUP('Données projet'!$B$14,Paramètres!$A$1:$I$88,5,0)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projet'!$B$14,Paramètres!$A$1:$I$88,7,0))</f>
        <v>0</v>
      </c>
      <c r="DY154" s="17">
        <f>IF(ISNA(VLOOKUP(A154,'Données projet'!$A$165:$I$185,6,0)),0%,VLOOKUP(A154,'Données projet'!$A$165:$I$185,6,0)*VLOOKUP('Données projet'!$B$14,Paramètres!$A$1:$I$88,7,0))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projet'!$B$14,Paramètres!$A$1:$I$88,3,0)*0.475*44/12</f>
        <v>#N/A</v>
      </c>
      <c r="EB154" s="23" t="e">
        <f>EXP(-LN(2)/25)*EB153+(1-EXP(-LN(2)/25))/(LN(2)/25)*Calculateur!DW154*Calculateur!DY154*VLOOKUP('Données projet'!$B$14,Paramètres!$A$1:$I$88,3,0)*0.475*44/12</f>
        <v>#N/A</v>
      </c>
      <c r="EC154" s="23" t="e">
        <f>EXP(-LN(2)/2)*EC153+(1-EXP(-LN(2)/2))/(LN(2)/2)*DW154*DZ154*VLOOKUP('Données projet'!$B$14,Paramètres!$A$1:$I$88,3,0)*0.475*44/12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projet'!$B$15,Paramètres!$A$1:$I$88,3,0)*VLOOKUP('Données projet'!$B$15,Paramètres!$A$1:$I$88,5,0)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projet'!$B$15,Paramètres!$A$1:$I$88,7,0))</f>
        <v>0</v>
      </c>
      <c r="ET154" s="17">
        <f>IF(ISNA(VLOOKUP(A154,'Données projet'!$A$191:$I$211,6,0)),0%,VLOOKUP(A154,'Données projet'!$A$191:$I$211,6,0)*VLOOKUP('Données projet'!$B$15,Paramètres!$A$1:$I$88,7,0))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projet'!$B$15,Paramètres!$A$1:$I$88,3,0)*0.475*44/12</f>
        <v>#N/A</v>
      </c>
      <c r="EW154" s="23" t="e">
        <f>EXP(-LN(2)/25)*EW153+(1-EXP(-LN(2)/25))/(LN(2)/25)*Calculateur!ER154*Calculateur!ET154*VLOOKUP('Données projet'!$B$15,Paramètres!$A$1:$I$88,3,0)*0.475*44/12</f>
        <v>#N/A</v>
      </c>
      <c r="EX154" s="23" t="e">
        <f>EXP(-LN(2)/2)*EX153+(1-EXP(-LN(2)/2))/(LN(2)/2)*ER154*EU154*VLOOKUP('Données projet'!$B$15,Paramètres!$A$1:$I$88,3,0)*0.475*44/12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projet'!$B$16,Paramètres!$A$1:$I$88,3,0)*VLOOKUP('Données projet'!$B$16,Paramètres!$A$1:$I$88,5,0)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projet'!$B$16,Paramètres!$A$1:$I$88,7,0))</f>
        <v>0</v>
      </c>
      <c r="FO154" s="17">
        <f>IF(ISNA(VLOOKUP(A154,'Données projet'!$A$217:$I$237,6,0)),0%,VLOOKUP(A154,'Données projet'!$A$217:$I$237,6,0)*VLOOKUP('Données projet'!$B$16,Paramètres!$A$1:$I$88,7,0))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projet'!$B$16,Paramètres!$A$1:$I$88,3,0)*0.475*44/12</f>
        <v>#N/A</v>
      </c>
      <c r="FR154" s="23" t="e">
        <f>EXP(-LN(2)/25)*FR153+(1-EXP(-LN(2)/25))/(LN(2)/25)*Calculateur!FM154*Calculateur!FO154*VLOOKUP('Données projet'!$B$16,Paramètres!$A$1:$I$88,3,0)*0.475*44/12</f>
        <v>#N/A</v>
      </c>
      <c r="FS154" s="23" t="e">
        <f>EXP(-LN(2)/2)*FS153+(1-EXP(-LN(2)/2))/(LN(2)/2)*FM154*FP154*VLOOKUP('Données projet'!$B$16,Paramètres!$A$1:$I$88,3,0)*0.475*44/12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projet'!$B$17,Paramètres!$A$1:$I$88,3,0)*VLOOKUP('Données projet'!$B$17,Paramètres!$A$1:$I$88,5,0)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projet'!$B$17,Paramètres!$A$1:$I$88,7,0))</f>
        <v>0</v>
      </c>
      <c r="GJ154" s="17">
        <f>IF(ISNA(VLOOKUP(A154,'Données projet'!$A$243:$I$263,6,0)),0%,VLOOKUP(A154,'Données projet'!$A$243:$I$263,6,0)*VLOOKUP('Données projet'!$B$17,Paramètres!$A$1:$I$88,7,0))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projet'!$B$17,Paramètres!$A$1:$I$88,3,0)*0.475*44/12</f>
        <v>#N/A</v>
      </c>
      <c r="GM154" s="23" t="e">
        <f>EXP(-LN(2)/25)*GM153+(1-EXP(-LN(2)/25))/(LN(2)/25)*Calculateur!GH154*Calculateur!GJ154*VLOOKUP('Données projet'!$B$17,Paramètres!$A$1:$I$88,3,0)*0.475*44/12</f>
        <v>#N/A</v>
      </c>
      <c r="GN154" s="23" t="e">
        <f>EXP(-LN(2)/2)*GN153+(1-EXP(-LN(2)/2))/(LN(2)/2)*GH154*GK154*VLOOKUP('Données projet'!$B$17,Paramètres!$A$1:$I$88,3,0)*0.475*44/12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projet'!$B$18,Paramètres!$A$1:$I$88,3,0)*VLOOKUP('Données projet'!$B$18,Paramètres!$A$1:$I$88,5,0)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projet'!$B$18,Paramètres!$A$1:$I$88,7,0))</f>
        <v>0</v>
      </c>
      <c r="HE154" s="17">
        <f>IF(ISNA(VLOOKUP(A154,'Données projet'!$A$269:$I$289,6,0)),0%,VLOOKUP(A154,'Données projet'!$A$269:$I$289,6,0)*VLOOKUP('Données projet'!$B$18,Paramètres!$A$1:$I$88,7,0))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projet'!$B$18,Paramètres!$A$1:$I$88,3,0)*0.475*44/12</f>
        <v>#N/A</v>
      </c>
      <c r="HH154" s="23" t="e">
        <f>EXP(-LN(2)/25)*HH153+(1-EXP(-LN(2)/25))/(LN(2)/25)*Calculateur!HC154*Calculateur!HE154*VLOOKUP('Données projet'!$B$18,Paramètres!$A$1:$I$88,3,0)*0.475*44/12</f>
        <v>#N/A</v>
      </c>
      <c r="HI154" s="23" t="e">
        <f>EXP(-LN(2)/2)*HI153+(1-EXP(-LN(2)/2))/(LN(2)/2)*HC154*HF154*VLOOKUP('Données projet'!$B$18,Paramètres!$A$1:$I$88,3,0)*0.475*44/12</f>
        <v>#N/A</v>
      </c>
      <c r="HJ154" s="24" t="e">
        <f t="shared" ref="HJ154:HJ203" si="190">SUM(HG154:HI154)</f>
        <v>#N/A</v>
      </c>
    </row>
    <row r="155" spans="1:218" x14ac:dyDescent="0.3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4.5474735088646412E-13</v>
      </c>
      <c r="O155" s="14">
        <f>N155*VLOOKUP('Données projet'!$B$9,Paramètres!$A$1:$I$88,3,0)*VLOOKUP('Données projet'!$B$9,Paramètres!$A$1:$I$88,5,0)</f>
        <v>2.5420376914553347E-13</v>
      </c>
      <c r="P155" s="14">
        <f t="shared" si="141"/>
        <v>3.4258699088369875E-12</v>
      </c>
      <c r="Q155" s="22">
        <f t="shared" si="162"/>
        <v>6.4094616558195571E-12</v>
      </c>
      <c r="R155" s="62">
        <f t="shared" si="109"/>
        <v>286.92141300674632</v>
      </c>
      <c r="S155" s="62">
        <f ca="1">AVERAGE(OFFSET($R$3,0,0,'Données projet'!$E$9+1,1))-AVERAGE(OFFSET($H$3,0,0,'Données projet'!$E$9+1,1))</f>
        <v>367.03450586441784</v>
      </c>
      <c r="T155" s="62">
        <f t="shared" si="142"/>
        <v>413.14502442862897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projet'!$B$9,Paramètres!$A$1:$I$88,7,0))</f>
        <v>0</v>
      </c>
      <c r="X155" s="17">
        <f>IF(ISNA(VLOOKUP(A155,'Données projet'!$A$35:$I$55,6,0)),0%,VLOOKUP(A155,'Données projet'!$A$35:$I$55,6,0)*VLOOKUP('Données projet'!$B$9,Paramètres!$A$1:$I$88,7,0))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projet'!$B$9,Paramètres!$A$1:$I$88,3,0)*0.475*44/12</f>
        <v>38.723140506244548</v>
      </c>
      <c r="AA155" s="23">
        <f>EXP(-LN(2)/25)*AA154+(1-EXP(-LN(2)/25))/(LN(2)/25)*Calculateur!V155*Calculateur!X155*VLOOKUP('Données projet'!$B$9,Paramètres!$A$1:$I$88,3,0)*0.475*44/12</f>
        <v>10.314359009275563</v>
      </c>
      <c r="AB155" s="23">
        <f>EXP(-LN(2)/2)*AB154+(1-EXP(-LN(2)/2))/(LN(2)/2)*V155*Y155*VLOOKUP('Données projet'!$B$9,Paramètres!$A$1:$I$88,3,0)*0.475*44/12</f>
        <v>0</v>
      </c>
      <c r="AC155" s="24">
        <f t="shared" si="163"/>
        <v>49.037499515520111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projet'!$B$10,Paramètres!$A$1:$I$88,3,0)*VLOOKUP('Données projet'!$B$10,Paramètres!$A$1:$I$88,5,0)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projet'!$B$10,Paramètres!$A$1:$I$88,7,0))</f>
        <v>0</v>
      </c>
      <c r="AS155" s="17">
        <f>IF(ISNA(VLOOKUP(A155,'Données projet'!$A$61:$I$81,6,0)),0%,VLOOKUP(A155,'Données projet'!$A$61:$I$81,6,0)*VLOOKUP('Données projet'!$B$10,Paramètres!$A$1:$I$88,7,0))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projet'!$B$10,Paramètres!$A$1:$I$88,3,0)*0.475*44/12</f>
        <v>#N/A</v>
      </c>
      <c r="AV155" s="23" t="e">
        <f>EXP(-LN(2)/25)*AV154+(1-EXP(-LN(2)/25))/(LN(2)/25)*Calculateur!AQ155*Calculateur!AS155*VLOOKUP('Données projet'!$B$10,Paramètres!$A$1:$I$88,3,0)*0.475*44/12</f>
        <v>#N/A</v>
      </c>
      <c r="AW155" s="23" t="e">
        <f>EXP(-LN(2)/2)*AW154+(1-EXP(-LN(2)/2))/(LN(2)/2)*AQ155*AT155*VLOOKUP('Données projet'!$B$10,Paramètres!$A$1:$I$88,3,0)*0.475*44/12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projet'!$B$11,Paramètres!$A$1:$I$88,3,0)*VLOOKUP('Données projet'!$B$11,Paramètres!$A$1:$I$88,5,0)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projet'!$B$11,Paramètres!$A$1:$I$88,7,0))</f>
        <v>0</v>
      </c>
      <c r="BN155" s="17">
        <f>IF(ISNA(VLOOKUP(A155,'Données projet'!$A$87:$I$107,6,0)),0%,VLOOKUP(A155,'Données projet'!$A$87:$I$107,6,0)*VLOOKUP('Données projet'!$B$11,Paramètres!$A$1:$I$88,7,0))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projet'!$B$11,Paramètres!$A$1:$I$88,3,0)*0.475*44/12</f>
        <v>#N/A</v>
      </c>
      <c r="BQ155" s="23" t="e">
        <f>EXP(-LN(2)/25)*BQ154+(1-EXP(-LN(2)/25))/(LN(2)/25)*Calculateur!BL155*Calculateur!BN155*VLOOKUP('Données projet'!$B$11,Paramètres!$A$1:$I$88,3,0)*0.475*44/12</f>
        <v>#N/A</v>
      </c>
      <c r="BR155" s="23" t="e">
        <f>EXP(-LN(2)/2)*BR154+(1-EXP(-LN(2)/2))/(LN(2)/2)*BL155*BO155*VLOOKUP('Données projet'!$B$11,Paramètres!$A$1:$I$88,3,0)*0.475*44/12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projet'!$B$12,Paramètres!$A$1:$I$88,3,0)*VLOOKUP('Données projet'!$B$12,Paramètres!$A$1:$I$88,5,0)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projet'!$B$12,Paramètres!$A$1:$I$88,7,0))</f>
        <v>0</v>
      </c>
      <c r="CI155" s="17">
        <f>IF(ISNA(VLOOKUP(A155,'Données projet'!$A$113:$I$133,6,0)),0%,VLOOKUP(A155,'Données projet'!$A$113:$I$133,6,0)*VLOOKUP('Données projet'!$B$12,Paramètres!$A$1:$I$88,7,0))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projet'!$B$12,Paramètres!$A$1:$I$88,3,0)*0.475*44/12</f>
        <v>#N/A</v>
      </c>
      <c r="CL155" s="23" t="e">
        <f>EXP(-LN(2)/25)*CL154+(1-EXP(-LN(2)/25))/(LN(2)/25)*Calculateur!CG155*Calculateur!CI155*VLOOKUP('Données projet'!$B$12,Paramètres!$A$1:$I$88,3,0)*0.475*44/12</f>
        <v>#N/A</v>
      </c>
      <c r="CM155" s="23" t="e">
        <f>EXP(-LN(2)/2)*CM154+(1-EXP(-LN(2)/2))/(LN(2)/2)*CG155*CJ155*VLOOKUP('Données projet'!$B$12,Paramètres!$A$1:$I$88,3,0)*0.475*44/12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projet'!$B$13,Paramètres!$A$1:$I$88,3,0)*VLOOKUP('Données projet'!$B$13,Paramètres!$A$1:$I$88,5,0)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projet'!$B$13,Paramètres!$A$1:$I$88,7,0))</f>
        <v>0</v>
      </c>
      <c r="DD155" s="17">
        <f>IF(ISNA(VLOOKUP(A155,'Données projet'!$A$139:$I$159,6,0)),0%,VLOOKUP(A155,'Données projet'!$A$139:$I$159,6,0)*VLOOKUP('Données projet'!$B$13,Paramètres!$A$1:$I$88,7,0))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projet'!$B$13,Paramètres!$A$1:$I$88,3,0)*0.475*44/12</f>
        <v>#N/A</v>
      </c>
      <c r="DG155" s="23" t="e">
        <f>EXP(-LN(2)/25)*DG154+(1-EXP(-LN(2)/25))/(LN(2)/25)*Calculateur!DB155*Calculateur!DD155*VLOOKUP('Données projet'!$B$13,Paramètres!$A$1:$I$88,3,0)*0.475*44/12</f>
        <v>#N/A</v>
      </c>
      <c r="DH155" s="23" t="e">
        <f>EXP(-LN(2)/2)*DH154+(1-EXP(-LN(2)/2))/(LN(2)/2)*DB155*DE155*VLOOKUP('Données projet'!$B$13,Paramètres!$A$1:$I$88,3,0)*0.475*44/12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projet'!$B$14,Paramètres!$A$1:$I$88,3,0)*VLOOKUP('Données projet'!$B$14,Paramètres!$A$1:$I$88,5,0)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projet'!$B$14,Paramètres!$A$1:$I$88,7,0))</f>
        <v>0</v>
      </c>
      <c r="DY155" s="17">
        <f>IF(ISNA(VLOOKUP(A155,'Données projet'!$A$165:$I$185,6,0)),0%,VLOOKUP(A155,'Données projet'!$A$165:$I$185,6,0)*VLOOKUP('Données projet'!$B$14,Paramètres!$A$1:$I$88,7,0))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projet'!$B$14,Paramètres!$A$1:$I$88,3,0)*0.475*44/12</f>
        <v>#N/A</v>
      </c>
      <c r="EB155" s="23" t="e">
        <f>EXP(-LN(2)/25)*EB154+(1-EXP(-LN(2)/25))/(LN(2)/25)*Calculateur!DW155*Calculateur!DY155*VLOOKUP('Données projet'!$B$14,Paramètres!$A$1:$I$88,3,0)*0.475*44/12</f>
        <v>#N/A</v>
      </c>
      <c r="EC155" s="23" t="e">
        <f>EXP(-LN(2)/2)*EC154+(1-EXP(-LN(2)/2))/(LN(2)/2)*DW155*DZ155*VLOOKUP('Données projet'!$B$14,Paramètres!$A$1:$I$88,3,0)*0.475*44/12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projet'!$B$15,Paramètres!$A$1:$I$88,3,0)*VLOOKUP('Données projet'!$B$15,Paramètres!$A$1:$I$88,5,0)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projet'!$B$15,Paramètres!$A$1:$I$88,7,0))</f>
        <v>0</v>
      </c>
      <c r="ET155" s="17">
        <f>IF(ISNA(VLOOKUP(A155,'Données projet'!$A$191:$I$211,6,0)),0%,VLOOKUP(A155,'Données projet'!$A$191:$I$211,6,0)*VLOOKUP('Données projet'!$B$15,Paramètres!$A$1:$I$88,7,0))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projet'!$B$15,Paramètres!$A$1:$I$88,3,0)*0.475*44/12</f>
        <v>#N/A</v>
      </c>
      <c r="EW155" s="23" t="e">
        <f>EXP(-LN(2)/25)*EW154+(1-EXP(-LN(2)/25))/(LN(2)/25)*Calculateur!ER155*Calculateur!ET155*VLOOKUP('Données projet'!$B$15,Paramètres!$A$1:$I$88,3,0)*0.475*44/12</f>
        <v>#N/A</v>
      </c>
      <c r="EX155" s="23" t="e">
        <f>EXP(-LN(2)/2)*EX154+(1-EXP(-LN(2)/2))/(LN(2)/2)*ER155*EU155*VLOOKUP('Données projet'!$B$15,Paramètres!$A$1:$I$88,3,0)*0.475*44/12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projet'!$B$16,Paramètres!$A$1:$I$88,3,0)*VLOOKUP('Données projet'!$B$16,Paramètres!$A$1:$I$88,5,0)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projet'!$B$16,Paramètres!$A$1:$I$88,7,0))</f>
        <v>0</v>
      </c>
      <c r="FO155" s="17">
        <f>IF(ISNA(VLOOKUP(A155,'Données projet'!$A$217:$I$237,6,0)),0%,VLOOKUP(A155,'Données projet'!$A$217:$I$237,6,0)*VLOOKUP('Données projet'!$B$16,Paramètres!$A$1:$I$88,7,0))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projet'!$B$16,Paramètres!$A$1:$I$88,3,0)*0.475*44/12</f>
        <v>#N/A</v>
      </c>
      <c r="FR155" s="23" t="e">
        <f>EXP(-LN(2)/25)*FR154+(1-EXP(-LN(2)/25))/(LN(2)/25)*Calculateur!FM155*Calculateur!FO155*VLOOKUP('Données projet'!$B$16,Paramètres!$A$1:$I$88,3,0)*0.475*44/12</f>
        <v>#N/A</v>
      </c>
      <c r="FS155" s="23" t="e">
        <f>EXP(-LN(2)/2)*FS154+(1-EXP(-LN(2)/2))/(LN(2)/2)*FM155*FP155*VLOOKUP('Données projet'!$B$16,Paramètres!$A$1:$I$88,3,0)*0.475*44/12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projet'!$B$17,Paramètres!$A$1:$I$88,3,0)*VLOOKUP('Données projet'!$B$17,Paramètres!$A$1:$I$88,5,0)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projet'!$B$17,Paramètres!$A$1:$I$88,7,0))</f>
        <v>0</v>
      </c>
      <c r="GJ155" s="17">
        <f>IF(ISNA(VLOOKUP(A155,'Données projet'!$A$243:$I$263,6,0)),0%,VLOOKUP(A155,'Données projet'!$A$243:$I$263,6,0)*VLOOKUP('Données projet'!$B$17,Paramètres!$A$1:$I$88,7,0))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projet'!$B$17,Paramètres!$A$1:$I$88,3,0)*0.475*44/12</f>
        <v>#N/A</v>
      </c>
      <c r="GM155" s="23" t="e">
        <f>EXP(-LN(2)/25)*GM154+(1-EXP(-LN(2)/25))/(LN(2)/25)*Calculateur!GH155*Calculateur!GJ155*VLOOKUP('Données projet'!$B$17,Paramètres!$A$1:$I$88,3,0)*0.475*44/12</f>
        <v>#N/A</v>
      </c>
      <c r="GN155" s="23" t="e">
        <f>EXP(-LN(2)/2)*GN154+(1-EXP(-LN(2)/2))/(LN(2)/2)*GH155*GK155*VLOOKUP('Données projet'!$B$17,Paramètres!$A$1:$I$88,3,0)*0.475*44/12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projet'!$B$18,Paramètres!$A$1:$I$88,3,0)*VLOOKUP('Données projet'!$B$18,Paramètres!$A$1:$I$88,5,0)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projet'!$B$18,Paramètres!$A$1:$I$88,7,0))</f>
        <v>0</v>
      </c>
      <c r="HE155" s="17">
        <f>IF(ISNA(VLOOKUP(A155,'Données projet'!$A$269:$I$289,6,0)),0%,VLOOKUP(A155,'Données projet'!$A$269:$I$289,6,0)*VLOOKUP('Données projet'!$B$18,Paramètres!$A$1:$I$88,7,0))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projet'!$B$18,Paramètres!$A$1:$I$88,3,0)*0.475*44/12</f>
        <v>#N/A</v>
      </c>
      <c r="HH155" s="23" t="e">
        <f>EXP(-LN(2)/25)*HH154+(1-EXP(-LN(2)/25))/(LN(2)/25)*Calculateur!HC155*Calculateur!HE155*VLOOKUP('Données projet'!$B$18,Paramètres!$A$1:$I$88,3,0)*0.475*44/12</f>
        <v>#N/A</v>
      </c>
      <c r="HI155" s="23" t="e">
        <f>EXP(-LN(2)/2)*HI154+(1-EXP(-LN(2)/2))/(LN(2)/2)*HC155*HF155*VLOOKUP('Données projet'!$B$18,Paramètres!$A$1:$I$88,3,0)*0.475*44/12</f>
        <v>#N/A</v>
      </c>
      <c r="HJ155" s="24" t="e">
        <f t="shared" si="190"/>
        <v>#N/A</v>
      </c>
    </row>
    <row r="156" spans="1:218" x14ac:dyDescent="0.3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4.5474735088646412E-13</v>
      </c>
      <c r="O156" s="14">
        <f>N156*VLOOKUP('Données projet'!$B$9,Paramètres!$A$1:$I$88,3,0)*VLOOKUP('Données projet'!$B$9,Paramètres!$A$1:$I$88,5,0)</f>
        <v>2.5420376914553347E-13</v>
      </c>
      <c r="P156" s="14">
        <f t="shared" si="141"/>
        <v>3.4258699088369875E-12</v>
      </c>
      <c r="Q156" s="22">
        <f t="shared" si="162"/>
        <v>6.4094616558195571E-12</v>
      </c>
      <c r="R156" s="62">
        <f t="shared" si="109"/>
        <v>287.03264548950642</v>
      </c>
      <c r="S156" s="62">
        <f ca="1">AVERAGE(OFFSET($R$3,0,0,'Données projet'!$E$9+1,1))-AVERAGE(OFFSET($H$3,0,0,'Données projet'!$E$9+1,1))</f>
        <v>367.03450586441784</v>
      </c>
      <c r="T156" s="62">
        <f t="shared" si="142"/>
        <v>413.14502442862897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projet'!$B$9,Paramètres!$A$1:$I$88,7,0))</f>
        <v>0</v>
      </c>
      <c r="X156" s="17">
        <f>IF(ISNA(VLOOKUP(A156,'Données projet'!$A$35:$I$55,6,0)),0%,VLOOKUP(A156,'Données projet'!$A$35:$I$55,6,0)*VLOOKUP('Données projet'!$B$9,Paramètres!$A$1:$I$88,7,0))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projet'!$B$9,Paramètres!$A$1:$I$88,3,0)*0.475*44/12</f>
        <v>37.96380333970064</v>
      </c>
      <c r="AA156" s="23">
        <f>EXP(-LN(2)/25)*AA155+(1-EXP(-LN(2)/25))/(LN(2)/25)*Calculateur!V156*Calculateur!X156*VLOOKUP('Données projet'!$B$9,Paramètres!$A$1:$I$88,3,0)*0.475*44/12</f>
        <v>10.032312319758356</v>
      </c>
      <c r="AB156" s="23">
        <f>EXP(-LN(2)/2)*AB155+(1-EXP(-LN(2)/2))/(LN(2)/2)*V156*Y156*VLOOKUP('Données projet'!$B$9,Paramètres!$A$1:$I$88,3,0)*0.475*44/12</f>
        <v>0</v>
      </c>
      <c r="AC156" s="24">
        <f t="shared" si="163"/>
        <v>47.996115659458994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projet'!$B$10,Paramètres!$A$1:$I$88,3,0)*VLOOKUP('Données projet'!$B$10,Paramètres!$A$1:$I$88,5,0)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projet'!$B$10,Paramètres!$A$1:$I$88,7,0))</f>
        <v>0</v>
      </c>
      <c r="AS156" s="17">
        <f>IF(ISNA(VLOOKUP(A156,'Données projet'!$A$61:$I$81,6,0)),0%,VLOOKUP(A156,'Données projet'!$A$61:$I$81,6,0)*VLOOKUP('Données projet'!$B$10,Paramètres!$A$1:$I$88,7,0))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projet'!$B$10,Paramètres!$A$1:$I$88,3,0)*0.475*44/12</f>
        <v>#N/A</v>
      </c>
      <c r="AV156" s="23" t="e">
        <f>EXP(-LN(2)/25)*AV155+(1-EXP(-LN(2)/25))/(LN(2)/25)*Calculateur!AQ156*Calculateur!AS156*VLOOKUP('Données projet'!$B$10,Paramètres!$A$1:$I$88,3,0)*0.475*44/12</f>
        <v>#N/A</v>
      </c>
      <c r="AW156" s="23" t="e">
        <f>EXP(-LN(2)/2)*AW155+(1-EXP(-LN(2)/2))/(LN(2)/2)*AQ156*AT156*VLOOKUP('Données projet'!$B$10,Paramètres!$A$1:$I$88,3,0)*0.475*44/12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projet'!$B$11,Paramètres!$A$1:$I$88,3,0)*VLOOKUP('Données projet'!$B$11,Paramètres!$A$1:$I$88,5,0)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projet'!$B$11,Paramètres!$A$1:$I$88,7,0))</f>
        <v>0</v>
      </c>
      <c r="BN156" s="17">
        <f>IF(ISNA(VLOOKUP(A156,'Données projet'!$A$87:$I$107,6,0)),0%,VLOOKUP(A156,'Données projet'!$A$87:$I$107,6,0)*VLOOKUP('Données projet'!$B$11,Paramètres!$A$1:$I$88,7,0))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projet'!$B$11,Paramètres!$A$1:$I$88,3,0)*0.475*44/12</f>
        <v>#N/A</v>
      </c>
      <c r="BQ156" s="23" t="e">
        <f>EXP(-LN(2)/25)*BQ155+(1-EXP(-LN(2)/25))/(LN(2)/25)*Calculateur!BL156*Calculateur!BN156*VLOOKUP('Données projet'!$B$11,Paramètres!$A$1:$I$88,3,0)*0.475*44/12</f>
        <v>#N/A</v>
      </c>
      <c r="BR156" s="23" t="e">
        <f>EXP(-LN(2)/2)*BR155+(1-EXP(-LN(2)/2))/(LN(2)/2)*BL156*BO156*VLOOKUP('Données projet'!$B$11,Paramètres!$A$1:$I$88,3,0)*0.475*44/12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projet'!$B$12,Paramètres!$A$1:$I$88,3,0)*VLOOKUP('Données projet'!$B$12,Paramètres!$A$1:$I$88,5,0)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projet'!$B$12,Paramètres!$A$1:$I$88,7,0))</f>
        <v>0</v>
      </c>
      <c r="CI156" s="17">
        <f>IF(ISNA(VLOOKUP(A156,'Données projet'!$A$113:$I$133,6,0)),0%,VLOOKUP(A156,'Données projet'!$A$113:$I$133,6,0)*VLOOKUP('Données projet'!$B$12,Paramètres!$A$1:$I$88,7,0))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projet'!$B$12,Paramètres!$A$1:$I$88,3,0)*0.475*44/12</f>
        <v>#N/A</v>
      </c>
      <c r="CL156" s="23" t="e">
        <f>EXP(-LN(2)/25)*CL155+(1-EXP(-LN(2)/25))/(LN(2)/25)*Calculateur!CG156*Calculateur!CI156*VLOOKUP('Données projet'!$B$12,Paramètres!$A$1:$I$88,3,0)*0.475*44/12</f>
        <v>#N/A</v>
      </c>
      <c r="CM156" s="23" t="e">
        <f>EXP(-LN(2)/2)*CM155+(1-EXP(-LN(2)/2))/(LN(2)/2)*CG156*CJ156*VLOOKUP('Données projet'!$B$12,Paramètres!$A$1:$I$88,3,0)*0.475*44/12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projet'!$B$13,Paramètres!$A$1:$I$88,3,0)*VLOOKUP('Données projet'!$B$13,Paramètres!$A$1:$I$88,5,0)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projet'!$B$13,Paramètres!$A$1:$I$88,7,0))</f>
        <v>0</v>
      </c>
      <c r="DD156" s="17">
        <f>IF(ISNA(VLOOKUP(A156,'Données projet'!$A$139:$I$159,6,0)),0%,VLOOKUP(A156,'Données projet'!$A$139:$I$159,6,0)*VLOOKUP('Données projet'!$B$13,Paramètres!$A$1:$I$88,7,0))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projet'!$B$13,Paramètres!$A$1:$I$88,3,0)*0.475*44/12</f>
        <v>#N/A</v>
      </c>
      <c r="DG156" s="23" t="e">
        <f>EXP(-LN(2)/25)*DG155+(1-EXP(-LN(2)/25))/(LN(2)/25)*Calculateur!DB156*Calculateur!DD156*VLOOKUP('Données projet'!$B$13,Paramètres!$A$1:$I$88,3,0)*0.475*44/12</f>
        <v>#N/A</v>
      </c>
      <c r="DH156" s="23" t="e">
        <f>EXP(-LN(2)/2)*DH155+(1-EXP(-LN(2)/2))/(LN(2)/2)*DB156*DE156*VLOOKUP('Données projet'!$B$13,Paramètres!$A$1:$I$88,3,0)*0.475*44/12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projet'!$B$14,Paramètres!$A$1:$I$88,3,0)*VLOOKUP('Données projet'!$B$14,Paramètres!$A$1:$I$88,5,0)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projet'!$B$14,Paramètres!$A$1:$I$88,7,0))</f>
        <v>0</v>
      </c>
      <c r="DY156" s="17">
        <f>IF(ISNA(VLOOKUP(A156,'Données projet'!$A$165:$I$185,6,0)),0%,VLOOKUP(A156,'Données projet'!$A$165:$I$185,6,0)*VLOOKUP('Données projet'!$B$14,Paramètres!$A$1:$I$88,7,0))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projet'!$B$14,Paramètres!$A$1:$I$88,3,0)*0.475*44/12</f>
        <v>#N/A</v>
      </c>
      <c r="EB156" s="23" t="e">
        <f>EXP(-LN(2)/25)*EB155+(1-EXP(-LN(2)/25))/(LN(2)/25)*Calculateur!DW156*Calculateur!DY156*VLOOKUP('Données projet'!$B$14,Paramètres!$A$1:$I$88,3,0)*0.475*44/12</f>
        <v>#N/A</v>
      </c>
      <c r="EC156" s="23" t="e">
        <f>EXP(-LN(2)/2)*EC155+(1-EXP(-LN(2)/2))/(LN(2)/2)*DW156*DZ156*VLOOKUP('Données projet'!$B$14,Paramètres!$A$1:$I$88,3,0)*0.475*44/12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projet'!$B$15,Paramètres!$A$1:$I$88,3,0)*VLOOKUP('Données projet'!$B$15,Paramètres!$A$1:$I$88,5,0)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projet'!$B$15,Paramètres!$A$1:$I$88,7,0))</f>
        <v>0</v>
      </c>
      <c r="ET156" s="17">
        <f>IF(ISNA(VLOOKUP(A156,'Données projet'!$A$191:$I$211,6,0)),0%,VLOOKUP(A156,'Données projet'!$A$191:$I$211,6,0)*VLOOKUP('Données projet'!$B$15,Paramètres!$A$1:$I$88,7,0))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projet'!$B$15,Paramètres!$A$1:$I$88,3,0)*0.475*44/12</f>
        <v>#N/A</v>
      </c>
      <c r="EW156" s="23" t="e">
        <f>EXP(-LN(2)/25)*EW155+(1-EXP(-LN(2)/25))/(LN(2)/25)*Calculateur!ER156*Calculateur!ET156*VLOOKUP('Données projet'!$B$15,Paramètres!$A$1:$I$88,3,0)*0.475*44/12</f>
        <v>#N/A</v>
      </c>
      <c r="EX156" s="23" t="e">
        <f>EXP(-LN(2)/2)*EX155+(1-EXP(-LN(2)/2))/(LN(2)/2)*ER156*EU156*VLOOKUP('Données projet'!$B$15,Paramètres!$A$1:$I$88,3,0)*0.475*44/12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projet'!$B$16,Paramètres!$A$1:$I$88,3,0)*VLOOKUP('Données projet'!$B$16,Paramètres!$A$1:$I$88,5,0)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projet'!$B$16,Paramètres!$A$1:$I$88,7,0))</f>
        <v>0</v>
      </c>
      <c r="FO156" s="17">
        <f>IF(ISNA(VLOOKUP(A156,'Données projet'!$A$217:$I$237,6,0)),0%,VLOOKUP(A156,'Données projet'!$A$217:$I$237,6,0)*VLOOKUP('Données projet'!$B$16,Paramètres!$A$1:$I$88,7,0))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projet'!$B$16,Paramètres!$A$1:$I$88,3,0)*0.475*44/12</f>
        <v>#N/A</v>
      </c>
      <c r="FR156" s="23" t="e">
        <f>EXP(-LN(2)/25)*FR155+(1-EXP(-LN(2)/25))/(LN(2)/25)*Calculateur!FM156*Calculateur!FO156*VLOOKUP('Données projet'!$B$16,Paramètres!$A$1:$I$88,3,0)*0.475*44/12</f>
        <v>#N/A</v>
      </c>
      <c r="FS156" s="23" t="e">
        <f>EXP(-LN(2)/2)*FS155+(1-EXP(-LN(2)/2))/(LN(2)/2)*FM156*FP156*VLOOKUP('Données projet'!$B$16,Paramètres!$A$1:$I$88,3,0)*0.475*44/12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projet'!$B$17,Paramètres!$A$1:$I$88,3,0)*VLOOKUP('Données projet'!$B$17,Paramètres!$A$1:$I$88,5,0)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projet'!$B$17,Paramètres!$A$1:$I$88,7,0))</f>
        <v>0</v>
      </c>
      <c r="GJ156" s="17">
        <f>IF(ISNA(VLOOKUP(A156,'Données projet'!$A$243:$I$263,6,0)),0%,VLOOKUP(A156,'Données projet'!$A$243:$I$263,6,0)*VLOOKUP('Données projet'!$B$17,Paramètres!$A$1:$I$88,7,0))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projet'!$B$17,Paramètres!$A$1:$I$88,3,0)*0.475*44/12</f>
        <v>#N/A</v>
      </c>
      <c r="GM156" s="23" t="e">
        <f>EXP(-LN(2)/25)*GM155+(1-EXP(-LN(2)/25))/(LN(2)/25)*Calculateur!GH156*Calculateur!GJ156*VLOOKUP('Données projet'!$B$17,Paramètres!$A$1:$I$88,3,0)*0.475*44/12</f>
        <v>#N/A</v>
      </c>
      <c r="GN156" s="23" t="e">
        <f>EXP(-LN(2)/2)*GN155+(1-EXP(-LN(2)/2))/(LN(2)/2)*GH156*GK156*VLOOKUP('Données projet'!$B$17,Paramètres!$A$1:$I$88,3,0)*0.475*44/12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projet'!$B$18,Paramètres!$A$1:$I$88,3,0)*VLOOKUP('Données projet'!$B$18,Paramètres!$A$1:$I$88,5,0)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projet'!$B$18,Paramètres!$A$1:$I$88,7,0))</f>
        <v>0</v>
      </c>
      <c r="HE156" s="17">
        <f>IF(ISNA(VLOOKUP(A156,'Données projet'!$A$269:$I$289,6,0)),0%,VLOOKUP(A156,'Données projet'!$A$269:$I$289,6,0)*VLOOKUP('Données projet'!$B$18,Paramètres!$A$1:$I$88,7,0))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projet'!$B$18,Paramètres!$A$1:$I$88,3,0)*0.475*44/12</f>
        <v>#N/A</v>
      </c>
      <c r="HH156" s="23" t="e">
        <f>EXP(-LN(2)/25)*HH155+(1-EXP(-LN(2)/25))/(LN(2)/25)*Calculateur!HC156*Calculateur!HE156*VLOOKUP('Données projet'!$B$18,Paramètres!$A$1:$I$88,3,0)*0.475*44/12</f>
        <v>#N/A</v>
      </c>
      <c r="HI156" s="23" t="e">
        <f>EXP(-LN(2)/2)*HI155+(1-EXP(-LN(2)/2))/(LN(2)/2)*HC156*HF156*VLOOKUP('Données projet'!$B$18,Paramètres!$A$1:$I$88,3,0)*0.475*44/12</f>
        <v>#N/A</v>
      </c>
      <c r="HJ156" s="24" t="e">
        <f t="shared" si="190"/>
        <v>#N/A</v>
      </c>
    </row>
    <row r="157" spans="1:218" x14ac:dyDescent="0.3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4.5474735088646412E-13</v>
      </c>
      <c r="O157" s="14">
        <f>N157*VLOOKUP('Données projet'!$B$9,Paramètres!$A$1:$I$88,3,0)*VLOOKUP('Données projet'!$B$9,Paramètres!$A$1:$I$88,5,0)</f>
        <v>2.5420376914553347E-13</v>
      </c>
      <c r="P157" s="14">
        <f t="shared" si="141"/>
        <v>3.4258699088369875E-12</v>
      </c>
      <c r="Q157" s="22">
        <f t="shared" si="162"/>
        <v>6.4094616558195571E-12</v>
      </c>
      <c r="R157" s="62">
        <f t="shared" si="109"/>
        <v>287.14194833736917</v>
      </c>
      <c r="S157" s="62">
        <f ca="1">AVERAGE(OFFSET($R$3,0,0,'Données projet'!$E$9+1,1))-AVERAGE(OFFSET($H$3,0,0,'Données projet'!$E$9+1,1))</f>
        <v>367.03450586441784</v>
      </c>
      <c r="T157" s="62">
        <f t="shared" si="142"/>
        <v>413.14502442862897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projet'!$B$9,Paramètres!$A$1:$I$88,7,0))</f>
        <v>0</v>
      </c>
      <c r="X157" s="17">
        <f>IF(ISNA(VLOOKUP(A157,'Données projet'!$A$35:$I$55,6,0)),0%,VLOOKUP(A157,'Données projet'!$A$35:$I$55,6,0)*VLOOKUP('Données projet'!$B$9,Paramètres!$A$1:$I$88,7,0))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projet'!$B$9,Paramètres!$A$1:$I$88,3,0)*0.475*44/12</f>
        <v>37.219356311842716</v>
      </c>
      <c r="AA157" s="23">
        <f>EXP(-LN(2)/25)*AA156+(1-EXP(-LN(2)/25))/(LN(2)/25)*Calculateur!V157*Calculateur!X157*VLOOKUP('Données projet'!$B$9,Paramètres!$A$1:$I$88,3,0)*0.475*44/12</f>
        <v>9.7579782117981875</v>
      </c>
      <c r="AB157" s="23">
        <f>EXP(-LN(2)/2)*AB156+(1-EXP(-LN(2)/2))/(LN(2)/2)*V157*Y157*VLOOKUP('Données projet'!$B$9,Paramètres!$A$1:$I$88,3,0)*0.475*44/12</f>
        <v>0</v>
      </c>
      <c r="AC157" s="24">
        <f t="shared" si="163"/>
        <v>46.977334523640906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projet'!$B$10,Paramètres!$A$1:$I$88,3,0)*VLOOKUP('Données projet'!$B$10,Paramètres!$A$1:$I$88,5,0)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projet'!$B$10,Paramètres!$A$1:$I$88,7,0))</f>
        <v>0</v>
      </c>
      <c r="AS157" s="17">
        <f>IF(ISNA(VLOOKUP(A157,'Données projet'!$A$61:$I$81,6,0)),0%,VLOOKUP(A157,'Données projet'!$A$61:$I$81,6,0)*VLOOKUP('Données projet'!$B$10,Paramètres!$A$1:$I$88,7,0))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projet'!$B$10,Paramètres!$A$1:$I$88,3,0)*0.475*44/12</f>
        <v>#N/A</v>
      </c>
      <c r="AV157" s="23" t="e">
        <f>EXP(-LN(2)/25)*AV156+(1-EXP(-LN(2)/25))/(LN(2)/25)*Calculateur!AQ157*Calculateur!AS157*VLOOKUP('Données projet'!$B$10,Paramètres!$A$1:$I$88,3,0)*0.475*44/12</f>
        <v>#N/A</v>
      </c>
      <c r="AW157" s="23" t="e">
        <f>EXP(-LN(2)/2)*AW156+(1-EXP(-LN(2)/2))/(LN(2)/2)*AQ157*AT157*VLOOKUP('Données projet'!$B$10,Paramètres!$A$1:$I$88,3,0)*0.475*44/12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projet'!$B$11,Paramètres!$A$1:$I$88,3,0)*VLOOKUP('Données projet'!$B$11,Paramètres!$A$1:$I$88,5,0)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projet'!$B$11,Paramètres!$A$1:$I$88,7,0))</f>
        <v>0</v>
      </c>
      <c r="BN157" s="17">
        <f>IF(ISNA(VLOOKUP(A157,'Données projet'!$A$87:$I$107,6,0)),0%,VLOOKUP(A157,'Données projet'!$A$87:$I$107,6,0)*VLOOKUP('Données projet'!$B$11,Paramètres!$A$1:$I$88,7,0))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projet'!$B$11,Paramètres!$A$1:$I$88,3,0)*0.475*44/12</f>
        <v>#N/A</v>
      </c>
      <c r="BQ157" s="23" t="e">
        <f>EXP(-LN(2)/25)*BQ156+(1-EXP(-LN(2)/25))/(LN(2)/25)*Calculateur!BL157*Calculateur!BN157*VLOOKUP('Données projet'!$B$11,Paramètres!$A$1:$I$88,3,0)*0.475*44/12</f>
        <v>#N/A</v>
      </c>
      <c r="BR157" s="23" t="e">
        <f>EXP(-LN(2)/2)*BR156+(1-EXP(-LN(2)/2))/(LN(2)/2)*BL157*BO157*VLOOKUP('Données projet'!$B$11,Paramètres!$A$1:$I$88,3,0)*0.475*44/12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projet'!$B$12,Paramètres!$A$1:$I$88,3,0)*VLOOKUP('Données projet'!$B$12,Paramètres!$A$1:$I$88,5,0)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projet'!$B$12,Paramètres!$A$1:$I$88,7,0))</f>
        <v>0</v>
      </c>
      <c r="CI157" s="17">
        <f>IF(ISNA(VLOOKUP(A157,'Données projet'!$A$113:$I$133,6,0)),0%,VLOOKUP(A157,'Données projet'!$A$113:$I$133,6,0)*VLOOKUP('Données projet'!$B$12,Paramètres!$A$1:$I$88,7,0))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projet'!$B$12,Paramètres!$A$1:$I$88,3,0)*0.475*44/12</f>
        <v>#N/A</v>
      </c>
      <c r="CL157" s="23" t="e">
        <f>EXP(-LN(2)/25)*CL156+(1-EXP(-LN(2)/25))/(LN(2)/25)*Calculateur!CG157*Calculateur!CI157*VLOOKUP('Données projet'!$B$12,Paramètres!$A$1:$I$88,3,0)*0.475*44/12</f>
        <v>#N/A</v>
      </c>
      <c r="CM157" s="23" t="e">
        <f>EXP(-LN(2)/2)*CM156+(1-EXP(-LN(2)/2))/(LN(2)/2)*CG157*CJ157*VLOOKUP('Données projet'!$B$12,Paramètres!$A$1:$I$88,3,0)*0.475*44/12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projet'!$B$13,Paramètres!$A$1:$I$88,3,0)*VLOOKUP('Données projet'!$B$13,Paramètres!$A$1:$I$88,5,0)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projet'!$B$13,Paramètres!$A$1:$I$88,7,0))</f>
        <v>0</v>
      </c>
      <c r="DD157" s="17">
        <f>IF(ISNA(VLOOKUP(A157,'Données projet'!$A$139:$I$159,6,0)),0%,VLOOKUP(A157,'Données projet'!$A$139:$I$159,6,0)*VLOOKUP('Données projet'!$B$13,Paramètres!$A$1:$I$88,7,0))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projet'!$B$13,Paramètres!$A$1:$I$88,3,0)*0.475*44/12</f>
        <v>#N/A</v>
      </c>
      <c r="DG157" s="23" t="e">
        <f>EXP(-LN(2)/25)*DG156+(1-EXP(-LN(2)/25))/(LN(2)/25)*Calculateur!DB157*Calculateur!DD157*VLOOKUP('Données projet'!$B$13,Paramètres!$A$1:$I$88,3,0)*0.475*44/12</f>
        <v>#N/A</v>
      </c>
      <c r="DH157" s="23" t="e">
        <f>EXP(-LN(2)/2)*DH156+(1-EXP(-LN(2)/2))/(LN(2)/2)*DB157*DE157*VLOOKUP('Données projet'!$B$13,Paramètres!$A$1:$I$88,3,0)*0.475*44/12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projet'!$B$14,Paramètres!$A$1:$I$88,3,0)*VLOOKUP('Données projet'!$B$14,Paramètres!$A$1:$I$88,5,0)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projet'!$B$14,Paramètres!$A$1:$I$88,7,0))</f>
        <v>0</v>
      </c>
      <c r="DY157" s="17">
        <f>IF(ISNA(VLOOKUP(A157,'Données projet'!$A$165:$I$185,6,0)),0%,VLOOKUP(A157,'Données projet'!$A$165:$I$185,6,0)*VLOOKUP('Données projet'!$B$14,Paramètres!$A$1:$I$88,7,0))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projet'!$B$14,Paramètres!$A$1:$I$88,3,0)*0.475*44/12</f>
        <v>#N/A</v>
      </c>
      <c r="EB157" s="23" t="e">
        <f>EXP(-LN(2)/25)*EB156+(1-EXP(-LN(2)/25))/(LN(2)/25)*Calculateur!DW157*Calculateur!DY157*VLOOKUP('Données projet'!$B$14,Paramètres!$A$1:$I$88,3,0)*0.475*44/12</f>
        <v>#N/A</v>
      </c>
      <c r="EC157" s="23" t="e">
        <f>EXP(-LN(2)/2)*EC156+(1-EXP(-LN(2)/2))/(LN(2)/2)*DW157*DZ157*VLOOKUP('Données projet'!$B$14,Paramètres!$A$1:$I$88,3,0)*0.475*44/12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projet'!$B$15,Paramètres!$A$1:$I$88,3,0)*VLOOKUP('Données projet'!$B$15,Paramètres!$A$1:$I$88,5,0)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projet'!$B$15,Paramètres!$A$1:$I$88,7,0))</f>
        <v>0</v>
      </c>
      <c r="ET157" s="17">
        <f>IF(ISNA(VLOOKUP(A157,'Données projet'!$A$191:$I$211,6,0)),0%,VLOOKUP(A157,'Données projet'!$A$191:$I$211,6,0)*VLOOKUP('Données projet'!$B$15,Paramètres!$A$1:$I$88,7,0))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projet'!$B$15,Paramètres!$A$1:$I$88,3,0)*0.475*44/12</f>
        <v>#N/A</v>
      </c>
      <c r="EW157" s="23" t="e">
        <f>EXP(-LN(2)/25)*EW156+(1-EXP(-LN(2)/25))/(LN(2)/25)*Calculateur!ER157*Calculateur!ET157*VLOOKUP('Données projet'!$B$15,Paramètres!$A$1:$I$88,3,0)*0.475*44/12</f>
        <v>#N/A</v>
      </c>
      <c r="EX157" s="23" t="e">
        <f>EXP(-LN(2)/2)*EX156+(1-EXP(-LN(2)/2))/(LN(2)/2)*ER157*EU157*VLOOKUP('Données projet'!$B$15,Paramètres!$A$1:$I$88,3,0)*0.475*44/12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projet'!$B$16,Paramètres!$A$1:$I$88,3,0)*VLOOKUP('Données projet'!$B$16,Paramètres!$A$1:$I$88,5,0)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projet'!$B$16,Paramètres!$A$1:$I$88,7,0))</f>
        <v>0</v>
      </c>
      <c r="FO157" s="17">
        <f>IF(ISNA(VLOOKUP(A157,'Données projet'!$A$217:$I$237,6,0)),0%,VLOOKUP(A157,'Données projet'!$A$217:$I$237,6,0)*VLOOKUP('Données projet'!$B$16,Paramètres!$A$1:$I$88,7,0))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projet'!$B$16,Paramètres!$A$1:$I$88,3,0)*0.475*44/12</f>
        <v>#N/A</v>
      </c>
      <c r="FR157" s="23" t="e">
        <f>EXP(-LN(2)/25)*FR156+(1-EXP(-LN(2)/25))/(LN(2)/25)*Calculateur!FM157*Calculateur!FO157*VLOOKUP('Données projet'!$B$16,Paramètres!$A$1:$I$88,3,0)*0.475*44/12</f>
        <v>#N/A</v>
      </c>
      <c r="FS157" s="23" t="e">
        <f>EXP(-LN(2)/2)*FS156+(1-EXP(-LN(2)/2))/(LN(2)/2)*FM157*FP157*VLOOKUP('Données projet'!$B$16,Paramètres!$A$1:$I$88,3,0)*0.475*44/12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projet'!$B$17,Paramètres!$A$1:$I$88,3,0)*VLOOKUP('Données projet'!$B$17,Paramètres!$A$1:$I$88,5,0)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projet'!$B$17,Paramètres!$A$1:$I$88,7,0))</f>
        <v>0</v>
      </c>
      <c r="GJ157" s="17">
        <f>IF(ISNA(VLOOKUP(A157,'Données projet'!$A$243:$I$263,6,0)),0%,VLOOKUP(A157,'Données projet'!$A$243:$I$263,6,0)*VLOOKUP('Données projet'!$B$17,Paramètres!$A$1:$I$88,7,0))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projet'!$B$17,Paramètres!$A$1:$I$88,3,0)*0.475*44/12</f>
        <v>#N/A</v>
      </c>
      <c r="GM157" s="23" t="e">
        <f>EXP(-LN(2)/25)*GM156+(1-EXP(-LN(2)/25))/(LN(2)/25)*Calculateur!GH157*Calculateur!GJ157*VLOOKUP('Données projet'!$B$17,Paramètres!$A$1:$I$88,3,0)*0.475*44/12</f>
        <v>#N/A</v>
      </c>
      <c r="GN157" s="23" t="e">
        <f>EXP(-LN(2)/2)*GN156+(1-EXP(-LN(2)/2))/(LN(2)/2)*GH157*GK157*VLOOKUP('Données projet'!$B$17,Paramètres!$A$1:$I$88,3,0)*0.475*44/12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projet'!$B$18,Paramètres!$A$1:$I$88,3,0)*VLOOKUP('Données projet'!$B$18,Paramètres!$A$1:$I$88,5,0)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projet'!$B$18,Paramètres!$A$1:$I$88,7,0))</f>
        <v>0</v>
      </c>
      <c r="HE157" s="17">
        <f>IF(ISNA(VLOOKUP(A157,'Données projet'!$A$269:$I$289,6,0)),0%,VLOOKUP(A157,'Données projet'!$A$269:$I$289,6,0)*VLOOKUP('Données projet'!$B$18,Paramètres!$A$1:$I$88,7,0))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projet'!$B$18,Paramètres!$A$1:$I$88,3,0)*0.475*44/12</f>
        <v>#N/A</v>
      </c>
      <c r="HH157" s="23" t="e">
        <f>EXP(-LN(2)/25)*HH156+(1-EXP(-LN(2)/25))/(LN(2)/25)*Calculateur!HC157*Calculateur!HE157*VLOOKUP('Données projet'!$B$18,Paramètres!$A$1:$I$88,3,0)*0.475*44/12</f>
        <v>#N/A</v>
      </c>
      <c r="HI157" s="23" t="e">
        <f>EXP(-LN(2)/2)*HI156+(1-EXP(-LN(2)/2))/(LN(2)/2)*HC157*HF157*VLOOKUP('Données projet'!$B$18,Paramètres!$A$1:$I$88,3,0)*0.475*44/12</f>
        <v>#N/A</v>
      </c>
      <c r="HJ157" s="24" t="e">
        <f t="shared" si="190"/>
        <v>#N/A</v>
      </c>
    </row>
    <row r="158" spans="1:218" x14ac:dyDescent="0.3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4.5474735088646412E-13</v>
      </c>
      <c r="O158" s="14">
        <f>N158*VLOOKUP('Données projet'!$B$9,Paramètres!$A$1:$I$88,3,0)*VLOOKUP('Données projet'!$B$9,Paramètres!$A$1:$I$88,5,0)</f>
        <v>2.5420376914553347E-13</v>
      </c>
      <c r="P158" s="14">
        <f t="shared" si="141"/>
        <v>3.4258699088369875E-12</v>
      </c>
      <c r="Q158" s="22">
        <f t="shared" si="162"/>
        <v>6.4094616558195571E-12</v>
      </c>
      <c r="R158" s="62">
        <f t="shared" si="109"/>
        <v>287.24935502518611</v>
      </c>
      <c r="S158" s="62">
        <f ca="1">AVERAGE(OFFSET($R$3,0,0,'Données projet'!$E$9+1,1))-AVERAGE(OFFSET($H$3,0,0,'Données projet'!$E$9+1,1))</f>
        <v>367.03450586441784</v>
      </c>
      <c r="T158" s="62">
        <f t="shared" si="142"/>
        <v>413.14502442862897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projet'!$B$9,Paramètres!$A$1:$I$88,7,0))</f>
        <v>0</v>
      </c>
      <c r="X158" s="17">
        <f>IF(ISNA(VLOOKUP(A158,'Données projet'!$A$35:$I$55,6,0)),0%,VLOOKUP(A158,'Données projet'!$A$35:$I$55,6,0)*VLOOKUP('Données projet'!$B$9,Paramètres!$A$1:$I$88,7,0))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projet'!$B$9,Paramètres!$A$1:$I$88,3,0)*0.475*44/12</f>
        <v>36.489507436133238</v>
      </c>
      <c r="AA158" s="23">
        <f>EXP(-LN(2)/25)*AA157+(1-EXP(-LN(2)/25))/(LN(2)/25)*Calculateur!V158*Calculateur!X158*VLOOKUP('Données projet'!$B$9,Paramètres!$A$1:$I$88,3,0)*0.475*44/12</f>
        <v>9.4911457844467932</v>
      </c>
      <c r="AB158" s="23">
        <f>EXP(-LN(2)/2)*AB157+(1-EXP(-LN(2)/2))/(LN(2)/2)*V158*Y158*VLOOKUP('Données projet'!$B$9,Paramètres!$A$1:$I$88,3,0)*0.475*44/12</f>
        <v>0</v>
      </c>
      <c r="AC158" s="24">
        <f t="shared" si="163"/>
        <v>45.980653220580031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projet'!$B$10,Paramètres!$A$1:$I$88,3,0)*VLOOKUP('Données projet'!$B$10,Paramètres!$A$1:$I$88,5,0)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projet'!$B$10,Paramètres!$A$1:$I$88,7,0))</f>
        <v>0</v>
      </c>
      <c r="AS158" s="17">
        <f>IF(ISNA(VLOOKUP(A158,'Données projet'!$A$61:$I$81,6,0)),0%,VLOOKUP(A158,'Données projet'!$A$61:$I$81,6,0)*VLOOKUP('Données projet'!$B$10,Paramètres!$A$1:$I$88,7,0))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projet'!$B$10,Paramètres!$A$1:$I$88,3,0)*0.475*44/12</f>
        <v>#N/A</v>
      </c>
      <c r="AV158" s="23" t="e">
        <f>EXP(-LN(2)/25)*AV157+(1-EXP(-LN(2)/25))/(LN(2)/25)*Calculateur!AQ158*Calculateur!AS158*VLOOKUP('Données projet'!$B$10,Paramètres!$A$1:$I$88,3,0)*0.475*44/12</f>
        <v>#N/A</v>
      </c>
      <c r="AW158" s="23" t="e">
        <f>EXP(-LN(2)/2)*AW157+(1-EXP(-LN(2)/2))/(LN(2)/2)*AQ158*AT158*VLOOKUP('Données projet'!$B$10,Paramètres!$A$1:$I$88,3,0)*0.475*44/12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projet'!$B$11,Paramètres!$A$1:$I$88,3,0)*VLOOKUP('Données projet'!$B$11,Paramètres!$A$1:$I$88,5,0)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projet'!$B$11,Paramètres!$A$1:$I$88,7,0))</f>
        <v>0</v>
      </c>
      <c r="BN158" s="17">
        <f>IF(ISNA(VLOOKUP(A158,'Données projet'!$A$87:$I$107,6,0)),0%,VLOOKUP(A158,'Données projet'!$A$87:$I$107,6,0)*VLOOKUP('Données projet'!$B$11,Paramètres!$A$1:$I$88,7,0))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projet'!$B$11,Paramètres!$A$1:$I$88,3,0)*0.475*44/12</f>
        <v>#N/A</v>
      </c>
      <c r="BQ158" s="23" t="e">
        <f>EXP(-LN(2)/25)*BQ157+(1-EXP(-LN(2)/25))/(LN(2)/25)*Calculateur!BL158*Calculateur!BN158*VLOOKUP('Données projet'!$B$11,Paramètres!$A$1:$I$88,3,0)*0.475*44/12</f>
        <v>#N/A</v>
      </c>
      <c r="BR158" s="23" t="e">
        <f>EXP(-LN(2)/2)*BR157+(1-EXP(-LN(2)/2))/(LN(2)/2)*BL158*BO158*VLOOKUP('Données projet'!$B$11,Paramètres!$A$1:$I$88,3,0)*0.475*44/12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projet'!$B$12,Paramètres!$A$1:$I$88,3,0)*VLOOKUP('Données projet'!$B$12,Paramètres!$A$1:$I$88,5,0)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projet'!$B$12,Paramètres!$A$1:$I$88,7,0))</f>
        <v>0</v>
      </c>
      <c r="CI158" s="17">
        <f>IF(ISNA(VLOOKUP(A158,'Données projet'!$A$113:$I$133,6,0)),0%,VLOOKUP(A158,'Données projet'!$A$113:$I$133,6,0)*VLOOKUP('Données projet'!$B$12,Paramètres!$A$1:$I$88,7,0))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projet'!$B$12,Paramètres!$A$1:$I$88,3,0)*0.475*44/12</f>
        <v>#N/A</v>
      </c>
      <c r="CL158" s="23" t="e">
        <f>EXP(-LN(2)/25)*CL157+(1-EXP(-LN(2)/25))/(LN(2)/25)*Calculateur!CG158*Calculateur!CI158*VLOOKUP('Données projet'!$B$12,Paramètres!$A$1:$I$88,3,0)*0.475*44/12</f>
        <v>#N/A</v>
      </c>
      <c r="CM158" s="23" t="e">
        <f>EXP(-LN(2)/2)*CM157+(1-EXP(-LN(2)/2))/(LN(2)/2)*CG158*CJ158*VLOOKUP('Données projet'!$B$12,Paramètres!$A$1:$I$88,3,0)*0.475*44/12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projet'!$B$13,Paramètres!$A$1:$I$88,3,0)*VLOOKUP('Données projet'!$B$13,Paramètres!$A$1:$I$88,5,0)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projet'!$B$13,Paramètres!$A$1:$I$88,7,0))</f>
        <v>0</v>
      </c>
      <c r="DD158" s="17">
        <f>IF(ISNA(VLOOKUP(A158,'Données projet'!$A$139:$I$159,6,0)),0%,VLOOKUP(A158,'Données projet'!$A$139:$I$159,6,0)*VLOOKUP('Données projet'!$B$13,Paramètres!$A$1:$I$88,7,0))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projet'!$B$13,Paramètres!$A$1:$I$88,3,0)*0.475*44/12</f>
        <v>#N/A</v>
      </c>
      <c r="DG158" s="23" t="e">
        <f>EXP(-LN(2)/25)*DG157+(1-EXP(-LN(2)/25))/(LN(2)/25)*Calculateur!DB158*Calculateur!DD158*VLOOKUP('Données projet'!$B$13,Paramètres!$A$1:$I$88,3,0)*0.475*44/12</f>
        <v>#N/A</v>
      </c>
      <c r="DH158" s="23" t="e">
        <f>EXP(-LN(2)/2)*DH157+(1-EXP(-LN(2)/2))/(LN(2)/2)*DB158*DE158*VLOOKUP('Données projet'!$B$13,Paramètres!$A$1:$I$88,3,0)*0.475*44/12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projet'!$B$14,Paramètres!$A$1:$I$88,3,0)*VLOOKUP('Données projet'!$B$14,Paramètres!$A$1:$I$88,5,0)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projet'!$B$14,Paramètres!$A$1:$I$88,7,0))</f>
        <v>0</v>
      </c>
      <c r="DY158" s="17">
        <f>IF(ISNA(VLOOKUP(A158,'Données projet'!$A$165:$I$185,6,0)),0%,VLOOKUP(A158,'Données projet'!$A$165:$I$185,6,0)*VLOOKUP('Données projet'!$B$14,Paramètres!$A$1:$I$88,7,0))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projet'!$B$14,Paramètres!$A$1:$I$88,3,0)*0.475*44/12</f>
        <v>#N/A</v>
      </c>
      <c r="EB158" s="23" t="e">
        <f>EXP(-LN(2)/25)*EB157+(1-EXP(-LN(2)/25))/(LN(2)/25)*Calculateur!DW158*Calculateur!DY158*VLOOKUP('Données projet'!$B$14,Paramètres!$A$1:$I$88,3,0)*0.475*44/12</f>
        <v>#N/A</v>
      </c>
      <c r="EC158" s="23" t="e">
        <f>EXP(-LN(2)/2)*EC157+(1-EXP(-LN(2)/2))/(LN(2)/2)*DW158*DZ158*VLOOKUP('Données projet'!$B$14,Paramètres!$A$1:$I$88,3,0)*0.475*44/12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projet'!$B$15,Paramètres!$A$1:$I$88,3,0)*VLOOKUP('Données projet'!$B$15,Paramètres!$A$1:$I$88,5,0)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projet'!$B$15,Paramètres!$A$1:$I$88,7,0))</f>
        <v>0</v>
      </c>
      <c r="ET158" s="17">
        <f>IF(ISNA(VLOOKUP(A158,'Données projet'!$A$191:$I$211,6,0)),0%,VLOOKUP(A158,'Données projet'!$A$191:$I$211,6,0)*VLOOKUP('Données projet'!$B$15,Paramètres!$A$1:$I$88,7,0))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projet'!$B$15,Paramètres!$A$1:$I$88,3,0)*0.475*44/12</f>
        <v>#N/A</v>
      </c>
      <c r="EW158" s="23" t="e">
        <f>EXP(-LN(2)/25)*EW157+(1-EXP(-LN(2)/25))/(LN(2)/25)*Calculateur!ER158*Calculateur!ET158*VLOOKUP('Données projet'!$B$15,Paramètres!$A$1:$I$88,3,0)*0.475*44/12</f>
        <v>#N/A</v>
      </c>
      <c r="EX158" s="23" t="e">
        <f>EXP(-LN(2)/2)*EX157+(1-EXP(-LN(2)/2))/(LN(2)/2)*ER158*EU158*VLOOKUP('Données projet'!$B$15,Paramètres!$A$1:$I$88,3,0)*0.475*44/12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projet'!$B$16,Paramètres!$A$1:$I$88,3,0)*VLOOKUP('Données projet'!$B$16,Paramètres!$A$1:$I$88,5,0)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projet'!$B$16,Paramètres!$A$1:$I$88,7,0))</f>
        <v>0</v>
      </c>
      <c r="FO158" s="17">
        <f>IF(ISNA(VLOOKUP(A158,'Données projet'!$A$217:$I$237,6,0)),0%,VLOOKUP(A158,'Données projet'!$A$217:$I$237,6,0)*VLOOKUP('Données projet'!$B$16,Paramètres!$A$1:$I$88,7,0))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projet'!$B$16,Paramètres!$A$1:$I$88,3,0)*0.475*44/12</f>
        <v>#N/A</v>
      </c>
      <c r="FR158" s="23" t="e">
        <f>EXP(-LN(2)/25)*FR157+(1-EXP(-LN(2)/25))/(LN(2)/25)*Calculateur!FM158*Calculateur!FO158*VLOOKUP('Données projet'!$B$16,Paramètres!$A$1:$I$88,3,0)*0.475*44/12</f>
        <v>#N/A</v>
      </c>
      <c r="FS158" s="23" t="e">
        <f>EXP(-LN(2)/2)*FS157+(1-EXP(-LN(2)/2))/(LN(2)/2)*FM158*FP158*VLOOKUP('Données projet'!$B$16,Paramètres!$A$1:$I$88,3,0)*0.475*44/12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projet'!$B$17,Paramètres!$A$1:$I$88,3,0)*VLOOKUP('Données projet'!$B$17,Paramètres!$A$1:$I$88,5,0)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projet'!$B$17,Paramètres!$A$1:$I$88,7,0))</f>
        <v>0</v>
      </c>
      <c r="GJ158" s="17">
        <f>IF(ISNA(VLOOKUP(A158,'Données projet'!$A$243:$I$263,6,0)),0%,VLOOKUP(A158,'Données projet'!$A$243:$I$263,6,0)*VLOOKUP('Données projet'!$B$17,Paramètres!$A$1:$I$88,7,0))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projet'!$B$17,Paramètres!$A$1:$I$88,3,0)*0.475*44/12</f>
        <v>#N/A</v>
      </c>
      <c r="GM158" s="23" t="e">
        <f>EXP(-LN(2)/25)*GM157+(1-EXP(-LN(2)/25))/(LN(2)/25)*Calculateur!GH158*Calculateur!GJ158*VLOOKUP('Données projet'!$B$17,Paramètres!$A$1:$I$88,3,0)*0.475*44/12</f>
        <v>#N/A</v>
      </c>
      <c r="GN158" s="23" t="e">
        <f>EXP(-LN(2)/2)*GN157+(1-EXP(-LN(2)/2))/(LN(2)/2)*GH158*GK158*VLOOKUP('Données projet'!$B$17,Paramètres!$A$1:$I$88,3,0)*0.475*44/12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projet'!$B$18,Paramètres!$A$1:$I$88,3,0)*VLOOKUP('Données projet'!$B$18,Paramètres!$A$1:$I$88,5,0)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projet'!$B$18,Paramètres!$A$1:$I$88,7,0))</f>
        <v>0</v>
      </c>
      <c r="HE158" s="17">
        <f>IF(ISNA(VLOOKUP(A158,'Données projet'!$A$269:$I$289,6,0)),0%,VLOOKUP(A158,'Données projet'!$A$269:$I$289,6,0)*VLOOKUP('Données projet'!$B$18,Paramètres!$A$1:$I$88,7,0))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projet'!$B$18,Paramètres!$A$1:$I$88,3,0)*0.475*44/12</f>
        <v>#N/A</v>
      </c>
      <c r="HH158" s="23" t="e">
        <f>EXP(-LN(2)/25)*HH157+(1-EXP(-LN(2)/25))/(LN(2)/25)*Calculateur!HC158*Calculateur!HE158*VLOOKUP('Données projet'!$B$18,Paramètres!$A$1:$I$88,3,0)*0.475*44/12</f>
        <v>#N/A</v>
      </c>
      <c r="HI158" s="23" t="e">
        <f>EXP(-LN(2)/2)*HI157+(1-EXP(-LN(2)/2))/(LN(2)/2)*HC158*HF158*VLOOKUP('Données projet'!$B$18,Paramètres!$A$1:$I$88,3,0)*0.475*44/12</f>
        <v>#N/A</v>
      </c>
      <c r="HJ158" s="24" t="e">
        <f t="shared" si="190"/>
        <v>#N/A</v>
      </c>
    </row>
    <row r="159" spans="1:218" x14ac:dyDescent="0.3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4.5474735088646412E-13</v>
      </c>
      <c r="O159" s="14">
        <f>N159*VLOOKUP('Données projet'!$B$9,Paramètres!$A$1:$I$88,3,0)*VLOOKUP('Données projet'!$B$9,Paramètres!$A$1:$I$88,5,0)</f>
        <v>2.5420376914553347E-13</v>
      </c>
      <c r="P159" s="14">
        <f t="shared" si="141"/>
        <v>3.4258699088369875E-12</v>
      </c>
      <c r="Q159" s="22">
        <f t="shared" si="162"/>
        <v>6.4094616558195571E-12</v>
      </c>
      <c r="R159" s="62">
        <f t="shared" si="109"/>
        <v>287.35489844709474</v>
      </c>
      <c r="S159" s="62">
        <f ca="1">AVERAGE(OFFSET($R$3,0,0,'Données projet'!$E$9+1,1))-AVERAGE(OFFSET($H$3,0,0,'Données projet'!$E$9+1,1))</f>
        <v>367.03450586441784</v>
      </c>
      <c r="T159" s="62">
        <f t="shared" si="142"/>
        <v>413.14502442862897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projet'!$B$9,Paramètres!$A$1:$I$88,7,0))</f>
        <v>0</v>
      </c>
      <c r="X159" s="17">
        <f>IF(ISNA(VLOOKUP(A159,'Données projet'!$A$35:$I$55,6,0)),0%,VLOOKUP(A159,'Données projet'!$A$35:$I$55,6,0)*VLOOKUP('Données projet'!$B$9,Paramètres!$A$1:$I$88,7,0))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projet'!$B$9,Paramètres!$A$1:$I$88,3,0)*0.475*44/12</f>
        <v>35.773970451712565</v>
      </c>
      <c r="AA159" s="23">
        <f>EXP(-LN(2)/25)*AA158+(1-EXP(-LN(2)/25))/(LN(2)/25)*Calculateur!V159*Calculateur!X159*VLOOKUP('Données projet'!$B$9,Paramètres!$A$1:$I$88,3,0)*0.475*44/12</f>
        <v>9.2316099038534318</v>
      </c>
      <c r="AB159" s="23">
        <f>EXP(-LN(2)/2)*AB158+(1-EXP(-LN(2)/2))/(LN(2)/2)*V159*Y159*VLOOKUP('Données projet'!$B$9,Paramètres!$A$1:$I$88,3,0)*0.475*44/12</f>
        <v>0</v>
      </c>
      <c r="AC159" s="24">
        <f t="shared" si="163"/>
        <v>45.005580355565996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projet'!$B$10,Paramètres!$A$1:$I$88,3,0)*VLOOKUP('Données projet'!$B$10,Paramètres!$A$1:$I$88,5,0)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projet'!$B$10,Paramètres!$A$1:$I$88,7,0))</f>
        <v>0</v>
      </c>
      <c r="AS159" s="17">
        <f>IF(ISNA(VLOOKUP(A159,'Données projet'!$A$61:$I$81,6,0)),0%,VLOOKUP(A159,'Données projet'!$A$61:$I$81,6,0)*VLOOKUP('Données projet'!$B$10,Paramètres!$A$1:$I$88,7,0))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projet'!$B$10,Paramètres!$A$1:$I$88,3,0)*0.475*44/12</f>
        <v>#N/A</v>
      </c>
      <c r="AV159" s="23" t="e">
        <f>EXP(-LN(2)/25)*AV158+(1-EXP(-LN(2)/25))/(LN(2)/25)*Calculateur!AQ159*Calculateur!AS159*VLOOKUP('Données projet'!$B$10,Paramètres!$A$1:$I$88,3,0)*0.475*44/12</f>
        <v>#N/A</v>
      </c>
      <c r="AW159" s="23" t="e">
        <f>EXP(-LN(2)/2)*AW158+(1-EXP(-LN(2)/2))/(LN(2)/2)*AQ159*AT159*VLOOKUP('Données projet'!$B$10,Paramètres!$A$1:$I$88,3,0)*0.475*44/12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projet'!$B$11,Paramètres!$A$1:$I$88,3,0)*VLOOKUP('Données projet'!$B$11,Paramètres!$A$1:$I$88,5,0)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projet'!$B$11,Paramètres!$A$1:$I$88,7,0))</f>
        <v>0</v>
      </c>
      <c r="BN159" s="17">
        <f>IF(ISNA(VLOOKUP(A159,'Données projet'!$A$87:$I$107,6,0)),0%,VLOOKUP(A159,'Données projet'!$A$87:$I$107,6,0)*VLOOKUP('Données projet'!$B$11,Paramètres!$A$1:$I$88,7,0))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projet'!$B$11,Paramètres!$A$1:$I$88,3,0)*0.475*44/12</f>
        <v>#N/A</v>
      </c>
      <c r="BQ159" s="23" t="e">
        <f>EXP(-LN(2)/25)*BQ158+(1-EXP(-LN(2)/25))/(LN(2)/25)*Calculateur!BL159*Calculateur!BN159*VLOOKUP('Données projet'!$B$11,Paramètres!$A$1:$I$88,3,0)*0.475*44/12</f>
        <v>#N/A</v>
      </c>
      <c r="BR159" s="23" t="e">
        <f>EXP(-LN(2)/2)*BR158+(1-EXP(-LN(2)/2))/(LN(2)/2)*BL159*BO159*VLOOKUP('Données projet'!$B$11,Paramètres!$A$1:$I$88,3,0)*0.475*44/12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projet'!$B$12,Paramètres!$A$1:$I$88,3,0)*VLOOKUP('Données projet'!$B$12,Paramètres!$A$1:$I$88,5,0)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projet'!$B$12,Paramètres!$A$1:$I$88,7,0))</f>
        <v>0</v>
      </c>
      <c r="CI159" s="17">
        <f>IF(ISNA(VLOOKUP(A159,'Données projet'!$A$113:$I$133,6,0)),0%,VLOOKUP(A159,'Données projet'!$A$113:$I$133,6,0)*VLOOKUP('Données projet'!$B$12,Paramètres!$A$1:$I$88,7,0))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projet'!$B$12,Paramètres!$A$1:$I$88,3,0)*0.475*44/12</f>
        <v>#N/A</v>
      </c>
      <c r="CL159" s="23" t="e">
        <f>EXP(-LN(2)/25)*CL158+(1-EXP(-LN(2)/25))/(LN(2)/25)*Calculateur!CG159*Calculateur!CI159*VLOOKUP('Données projet'!$B$12,Paramètres!$A$1:$I$88,3,0)*0.475*44/12</f>
        <v>#N/A</v>
      </c>
      <c r="CM159" s="23" t="e">
        <f>EXP(-LN(2)/2)*CM158+(1-EXP(-LN(2)/2))/(LN(2)/2)*CG159*CJ159*VLOOKUP('Données projet'!$B$12,Paramètres!$A$1:$I$88,3,0)*0.475*44/12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projet'!$B$13,Paramètres!$A$1:$I$88,3,0)*VLOOKUP('Données projet'!$B$13,Paramètres!$A$1:$I$88,5,0)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projet'!$B$13,Paramètres!$A$1:$I$88,7,0))</f>
        <v>0</v>
      </c>
      <c r="DD159" s="17">
        <f>IF(ISNA(VLOOKUP(A159,'Données projet'!$A$139:$I$159,6,0)),0%,VLOOKUP(A159,'Données projet'!$A$139:$I$159,6,0)*VLOOKUP('Données projet'!$B$13,Paramètres!$A$1:$I$88,7,0))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projet'!$B$13,Paramètres!$A$1:$I$88,3,0)*0.475*44/12</f>
        <v>#N/A</v>
      </c>
      <c r="DG159" s="23" t="e">
        <f>EXP(-LN(2)/25)*DG158+(1-EXP(-LN(2)/25))/(LN(2)/25)*Calculateur!DB159*Calculateur!DD159*VLOOKUP('Données projet'!$B$13,Paramètres!$A$1:$I$88,3,0)*0.475*44/12</f>
        <v>#N/A</v>
      </c>
      <c r="DH159" s="23" t="e">
        <f>EXP(-LN(2)/2)*DH158+(1-EXP(-LN(2)/2))/(LN(2)/2)*DB159*DE159*VLOOKUP('Données projet'!$B$13,Paramètres!$A$1:$I$88,3,0)*0.475*44/12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projet'!$B$14,Paramètres!$A$1:$I$88,3,0)*VLOOKUP('Données projet'!$B$14,Paramètres!$A$1:$I$88,5,0)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projet'!$B$14,Paramètres!$A$1:$I$88,7,0))</f>
        <v>0</v>
      </c>
      <c r="DY159" s="17">
        <f>IF(ISNA(VLOOKUP(A159,'Données projet'!$A$165:$I$185,6,0)),0%,VLOOKUP(A159,'Données projet'!$A$165:$I$185,6,0)*VLOOKUP('Données projet'!$B$14,Paramètres!$A$1:$I$88,7,0))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projet'!$B$14,Paramètres!$A$1:$I$88,3,0)*0.475*44/12</f>
        <v>#N/A</v>
      </c>
      <c r="EB159" s="23" t="e">
        <f>EXP(-LN(2)/25)*EB158+(1-EXP(-LN(2)/25))/(LN(2)/25)*Calculateur!DW159*Calculateur!DY159*VLOOKUP('Données projet'!$B$14,Paramètres!$A$1:$I$88,3,0)*0.475*44/12</f>
        <v>#N/A</v>
      </c>
      <c r="EC159" s="23" t="e">
        <f>EXP(-LN(2)/2)*EC158+(1-EXP(-LN(2)/2))/(LN(2)/2)*DW159*DZ159*VLOOKUP('Données projet'!$B$14,Paramètres!$A$1:$I$88,3,0)*0.475*44/12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projet'!$B$15,Paramètres!$A$1:$I$88,3,0)*VLOOKUP('Données projet'!$B$15,Paramètres!$A$1:$I$88,5,0)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projet'!$B$15,Paramètres!$A$1:$I$88,7,0))</f>
        <v>0</v>
      </c>
      <c r="ET159" s="17">
        <f>IF(ISNA(VLOOKUP(A159,'Données projet'!$A$191:$I$211,6,0)),0%,VLOOKUP(A159,'Données projet'!$A$191:$I$211,6,0)*VLOOKUP('Données projet'!$B$15,Paramètres!$A$1:$I$88,7,0))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projet'!$B$15,Paramètres!$A$1:$I$88,3,0)*0.475*44/12</f>
        <v>#N/A</v>
      </c>
      <c r="EW159" s="23" t="e">
        <f>EXP(-LN(2)/25)*EW158+(1-EXP(-LN(2)/25))/(LN(2)/25)*Calculateur!ER159*Calculateur!ET159*VLOOKUP('Données projet'!$B$15,Paramètres!$A$1:$I$88,3,0)*0.475*44/12</f>
        <v>#N/A</v>
      </c>
      <c r="EX159" s="23" t="e">
        <f>EXP(-LN(2)/2)*EX158+(1-EXP(-LN(2)/2))/(LN(2)/2)*ER159*EU159*VLOOKUP('Données projet'!$B$15,Paramètres!$A$1:$I$88,3,0)*0.475*44/12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projet'!$B$16,Paramètres!$A$1:$I$88,3,0)*VLOOKUP('Données projet'!$B$16,Paramètres!$A$1:$I$88,5,0)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projet'!$B$16,Paramètres!$A$1:$I$88,7,0))</f>
        <v>0</v>
      </c>
      <c r="FO159" s="17">
        <f>IF(ISNA(VLOOKUP(A159,'Données projet'!$A$217:$I$237,6,0)),0%,VLOOKUP(A159,'Données projet'!$A$217:$I$237,6,0)*VLOOKUP('Données projet'!$B$16,Paramètres!$A$1:$I$88,7,0))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projet'!$B$16,Paramètres!$A$1:$I$88,3,0)*0.475*44/12</f>
        <v>#N/A</v>
      </c>
      <c r="FR159" s="23" t="e">
        <f>EXP(-LN(2)/25)*FR158+(1-EXP(-LN(2)/25))/(LN(2)/25)*Calculateur!FM159*Calculateur!FO159*VLOOKUP('Données projet'!$B$16,Paramètres!$A$1:$I$88,3,0)*0.475*44/12</f>
        <v>#N/A</v>
      </c>
      <c r="FS159" s="23" t="e">
        <f>EXP(-LN(2)/2)*FS158+(1-EXP(-LN(2)/2))/(LN(2)/2)*FM159*FP159*VLOOKUP('Données projet'!$B$16,Paramètres!$A$1:$I$88,3,0)*0.475*44/12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projet'!$B$17,Paramètres!$A$1:$I$88,3,0)*VLOOKUP('Données projet'!$B$17,Paramètres!$A$1:$I$88,5,0)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projet'!$B$17,Paramètres!$A$1:$I$88,7,0))</f>
        <v>0</v>
      </c>
      <c r="GJ159" s="17">
        <f>IF(ISNA(VLOOKUP(A159,'Données projet'!$A$243:$I$263,6,0)),0%,VLOOKUP(A159,'Données projet'!$A$243:$I$263,6,0)*VLOOKUP('Données projet'!$B$17,Paramètres!$A$1:$I$88,7,0))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projet'!$B$17,Paramètres!$A$1:$I$88,3,0)*0.475*44/12</f>
        <v>#N/A</v>
      </c>
      <c r="GM159" s="23" t="e">
        <f>EXP(-LN(2)/25)*GM158+(1-EXP(-LN(2)/25))/(LN(2)/25)*Calculateur!GH159*Calculateur!GJ159*VLOOKUP('Données projet'!$B$17,Paramètres!$A$1:$I$88,3,0)*0.475*44/12</f>
        <v>#N/A</v>
      </c>
      <c r="GN159" s="23" t="e">
        <f>EXP(-LN(2)/2)*GN158+(1-EXP(-LN(2)/2))/(LN(2)/2)*GH159*GK159*VLOOKUP('Données projet'!$B$17,Paramètres!$A$1:$I$88,3,0)*0.475*44/12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projet'!$B$18,Paramètres!$A$1:$I$88,3,0)*VLOOKUP('Données projet'!$B$18,Paramètres!$A$1:$I$88,5,0)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projet'!$B$18,Paramètres!$A$1:$I$88,7,0))</f>
        <v>0</v>
      </c>
      <c r="HE159" s="17">
        <f>IF(ISNA(VLOOKUP(A159,'Données projet'!$A$269:$I$289,6,0)),0%,VLOOKUP(A159,'Données projet'!$A$269:$I$289,6,0)*VLOOKUP('Données projet'!$B$18,Paramètres!$A$1:$I$88,7,0))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projet'!$B$18,Paramètres!$A$1:$I$88,3,0)*0.475*44/12</f>
        <v>#N/A</v>
      </c>
      <c r="HH159" s="23" t="e">
        <f>EXP(-LN(2)/25)*HH158+(1-EXP(-LN(2)/25))/(LN(2)/25)*Calculateur!HC159*Calculateur!HE159*VLOOKUP('Données projet'!$B$18,Paramètres!$A$1:$I$88,3,0)*0.475*44/12</f>
        <v>#N/A</v>
      </c>
      <c r="HI159" s="23" t="e">
        <f>EXP(-LN(2)/2)*HI158+(1-EXP(-LN(2)/2))/(LN(2)/2)*HC159*HF159*VLOOKUP('Données projet'!$B$18,Paramètres!$A$1:$I$88,3,0)*0.475*44/12</f>
        <v>#N/A</v>
      </c>
      <c r="HJ159" s="24" t="e">
        <f t="shared" si="190"/>
        <v>#N/A</v>
      </c>
    </row>
    <row r="160" spans="1:218" x14ac:dyDescent="0.3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4.5474735088646412E-13</v>
      </c>
      <c r="O160" s="14">
        <f>N160*VLOOKUP('Données projet'!$B$9,Paramètres!$A$1:$I$88,3,0)*VLOOKUP('Données projet'!$B$9,Paramètres!$A$1:$I$88,5,0)</f>
        <v>2.5420376914553347E-13</v>
      </c>
      <c r="P160" s="14">
        <f t="shared" si="141"/>
        <v>3.4258699088369875E-12</v>
      </c>
      <c r="Q160" s="22">
        <f t="shared" si="162"/>
        <v>6.4094616558195571E-12</v>
      </c>
      <c r="R160" s="62">
        <f t="shared" si="109"/>
        <v>287.458610926593</v>
      </c>
      <c r="S160" s="62">
        <f ca="1">AVERAGE(OFFSET($R$3,0,0,'Données projet'!$E$9+1,1))-AVERAGE(OFFSET($H$3,0,0,'Données projet'!$E$9+1,1))</f>
        <v>367.03450586441784</v>
      </c>
      <c r="T160" s="62">
        <f t="shared" si="142"/>
        <v>413.14502442862897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projet'!$B$9,Paramètres!$A$1:$I$88,7,0))</f>
        <v>0</v>
      </c>
      <c r="X160" s="17">
        <f>IF(ISNA(VLOOKUP(A160,'Données projet'!$A$35:$I$55,6,0)),0%,VLOOKUP(A160,'Données projet'!$A$35:$I$55,6,0)*VLOOKUP('Données projet'!$B$9,Paramètres!$A$1:$I$88,7,0))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projet'!$B$9,Paramètres!$A$1:$I$88,3,0)*0.475*44/12</f>
        <v>35.072464711121917</v>
      </c>
      <c r="AA160" s="23">
        <f>EXP(-LN(2)/25)*AA159+(1-EXP(-LN(2)/25))/(LN(2)/25)*Calculateur!V160*Calculateur!X160*VLOOKUP('Données projet'!$B$9,Paramètres!$A$1:$I$88,3,0)*0.475*44/12</f>
        <v>8.9791710455632945</v>
      </c>
      <c r="AB160" s="23">
        <f>EXP(-LN(2)/2)*AB159+(1-EXP(-LN(2)/2))/(LN(2)/2)*V160*Y160*VLOOKUP('Données projet'!$B$9,Paramètres!$A$1:$I$88,3,0)*0.475*44/12</f>
        <v>0</v>
      </c>
      <c r="AC160" s="24">
        <f t="shared" si="163"/>
        <v>44.051635756685215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projet'!$B$10,Paramètres!$A$1:$I$88,3,0)*VLOOKUP('Données projet'!$B$10,Paramètres!$A$1:$I$88,5,0)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projet'!$B$10,Paramètres!$A$1:$I$88,7,0))</f>
        <v>0</v>
      </c>
      <c r="AS160" s="17">
        <f>IF(ISNA(VLOOKUP(A160,'Données projet'!$A$61:$I$81,6,0)),0%,VLOOKUP(A160,'Données projet'!$A$61:$I$81,6,0)*VLOOKUP('Données projet'!$B$10,Paramètres!$A$1:$I$88,7,0))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projet'!$B$10,Paramètres!$A$1:$I$88,3,0)*0.475*44/12</f>
        <v>#N/A</v>
      </c>
      <c r="AV160" s="23" t="e">
        <f>EXP(-LN(2)/25)*AV159+(1-EXP(-LN(2)/25))/(LN(2)/25)*Calculateur!AQ160*Calculateur!AS160*VLOOKUP('Données projet'!$B$10,Paramètres!$A$1:$I$88,3,0)*0.475*44/12</f>
        <v>#N/A</v>
      </c>
      <c r="AW160" s="23" t="e">
        <f>EXP(-LN(2)/2)*AW159+(1-EXP(-LN(2)/2))/(LN(2)/2)*AQ160*AT160*VLOOKUP('Données projet'!$B$10,Paramètres!$A$1:$I$88,3,0)*0.475*44/12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projet'!$B$11,Paramètres!$A$1:$I$88,3,0)*VLOOKUP('Données projet'!$B$11,Paramètres!$A$1:$I$88,5,0)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projet'!$B$11,Paramètres!$A$1:$I$88,7,0))</f>
        <v>0</v>
      </c>
      <c r="BN160" s="17">
        <f>IF(ISNA(VLOOKUP(A160,'Données projet'!$A$87:$I$107,6,0)),0%,VLOOKUP(A160,'Données projet'!$A$87:$I$107,6,0)*VLOOKUP('Données projet'!$B$11,Paramètres!$A$1:$I$88,7,0))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projet'!$B$11,Paramètres!$A$1:$I$88,3,0)*0.475*44/12</f>
        <v>#N/A</v>
      </c>
      <c r="BQ160" s="23" t="e">
        <f>EXP(-LN(2)/25)*BQ159+(1-EXP(-LN(2)/25))/(LN(2)/25)*Calculateur!BL160*Calculateur!BN160*VLOOKUP('Données projet'!$B$11,Paramètres!$A$1:$I$88,3,0)*0.475*44/12</f>
        <v>#N/A</v>
      </c>
      <c r="BR160" s="23" t="e">
        <f>EXP(-LN(2)/2)*BR159+(1-EXP(-LN(2)/2))/(LN(2)/2)*BL160*BO160*VLOOKUP('Données projet'!$B$11,Paramètres!$A$1:$I$88,3,0)*0.475*44/12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projet'!$B$12,Paramètres!$A$1:$I$88,3,0)*VLOOKUP('Données projet'!$B$12,Paramètres!$A$1:$I$88,5,0)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projet'!$B$12,Paramètres!$A$1:$I$88,7,0))</f>
        <v>0</v>
      </c>
      <c r="CI160" s="17">
        <f>IF(ISNA(VLOOKUP(A160,'Données projet'!$A$113:$I$133,6,0)),0%,VLOOKUP(A160,'Données projet'!$A$113:$I$133,6,0)*VLOOKUP('Données projet'!$B$12,Paramètres!$A$1:$I$88,7,0))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projet'!$B$12,Paramètres!$A$1:$I$88,3,0)*0.475*44/12</f>
        <v>#N/A</v>
      </c>
      <c r="CL160" s="23" t="e">
        <f>EXP(-LN(2)/25)*CL159+(1-EXP(-LN(2)/25))/(LN(2)/25)*Calculateur!CG160*Calculateur!CI160*VLOOKUP('Données projet'!$B$12,Paramètres!$A$1:$I$88,3,0)*0.475*44/12</f>
        <v>#N/A</v>
      </c>
      <c r="CM160" s="23" t="e">
        <f>EXP(-LN(2)/2)*CM159+(1-EXP(-LN(2)/2))/(LN(2)/2)*CG160*CJ160*VLOOKUP('Données projet'!$B$12,Paramètres!$A$1:$I$88,3,0)*0.475*44/12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projet'!$B$13,Paramètres!$A$1:$I$88,3,0)*VLOOKUP('Données projet'!$B$13,Paramètres!$A$1:$I$88,5,0)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projet'!$B$13,Paramètres!$A$1:$I$88,7,0))</f>
        <v>0</v>
      </c>
      <c r="DD160" s="17">
        <f>IF(ISNA(VLOOKUP(A160,'Données projet'!$A$139:$I$159,6,0)),0%,VLOOKUP(A160,'Données projet'!$A$139:$I$159,6,0)*VLOOKUP('Données projet'!$B$13,Paramètres!$A$1:$I$88,7,0))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projet'!$B$13,Paramètres!$A$1:$I$88,3,0)*0.475*44/12</f>
        <v>#N/A</v>
      </c>
      <c r="DG160" s="23" t="e">
        <f>EXP(-LN(2)/25)*DG159+(1-EXP(-LN(2)/25))/(LN(2)/25)*Calculateur!DB160*Calculateur!DD160*VLOOKUP('Données projet'!$B$13,Paramètres!$A$1:$I$88,3,0)*0.475*44/12</f>
        <v>#N/A</v>
      </c>
      <c r="DH160" s="23" t="e">
        <f>EXP(-LN(2)/2)*DH159+(1-EXP(-LN(2)/2))/(LN(2)/2)*DB160*DE160*VLOOKUP('Données projet'!$B$13,Paramètres!$A$1:$I$88,3,0)*0.475*44/12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projet'!$B$14,Paramètres!$A$1:$I$88,3,0)*VLOOKUP('Données projet'!$B$14,Paramètres!$A$1:$I$88,5,0)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projet'!$B$14,Paramètres!$A$1:$I$88,7,0))</f>
        <v>0</v>
      </c>
      <c r="DY160" s="17">
        <f>IF(ISNA(VLOOKUP(A160,'Données projet'!$A$165:$I$185,6,0)),0%,VLOOKUP(A160,'Données projet'!$A$165:$I$185,6,0)*VLOOKUP('Données projet'!$B$14,Paramètres!$A$1:$I$88,7,0))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projet'!$B$14,Paramètres!$A$1:$I$88,3,0)*0.475*44/12</f>
        <v>#N/A</v>
      </c>
      <c r="EB160" s="23" t="e">
        <f>EXP(-LN(2)/25)*EB159+(1-EXP(-LN(2)/25))/(LN(2)/25)*Calculateur!DW160*Calculateur!DY160*VLOOKUP('Données projet'!$B$14,Paramètres!$A$1:$I$88,3,0)*0.475*44/12</f>
        <v>#N/A</v>
      </c>
      <c r="EC160" s="23" t="e">
        <f>EXP(-LN(2)/2)*EC159+(1-EXP(-LN(2)/2))/(LN(2)/2)*DW160*DZ160*VLOOKUP('Données projet'!$B$14,Paramètres!$A$1:$I$88,3,0)*0.475*44/12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projet'!$B$15,Paramètres!$A$1:$I$88,3,0)*VLOOKUP('Données projet'!$B$15,Paramètres!$A$1:$I$88,5,0)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projet'!$B$15,Paramètres!$A$1:$I$88,7,0))</f>
        <v>0</v>
      </c>
      <c r="ET160" s="17">
        <f>IF(ISNA(VLOOKUP(A160,'Données projet'!$A$191:$I$211,6,0)),0%,VLOOKUP(A160,'Données projet'!$A$191:$I$211,6,0)*VLOOKUP('Données projet'!$B$15,Paramètres!$A$1:$I$88,7,0))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projet'!$B$15,Paramètres!$A$1:$I$88,3,0)*0.475*44/12</f>
        <v>#N/A</v>
      </c>
      <c r="EW160" s="23" t="e">
        <f>EXP(-LN(2)/25)*EW159+(1-EXP(-LN(2)/25))/(LN(2)/25)*Calculateur!ER160*Calculateur!ET160*VLOOKUP('Données projet'!$B$15,Paramètres!$A$1:$I$88,3,0)*0.475*44/12</f>
        <v>#N/A</v>
      </c>
      <c r="EX160" s="23" t="e">
        <f>EXP(-LN(2)/2)*EX159+(1-EXP(-LN(2)/2))/(LN(2)/2)*ER160*EU160*VLOOKUP('Données projet'!$B$15,Paramètres!$A$1:$I$88,3,0)*0.475*44/12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projet'!$B$16,Paramètres!$A$1:$I$88,3,0)*VLOOKUP('Données projet'!$B$16,Paramètres!$A$1:$I$88,5,0)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projet'!$B$16,Paramètres!$A$1:$I$88,7,0))</f>
        <v>0</v>
      </c>
      <c r="FO160" s="17">
        <f>IF(ISNA(VLOOKUP(A160,'Données projet'!$A$217:$I$237,6,0)),0%,VLOOKUP(A160,'Données projet'!$A$217:$I$237,6,0)*VLOOKUP('Données projet'!$B$16,Paramètres!$A$1:$I$88,7,0))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projet'!$B$16,Paramètres!$A$1:$I$88,3,0)*0.475*44/12</f>
        <v>#N/A</v>
      </c>
      <c r="FR160" s="23" t="e">
        <f>EXP(-LN(2)/25)*FR159+(1-EXP(-LN(2)/25))/(LN(2)/25)*Calculateur!FM160*Calculateur!FO160*VLOOKUP('Données projet'!$B$16,Paramètres!$A$1:$I$88,3,0)*0.475*44/12</f>
        <v>#N/A</v>
      </c>
      <c r="FS160" s="23" t="e">
        <f>EXP(-LN(2)/2)*FS159+(1-EXP(-LN(2)/2))/(LN(2)/2)*FM160*FP160*VLOOKUP('Données projet'!$B$16,Paramètres!$A$1:$I$88,3,0)*0.475*44/12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projet'!$B$17,Paramètres!$A$1:$I$88,3,0)*VLOOKUP('Données projet'!$B$17,Paramètres!$A$1:$I$88,5,0)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projet'!$B$17,Paramètres!$A$1:$I$88,7,0))</f>
        <v>0</v>
      </c>
      <c r="GJ160" s="17">
        <f>IF(ISNA(VLOOKUP(A160,'Données projet'!$A$243:$I$263,6,0)),0%,VLOOKUP(A160,'Données projet'!$A$243:$I$263,6,0)*VLOOKUP('Données projet'!$B$17,Paramètres!$A$1:$I$88,7,0))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projet'!$B$17,Paramètres!$A$1:$I$88,3,0)*0.475*44/12</f>
        <v>#N/A</v>
      </c>
      <c r="GM160" s="23" t="e">
        <f>EXP(-LN(2)/25)*GM159+(1-EXP(-LN(2)/25))/(LN(2)/25)*Calculateur!GH160*Calculateur!GJ160*VLOOKUP('Données projet'!$B$17,Paramètres!$A$1:$I$88,3,0)*0.475*44/12</f>
        <v>#N/A</v>
      </c>
      <c r="GN160" s="23" t="e">
        <f>EXP(-LN(2)/2)*GN159+(1-EXP(-LN(2)/2))/(LN(2)/2)*GH160*GK160*VLOOKUP('Données projet'!$B$17,Paramètres!$A$1:$I$88,3,0)*0.475*44/12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projet'!$B$18,Paramètres!$A$1:$I$88,3,0)*VLOOKUP('Données projet'!$B$18,Paramètres!$A$1:$I$88,5,0)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projet'!$B$18,Paramètres!$A$1:$I$88,7,0))</f>
        <v>0</v>
      </c>
      <c r="HE160" s="17">
        <f>IF(ISNA(VLOOKUP(A160,'Données projet'!$A$269:$I$289,6,0)),0%,VLOOKUP(A160,'Données projet'!$A$269:$I$289,6,0)*VLOOKUP('Données projet'!$B$18,Paramètres!$A$1:$I$88,7,0))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projet'!$B$18,Paramètres!$A$1:$I$88,3,0)*0.475*44/12</f>
        <v>#N/A</v>
      </c>
      <c r="HH160" s="23" t="e">
        <f>EXP(-LN(2)/25)*HH159+(1-EXP(-LN(2)/25))/(LN(2)/25)*Calculateur!HC160*Calculateur!HE160*VLOOKUP('Données projet'!$B$18,Paramètres!$A$1:$I$88,3,0)*0.475*44/12</f>
        <v>#N/A</v>
      </c>
      <c r="HI160" s="23" t="e">
        <f>EXP(-LN(2)/2)*HI159+(1-EXP(-LN(2)/2))/(LN(2)/2)*HC160*HF160*VLOOKUP('Données projet'!$B$18,Paramètres!$A$1:$I$88,3,0)*0.475*44/12</f>
        <v>#N/A</v>
      </c>
      <c r="HJ160" s="24" t="e">
        <f t="shared" si="190"/>
        <v>#N/A</v>
      </c>
    </row>
    <row r="161" spans="1:218" x14ac:dyDescent="0.3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4.5474735088646412E-13</v>
      </c>
      <c r="O161" s="14">
        <f>N161*VLOOKUP('Données projet'!$B$9,Paramètres!$A$1:$I$88,3,0)*VLOOKUP('Données projet'!$B$9,Paramètres!$A$1:$I$88,5,0)</f>
        <v>2.5420376914553347E-13</v>
      </c>
      <c r="P161" s="14">
        <f t="shared" si="141"/>
        <v>3.4258699088369875E-12</v>
      </c>
      <c r="Q161" s="22">
        <f t="shared" si="162"/>
        <v>6.4094616558195571E-12</v>
      </c>
      <c r="R161" s="62">
        <f t="shared" si="109"/>
        <v>287.56052422643842</v>
      </c>
      <c r="S161" s="62">
        <f ca="1">AVERAGE(OFFSET($R$3,0,0,'Données projet'!$E$9+1,1))-AVERAGE(OFFSET($H$3,0,0,'Données projet'!$E$9+1,1))</f>
        <v>367.03450586441784</v>
      </c>
      <c r="T161" s="62">
        <f t="shared" si="142"/>
        <v>413.14502442862897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projet'!$B$9,Paramètres!$A$1:$I$88,7,0))</f>
        <v>0</v>
      </c>
      <c r="X161" s="17">
        <f>IF(ISNA(VLOOKUP(A161,'Données projet'!$A$35:$I$55,6,0)),0%,VLOOKUP(A161,'Données projet'!$A$35:$I$55,6,0)*VLOOKUP('Données projet'!$B$9,Paramètres!$A$1:$I$88,7,0))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projet'!$B$9,Paramètres!$A$1:$I$88,3,0)*0.475*44/12</f>
        <v>34.384715070227998</v>
      </c>
      <c r="AA161" s="23">
        <f>EXP(-LN(2)/25)*AA160+(1-EXP(-LN(2)/25))/(LN(2)/25)*Calculateur!V161*Calculateur!X161*VLOOKUP('Données projet'!$B$9,Paramètres!$A$1:$I$88,3,0)*0.475*44/12</f>
        <v>8.7336351411282838</v>
      </c>
      <c r="AB161" s="23">
        <f>EXP(-LN(2)/2)*AB160+(1-EXP(-LN(2)/2))/(LN(2)/2)*V161*Y161*VLOOKUP('Données projet'!$B$9,Paramètres!$A$1:$I$88,3,0)*0.475*44/12</f>
        <v>0</v>
      </c>
      <c r="AC161" s="24">
        <f t="shared" si="163"/>
        <v>43.11835021135628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projet'!$B$10,Paramètres!$A$1:$I$88,3,0)*VLOOKUP('Données projet'!$B$10,Paramètres!$A$1:$I$88,5,0)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projet'!$B$10,Paramètres!$A$1:$I$88,7,0))</f>
        <v>0</v>
      </c>
      <c r="AS161" s="17">
        <f>IF(ISNA(VLOOKUP(A161,'Données projet'!$A$61:$I$81,6,0)),0%,VLOOKUP(A161,'Données projet'!$A$61:$I$81,6,0)*VLOOKUP('Données projet'!$B$10,Paramètres!$A$1:$I$88,7,0))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projet'!$B$10,Paramètres!$A$1:$I$88,3,0)*0.475*44/12</f>
        <v>#N/A</v>
      </c>
      <c r="AV161" s="23" t="e">
        <f>EXP(-LN(2)/25)*AV160+(1-EXP(-LN(2)/25))/(LN(2)/25)*Calculateur!AQ161*Calculateur!AS161*VLOOKUP('Données projet'!$B$10,Paramètres!$A$1:$I$88,3,0)*0.475*44/12</f>
        <v>#N/A</v>
      </c>
      <c r="AW161" s="23" t="e">
        <f>EXP(-LN(2)/2)*AW160+(1-EXP(-LN(2)/2))/(LN(2)/2)*AQ161*AT161*VLOOKUP('Données projet'!$B$10,Paramètres!$A$1:$I$88,3,0)*0.475*44/12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projet'!$B$11,Paramètres!$A$1:$I$88,3,0)*VLOOKUP('Données projet'!$B$11,Paramètres!$A$1:$I$88,5,0)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projet'!$B$11,Paramètres!$A$1:$I$88,7,0))</f>
        <v>0</v>
      </c>
      <c r="BN161" s="17">
        <f>IF(ISNA(VLOOKUP(A161,'Données projet'!$A$87:$I$107,6,0)),0%,VLOOKUP(A161,'Données projet'!$A$87:$I$107,6,0)*VLOOKUP('Données projet'!$B$11,Paramètres!$A$1:$I$88,7,0))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projet'!$B$11,Paramètres!$A$1:$I$88,3,0)*0.475*44/12</f>
        <v>#N/A</v>
      </c>
      <c r="BQ161" s="23" t="e">
        <f>EXP(-LN(2)/25)*BQ160+(1-EXP(-LN(2)/25))/(LN(2)/25)*Calculateur!BL161*Calculateur!BN161*VLOOKUP('Données projet'!$B$11,Paramètres!$A$1:$I$88,3,0)*0.475*44/12</f>
        <v>#N/A</v>
      </c>
      <c r="BR161" s="23" t="e">
        <f>EXP(-LN(2)/2)*BR160+(1-EXP(-LN(2)/2))/(LN(2)/2)*BL161*BO161*VLOOKUP('Données projet'!$B$11,Paramètres!$A$1:$I$88,3,0)*0.475*44/12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projet'!$B$12,Paramètres!$A$1:$I$88,3,0)*VLOOKUP('Données projet'!$B$12,Paramètres!$A$1:$I$88,5,0)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projet'!$B$12,Paramètres!$A$1:$I$88,7,0))</f>
        <v>0</v>
      </c>
      <c r="CI161" s="17">
        <f>IF(ISNA(VLOOKUP(A161,'Données projet'!$A$113:$I$133,6,0)),0%,VLOOKUP(A161,'Données projet'!$A$113:$I$133,6,0)*VLOOKUP('Données projet'!$B$12,Paramètres!$A$1:$I$88,7,0))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projet'!$B$12,Paramètres!$A$1:$I$88,3,0)*0.475*44/12</f>
        <v>#N/A</v>
      </c>
      <c r="CL161" s="23" t="e">
        <f>EXP(-LN(2)/25)*CL160+(1-EXP(-LN(2)/25))/(LN(2)/25)*Calculateur!CG161*Calculateur!CI161*VLOOKUP('Données projet'!$B$12,Paramètres!$A$1:$I$88,3,0)*0.475*44/12</f>
        <v>#N/A</v>
      </c>
      <c r="CM161" s="23" t="e">
        <f>EXP(-LN(2)/2)*CM160+(1-EXP(-LN(2)/2))/(LN(2)/2)*CG161*CJ161*VLOOKUP('Données projet'!$B$12,Paramètres!$A$1:$I$88,3,0)*0.475*44/12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projet'!$B$13,Paramètres!$A$1:$I$88,3,0)*VLOOKUP('Données projet'!$B$13,Paramètres!$A$1:$I$88,5,0)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projet'!$B$13,Paramètres!$A$1:$I$88,7,0))</f>
        <v>0</v>
      </c>
      <c r="DD161" s="17">
        <f>IF(ISNA(VLOOKUP(A161,'Données projet'!$A$139:$I$159,6,0)),0%,VLOOKUP(A161,'Données projet'!$A$139:$I$159,6,0)*VLOOKUP('Données projet'!$B$13,Paramètres!$A$1:$I$88,7,0))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projet'!$B$13,Paramètres!$A$1:$I$88,3,0)*0.475*44/12</f>
        <v>#N/A</v>
      </c>
      <c r="DG161" s="23" t="e">
        <f>EXP(-LN(2)/25)*DG160+(1-EXP(-LN(2)/25))/(LN(2)/25)*Calculateur!DB161*Calculateur!DD161*VLOOKUP('Données projet'!$B$13,Paramètres!$A$1:$I$88,3,0)*0.475*44/12</f>
        <v>#N/A</v>
      </c>
      <c r="DH161" s="23" t="e">
        <f>EXP(-LN(2)/2)*DH160+(1-EXP(-LN(2)/2))/(LN(2)/2)*DB161*DE161*VLOOKUP('Données projet'!$B$13,Paramètres!$A$1:$I$88,3,0)*0.475*44/12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projet'!$B$14,Paramètres!$A$1:$I$88,3,0)*VLOOKUP('Données projet'!$B$14,Paramètres!$A$1:$I$88,5,0)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projet'!$B$14,Paramètres!$A$1:$I$88,7,0))</f>
        <v>0</v>
      </c>
      <c r="DY161" s="17">
        <f>IF(ISNA(VLOOKUP(A161,'Données projet'!$A$165:$I$185,6,0)),0%,VLOOKUP(A161,'Données projet'!$A$165:$I$185,6,0)*VLOOKUP('Données projet'!$B$14,Paramètres!$A$1:$I$88,7,0))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projet'!$B$14,Paramètres!$A$1:$I$88,3,0)*0.475*44/12</f>
        <v>#N/A</v>
      </c>
      <c r="EB161" s="23" t="e">
        <f>EXP(-LN(2)/25)*EB160+(1-EXP(-LN(2)/25))/(LN(2)/25)*Calculateur!DW161*Calculateur!DY161*VLOOKUP('Données projet'!$B$14,Paramètres!$A$1:$I$88,3,0)*0.475*44/12</f>
        <v>#N/A</v>
      </c>
      <c r="EC161" s="23" t="e">
        <f>EXP(-LN(2)/2)*EC160+(1-EXP(-LN(2)/2))/(LN(2)/2)*DW161*DZ161*VLOOKUP('Données projet'!$B$14,Paramètres!$A$1:$I$88,3,0)*0.475*44/12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projet'!$B$15,Paramètres!$A$1:$I$88,3,0)*VLOOKUP('Données projet'!$B$15,Paramètres!$A$1:$I$88,5,0)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projet'!$B$15,Paramètres!$A$1:$I$88,7,0))</f>
        <v>0</v>
      </c>
      <c r="ET161" s="17">
        <f>IF(ISNA(VLOOKUP(A161,'Données projet'!$A$191:$I$211,6,0)),0%,VLOOKUP(A161,'Données projet'!$A$191:$I$211,6,0)*VLOOKUP('Données projet'!$B$15,Paramètres!$A$1:$I$88,7,0))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projet'!$B$15,Paramètres!$A$1:$I$88,3,0)*0.475*44/12</f>
        <v>#N/A</v>
      </c>
      <c r="EW161" s="23" t="e">
        <f>EXP(-LN(2)/25)*EW160+(1-EXP(-LN(2)/25))/(LN(2)/25)*Calculateur!ER161*Calculateur!ET161*VLOOKUP('Données projet'!$B$15,Paramètres!$A$1:$I$88,3,0)*0.475*44/12</f>
        <v>#N/A</v>
      </c>
      <c r="EX161" s="23" t="e">
        <f>EXP(-LN(2)/2)*EX160+(1-EXP(-LN(2)/2))/(LN(2)/2)*ER161*EU161*VLOOKUP('Données projet'!$B$15,Paramètres!$A$1:$I$88,3,0)*0.475*44/12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projet'!$B$16,Paramètres!$A$1:$I$88,3,0)*VLOOKUP('Données projet'!$B$16,Paramètres!$A$1:$I$88,5,0)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projet'!$B$16,Paramètres!$A$1:$I$88,7,0))</f>
        <v>0</v>
      </c>
      <c r="FO161" s="17">
        <f>IF(ISNA(VLOOKUP(A161,'Données projet'!$A$217:$I$237,6,0)),0%,VLOOKUP(A161,'Données projet'!$A$217:$I$237,6,0)*VLOOKUP('Données projet'!$B$16,Paramètres!$A$1:$I$88,7,0))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projet'!$B$16,Paramètres!$A$1:$I$88,3,0)*0.475*44/12</f>
        <v>#N/A</v>
      </c>
      <c r="FR161" s="23" t="e">
        <f>EXP(-LN(2)/25)*FR160+(1-EXP(-LN(2)/25))/(LN(2)/25)*Calculateur!FM161*Calculateur!FO161*VLOOKUP('Données projet'!$B$16,Paramètres!$A$1:$I$88,3,0)*0.475*44/12</f>
        <v>#N/A</v>
      </c>
      <c r="FS161" s="23" t="e">
        <f>EXP(-LN(2)/2)*FS160+(1-EXP(-LN(2)/2))/(LN(2)/2)*FM161*FP161*VLOOKUP('Données projet'!$B$16,Paramètres!$A$1:$I$88,3,0)*0.475*44/12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projet'!$B$17,Paramètres!$A$1:$I$88,3,0)*VLOOKUP('Données projet'!$B$17,Paramètres!$A$1:$I$88,5,0)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projet'!$B$17,Paramètres!$A$1:$I$88,7,0))</f>
        <v>0</v>
      </c>
      <c r="GJ161" s="17">
        <f>IF(ISNA(VLOOKUP(A161,'Données projet'!$A$243:$I$263,6,0)),0%,VLOOKUP(A161,'Données projet'!$A$243:$I$263,6,0)*VLOOKUP('Données projet'!$B$17,Paramètres!$A$1:$I$88,7,0))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projet'!$B$17,Paramètres!$A$1:$I$88,3,0)*0.475*44/12</f>
        <v>#N/A</v>
      </c>
      <c r="GM161" s="23" t="e">
        <f>EXP(-LN(2)/25)*GM160+(1-EXP(-LN(2)/25))/(LN(2)/25)*Calculateur!GH161*Calculateur!GJ161*VLOOKUP('Données projet'!$B$17,Paramètres!$A$1:$I$88,3,0)*0.475*44/12</f>
        <v>#N/A</v>
      </c>
      <c r="GN161" s="23" t="e">
        <f>EXP(-LN(2)/2)*GN160+(1-EXP(-LN(2)/2))/(LN(2)/2)*GH161*GK161*VLOOKUP('Données projet'!$B$17,Paramètres!$A$1:$I$88,3,0)*0.475*44/12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projet'!$B$18,Paramètres!$A$1:$I$88,3,0)*VLOOKUP('Données projet'!$B$18,Paramètres!$A$1:$I$88,5,0)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projet'!$B$18,Paramètres!$A$1:$I$88,7,0))</f>
        <v>0</v>
      </c>
      <c r="HE161" s="17">
        <f>IF(ISNA(VLOOKUP(A161,'Données projet'!$A$269:$I$289,6,0)),0%,VLOOKUP(A161,'Données projet'!$A$269:$I$289,6,0)*VLOOKUP('Données projet'!$B$18,Paramètres!$A$1:$I$88,7,0))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projet'!$B$18,Paramètres!$A$1:$I$88,3,0)*0.475*44/12</f>
        <v>#N/A</v>
      </c>
      <c r="HH161" s="23" t="e">
        <f>EXP(-LN(2)/25)*HH160+(1-EXP(-LN(2)/25))/(LN(2)/25)*Calculateur!HC161*Calculateur!HE161*VLOOKUP('Données projet'!$B$18,Paramètres!$A$1:$I$88,3,0)*0.475*44/12</f>
        <v>#N/A</v>
      </c>
      <c r="HI161" s="23" t="e">
        <f>EXP(-LN(2)/2)*HI160+(1-EXP(-LN(2)/2))/(LN(2)/2)*HC161*HF161*VLOOKUP('Données projet'!$B$18,Paramètres!$A$1:$I$88,3,0)*0.475*44/12</f>
        <v>#N/A</v>
      </c>
      <c r="HJ161" s="24" t="e">
        <f t="shared" si="190"/>
        <v>#N/A</v>
      </c>
    </row>
    <row r="162" spans="1:218" x14ac:dyDescent="0.3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4.5474735088646412E-13</v>
      </c>
      <c r="O162" s="14">
        <f>N162*VLOOKUP('Données projet'!$B$9,Paramètres!$A$1:$I$88,3,0)*VLOOKUP('Données projet'!$B$9,Paramètres!$A$1:$I$88,5,0)</f>
        <v>2.5420376914553347E-13</v>
      </c>
      <c r="P162" s="14">
        <f t="shared" si="141"/>
        <v>3.4258699088369875E-12</v>
      </c>
      <c r="Q162" s="22">
        <f t="shared" si="162"/>
        <v>6.4094616558195571E-12</v>
      </c>
      <c r="R162" s="62">
        <f t="shared" si="109"/>
        <v>287.66066955837539</v>
      </c>
      <c r="S162" s="62">
        <f ca="1">AVERAGE(OFFSET($R$3,0,0,'Données projet'!$E$9+1,1))-AVERAGE(OFFSET($H$3,0,0,'Données projet'!$E$9+1,1))</f>
        <v>367.03450586441784</v>
      </c>
      <c r="T162" s="62">
        <f t="shared" si="142"/>
        <v>413.14502442862897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projet'!$B$9,Paramètres!$A$1:$I$88,7,0))</f>
        <v>0</v>
      </c>
      <c r="X162" s="17">
        <f>IF(ISNA(VLOOKUP(A162,'Données projet'!$A$35:$I$55,6,0)),0%,VLOOKUP(A162,'Données projet'!$A$35:$I$55,6,0)*VLOOKUP('Données projet'!$B$9,Paramètres!$A$1:$I$88,7,0))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projet'!$B$9,Paramètres!$A$1:$I$88,3,0)*0.475*44/12</f>
        <v>33.710451780306144</v>
      </c>
      <c r="AA162" s="23">
        <f>EXP(-LN(2)/25)*AA161+(1-EXP(-LN(2)/25))/(LN(2)/25)*Calculateur!V162*Calculateur!X162*VLOOKUP('Données projet'!$B$9,Paramètres!$A$1:$I$88,3,0)*0.475*44/12</f>
        <v>8.4948134289122201</v>
      </c>
      <c r="AB162" s="23">
        <f>EXP(-LN(2)/2)*AB161+(1-EXP(-LN(2)/2))/(LN(2)/2)*V162*Y162*VLOOKUP('Données projet'!$B$9,Paramètres!$A$1:$I$88,3,0)*0.475*44/12</f>
        <v>0</v>
      </c>
      <c r="AC162" s="24">
        <f t="shared" si="163"/>
        <v>42.205265209218368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projet'!$B$10,Paramètres!$A$1:$I$88,3,0)*VLOOKUP('Données projet'!$B$10,Paramètres!$A$1:$I$88,5,0)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projet'!$B$10,Paramètres!$A$1:$I$88,7,0))</f>
        <v>0</v>
      </c>
      <c r="AS162" s="17">
        <f>IF(ISNA(VLOOKUP(A162,'Données projet'!$A$61:$I$81,6,0)),0%,VLOOKUP(A162,'Données projet'!$A$61:$I$81,6,0)*VLOOKUP('Données projet'!$B$10,Paramètres!$A$1:$I$88,7,0))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projet'!$B$10,Paramètres!$A$1:$I$88,3,0)*0.475*44/12</f>
        <v>#N/A</v>
      </c>
      <c r="AV162" s="23" t="e">
        <f>EXP(-LN(2)/25)*AV161+(1-EXP(-LN(2)/25))/(LN(2)/25)*Calculateur!AQ162*Calculateur!AS162*VLOOKUP('Données projet'!$B$10,Paramètres!$A$1:$I$88,3,0)*0.475*44/12</f>
        <v>#N/A</v>
      </c>
      <c r="AW162" s="23" t="e">
        <f>EXP(-LN(2)/2)*AW161+(1-EXP(-LN(2)/2))/(LN(2)/2)*AQ162*AT162*VLOOKUP('Données projet'!$B$10,Paramètres!$A$1:$I$88,3,0)*0.475*44/12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projet'!$B$11,Paramètres!$A$1:$I$88,3,0)*VLOOKUP('Données projet'!$B$11,Paramètres!$A$1:$I$88,5,0)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projet'!$B$11,Paramètres!$A$1:$I$88,7,0))</f>
        <v>0</v>
      </c>
      <c r="BN162" s="17">
        <f>IF(ISNA(VLOOKUP(A162,'Données projet'!$A$87:$I$107,6,0)),0%,VLOOKUP(A162,'Données projet'!$A$87:$I$107,6,0)*VLOOKUP('Données projet'!$B$11,Paramètres!$A$1:$I$88,7,0))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projet'!$B$11,Paramètres!$A$1:$I$88,3,0)*0.475*44/12</f>
        <v>#N/A</v>
      </c>
      <c r="BQ162" s="23" t="e">
        <f>EXP(-LN(2)/25)*BQ161+(1-EXP(-LN(2)/25))/(LN(2)/25)*Calculateur!BL162*Calculateur!BN162*VLOOKUP('Données projet'!$B$11,Paramètres!$A$1:$I$88,3,0)*0.475*44/12</f>
        <v>#N/A</v>
      </c>
      <c r="BR162" s="23" t="e">
        <f>EXP(-LN(2)/2)*BR161+(1-EXP(-LN(2)/2))/(LN(2)/2)*BL162*BO162*VLOOKUP('Données projet'!$B$11,Paramètres!$A$1:$I$88,3,0)*0.475*44/12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projet'!$B$12,Paramètres!$A$1:$I$88,3,0)*VLOOKUP('Données projet'!$B$12,Paramètres!$A$1:$I$88,5,0)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projet'!$B$12,Paramètres!$A$1:$I$88,7,0))</f>
        <v>0</v>
      </c>
      <c r="CI162" s="17">
        <f>IF(ISNA(VLOOKUP(A162,'Données projet'!$A$113:$I$133,6,0)),0%,VLOOKUP(A162,'Données projet'!$A$113:$I$133,6,0)*VLOOKUP('Données projet'!$B$12,Paramètres!$A$1:$I$88,7,0))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projet'!$B$12,Paramètres!$A$1:$I$88,3,0)*0.475*44/12</f>
        <v>#N/A</v>
      </c>
      <c r="CL162" s="23" t="e">
        <f>EXP(-LN(2)/25)*CL161+(1-EXP(-LN(2)/25))/(LN(2)/25)*Calculateur!CG162*Calculateur!CI162*VLOOKUP('Données projet'!$B$12,Paramètres!$A$1:$I$88,3,0)*0.475*44/12</f>
        <v>#N/A</v>
      </c>
      <c r="CM162" s="23" t="e">
        <f>EXP(-LN(2)/2)*CM161+(1-EXP(-LN(2)/2))/(LN(2)/2)*CG162*CJ162*VLOOKUP('Données projet'!$B$12,Paramètres!$A$1:$I$88,3,0)*0.475*44/12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projet'!$B$13,Paramètres!$A$1:$I$88,3,0)*VLOOKUP('Données projet'!$B$13,Paramètres!$A$1:$I$88,5,0)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projet'!$B$13,Paramètres!$A$1:$I$88,7,0))</f>
        <v>0</v>
      </c>
      <c r="DD162" s="17">
        <f>IF(ISNA(VLOOKUP(A162,'Données projet'!$A$139:$I$159,6,0)),0%,VLOOKUP(A162,'Données projet'!$A$139:$I$159,6,0)*VLOOKUP('Données projet'!$B$13,Paramètres!$A$1:$I$88,7,0))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projet'!$B$13,Paramètres!$A$1:$I$88,3,0)*0.475*44/12</f>
        <v>#N/A</v>
      </c>
      <c r="DG162" s="23" t="e">
        <f>EXP(-LN(2)/25)*DG161+(1-EXP(-LN(2)/25))/(LN(2)/25)*Calculateur!DB162*Calculateur!DD162*VLOOKUP('Données projet'!$B$13,Paramètres!$A$1:$I$88,3,0)*0.475*44/12</f>
        <v>#N/A</v>
      </c>
      <c r="DH162" s="23" t="e">
        <f>EXP(-LN(2)/2)*DH161+(1-EXP(-LN(2)/2))/(LN(2)/2)*DB162*DE162*VLOOKUP('Données projet'!$B$13,Paramètres!$A$1:$I$88,3,0)*0.475*44/12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projet'!$B$14,Paramètres!$A$1:$I$88,3,0)*VLOOKUP('Données projet'!$B$14,Paramètres!$A$1:$I$88,5,0)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projet'!$B$14,Paramètres!$A$1:$I$88,7,0))</f>
        <v>0</v>
      </c>
      <c r="DY162" s="17">
        <f>IF(ISNA(VLOOKUP(A162,'Données projet'!$A$165:$I$185,6,0)),0%,VLOOKUP(A162,'Données projet'!$A$165:$I$185,6,0)*VLOOKUP('Données projet'!$B$14,Paramètres!$A$1:$I$88,7,0))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projet'!$B$14,Paramètres!$A$1:$I$88,3,0)*0.475*44/12</f>
        <v>#N/A</v>
      </c>
      <c r="EB162" s="23" t="e">
        <f>EXP(-LN(2)/25)*EB161+(1-EXP(-LN(2)/25))/(LN(2)/25)*Calculateur!DW162*Calculateur!DY162*VLOOKUP('Données projet'!$B$14,Paramètres!$A$1:$I$88,3,0)*0.475*44/12</f>
        <v>#N/A</v>
      </c>
      <c r="EC162" s="23" t="e">
        <f>EXP(-LN(2)/2)*EC161+(1-EXP(-LN(2)/2))/(LN(2)/2)*DW162*DZ162*VLOOKUP('Données projet'!$B$14,Paramètres!$A$1:$I$88,3,0)*0.475*44/12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projet'!$B$15,Paramètres!$A$1:$I$88,3,0)*VLOOKUP('Données projet'!$B$15,Paramètres!$A$1:$I$88,5,0)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projet'!$B$15,Paramètres!$A$1:$I$88,7,0))</f>
        <v>0</v>
      </c>
      <c r="ET162" s="17">
        <f>IF(ISNA(VLOOKUP(A162,'Données projet'!$A$191:$I$211,6,0)),0%,VLOOKUP(A162,'Données projet'!$A$191:$I$211,6,0)*VLOOKUP('Données projet'!$B$15,Paramètres!$A$1:$I$88,7,0))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projet'!$B$15,Paramètres!$A$1:$I$88,3,0)*0.475*44/12</f>
        <v>#N/A</v>
      </c>
      <c r="EW162" s="23" t="e">
        <f>EXP(-LN(2)/25)*EW161+(1-EXP(-LN(2)/25))/(LN(2)/25)*Calculateur!ER162*Calculateur!ET162*VLOOKUP('Données projet'!$B$15,Paramètres!$A$1:$I$88,3,0)*0.475*44/12</f>
        <v>#N/A</v>
      </c>
      <c r="EX162" s="23" t="e">
        <f>EXP(-LN(2)/2)*EX161+(1-EXP(-LN(2)/2))/(LN(2)/2)*ER162*EU162*VLOOKUP('Données projet'!$B$15,Paramètres!$A$1:$I$88,3,0)*0.475*44/12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projet'!$B$16,Paramètres!$A$1:$I$88,3,0)*VLOOKUP('Données projet'!$B$16,Paramètres!$A$1:$I$88,5,0)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projet'!$B$16,Paramètres!$A$1:$I$88,7,0))</f>
        <v>0</v>
      </c>
      <c r="FO162" s="17">
        <f>IF(ISNA(VLOOKUP(A162,'Données projet'!$A$217:$I$237,6,0)),0%,VLOOKUP(A162,'Données projet'!$A$217:$I$237,6,0)*VLOOKUP('Données projet'!$B$16,Paramètres!$A$1:$I$88,7,0))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projet'!$B$16,Paramètres!$A$1:$I$88,3,0)*0.475*44/12</f>
        <v>#N/A</v>
      </c>
      <c r="FR162" s="23" t="e">
        <f>EXP(-LN(2)/25)*FR161+(1-EXP(-LN(2)/25))/(LN(2)/25)*Calculateur!FM162*Calculateur!FO162*VLOOKUP('Données projet'!$B$16,Paramètres!$A$1:$I$88,3,0)*0.475*44/12</f>
        <v>#N/A</v>
      </c>
      <c r="FS162" s="23" t="e">
        <f>EXP(-LN(2)/2)*FS161+(1-EXP(-LN(2)/2))/(LN(2)/2)*FM162*FP162*VLOOKUP('Données projet'!$B$16,Paramètres!$A$1:$I$88,3,0)*0.475*44/12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projet'!$B$17,Paramètres!$A$1:$I$88,3,0)*VLOOKUP('Données projet'!$B$17,Paramètres!$A$1:$I$88,5,0)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projet'!$B$17,Paramètres!$A$1:$I$88,7,0))</f>
        <v>0</v>
      </c>
      <c r="GJ162" s="17">
        <f>IF(ISNA(VLOOKUP(A162,'Données projet'!$A$243:$I$263,6,0)),0%,VLOOKUP(A162,'Données projet'!$A$243:$I$263,6,0)*VLOOKUP('Données projet'!$B$17,Paramètres!$A$1:$I$88,7,0))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projet'!$B$17,Paramètres!$A$1:$I$88,3,0)*0.475*44/12</f>
        <v>#N/A</v>
      </c>
      <c r="GM162" s="23" t="e">
        <f>EXP(-LN(2)/25)*GM161+(1-EXP(-LN(2)/25))/(LN(2)/25)*Calculateur!GH162*Calculateur!GJ162*VLOOKUP('Données projet'!$B$17,Paramètres!$A$1:$I$88,3,0)*0.475*44/12</f>
        <v>#N/A</v>
      </c>
      <c r="GN162" s="23" t="e">
        <f>EXP(-LN(2)/2)*GN161+(1-EXP(-LN(2)/2))/(LN(2)/2)*GH162*GK162*VLOOKUP('Données projet'!$B$17,Paramètres!$A$1:$I$88,3,0)*0.475*44/12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projet'!$B$18,Paramètres!$A$1:$I$88,3,0)*VLOOKUP('Données projet'!$B$18,Paramètres!$A$1:$I$88,5,0)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projet'!$B$18,Paramètres!$A$1:$I$88,7,0))</f>
        <v>0</v>
      </c>
      <c r="HE162" s="17">
        <f>IF(ISNA(VLOOKUP(A162,'Données projet'!$A$269:$I$289,6,0)),0%,VLOOKUP(A162,'Données projet'!$A$269:$I$289,6,0)*VLOOKUP('Données projet'!$B$18,Paramètres!$A$1:$I$88,7,0))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projet'!$B$18,Paramètres!$A$1:$I$88,3,0)*0.475*44/12</f>
        <v>#N/A</v>
      </c>
      <c r="HH162" s="23" t="e">
        <f>EXP(-LN(2)/25)*HH161+(1-EXP(-LN(2)/25))/(LN(2)/25)*Calculateur!HC162*Calculateur!HE162*VLOOKUP('Données projet'!$B$18,Paramètres!$A$1:$I$88,3,0)*0.475*44/12</f>
        <v>#N/A</v>
      </c>
      <c r="HI162" s="23" t="e">
        <f>EXP(-LN(2)/2)*HI161+(1-EXP(-LN(2)/2))/(LN(2)/2)*HC162*HF162*VLOOKUP('Données projet'!$B$18,Paramètres!$A$1:$I$88,3,0)*0.475*44/12</f>
        <v>#N/A</v>
      </c>
      <c r="HJ162" s="24" t="e">
        <f t="shared" si="190"/>
        <v>#N/A</v>
      </c>
    </row>
    <row r="163" spans="1:218" x14ac:dyDescent="0.3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4.5474735088646412E-13</v>
      </c>
      <c r="O163" s="14">
        <f>N163*VLOOKUP('Données projet'!$B$9,Paramètres!$A$1:$I$88,3,0)*VLOOKUP('Données projet'!$B$9,Paramètres!$A$1:$I$88,5,0)</f>
        <v>2.5420376914553347E-13</v>
      </c>
      <c r="P163" s="14">
        <f t="shared" si="141"/>
        <v>3.4258699088369875E-12</v>
      </c>
      <c r="Q163" s="22">
        <f t="shared" si="162"/>
        <v>6.4094616558195571E-12</v>
      </c>
      <c r="R163" s="62">
        <f t="shared" si="109"/>
        <v>287.75907759269478</v>
      </c>
      <c r="S163" s="62">
        <f ca="1">AVERAGE(OFFSET($R$3,0,0,'Données projet'!$E$9+1,1))-AVERAGE(OFFSET($H$3,0,0,'Données projet'!$E$9+1,1))</f>
        <v>367.03450586441784</v>
      </c>
      <c r="T163" s="62">
        <f t="shared" si="142"/>
        <v>413.14502442862897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projet'!$B$9,Paramètres!$A$1:$I$88,7,0))</f>
        <v>0</v>
      </c>
      <c r="X163" s="17">
        <f>IF(ISNA(VLOOKUP(A163,'Données projet'!$A$35:$I$55,6,0)),0%,VLOOKUP(A163,'Données projet'!$A$35:$I$55,6,0)*VLOOKUP('Données projet'!$B$9,Paramètres!$A$1:$I$88,7,0))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projet'!$B$9,Paramètres!$A$1:$I$88,3,0)*0.475*44/12</f>
        <v>33.049410382239664</v>
      </c>
      <c r="AA163" s="23">
        <f>EXP(-LN(2)/25)*AA162+(1-EXP(-LN(2)/25))/(LN(2)/25)*Calculateur!V163*Calculateur!X163*VLOOKUP('Données projet'!$B$9,Paramètres!$A$1:$I$88,3,0)*0.475*44/12</f>
        <v>8.2625223089757931</v>
      </c>
      <c r="AB163" s="23">
        <f>EXP(-LN(2)/2)*AB162+(1-EXP(-LN(2)/2))/(LN(2)/2)*V163*Y163*VLOOKUP('Données projet'!$B$9,Paramètres!$A$1:$I$88,3,0)*0.475*44/12</f>
        <v>0</v>
      </c>
      <c r="AC163" s="24">
        <f t="shared" si="163"/>
        <v>41.311932691215461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projet'!$B$10,Paramètres!$A$1:$I$88,3,0)*VLOOKUP('Données projet'!$B$10,Paramètres!$A$1:$I$88,5,0)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projet'!$B$10,Paramètres!$A$1:$I$88,7,0))</f>
        <v>0</v>
      </c>
      <c r="AS163" s="17">
        <f>IF(ISNA(VLOOKUP(A163,'Données projet'!$A$61:$I$81,6,0)),0%,VLOOKUP(A163,'Données projet'!$A$61:$I$81,6,0)*VLOOKUP('Données projet'!$B$10,Paramètres!$A$1:$I$88,7,0))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projet'!$B$10,Paramètres!$A$1:$I$88,3,0)*0.475*44/12</f>
        <v>#N/A</v>
      </c>
      <c r="AV163" s="23" t="e">
        <f>EXP(-LN(2)/25)*AV162+(1-EXP(-LN(2)/25))/(LN(2)/25)*Calculateur!AQ163*Calculateur!AS163*VLOOKUP('Données projet'!$B$10,Paramètres!$A$1:$I$88,3,0)*0.475*44/12</f>
        <v>#N/A</v>
      </c>
      <c r="AW163" s="23" t="e">
        <f>EXP(-LN(2)/2)*AW162+(1-EXP(-LN(2)/2))/(LN(2)/2)*AQ163*AT163*VLOOKUP('Données projet'!$B$10,Paramètres!$A$1:$I$88,3,0)*0.475*44/12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projet'!$B$11,Paramètres!$A$1:$I$88,3,0)*VLOOKUP('Données projet'!$B$11,Paramètres!$A$1:$I$88,5,0)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projet'!$B$11,Paramètres!$A$1:$I$88,7,0))</f>
        <v>0</v>
      </c>
      <c r="BN163" s="17">
        <f>IF(ISNA(VLOOKUP(A163,'Données projet'!$A$87:$I$107,6,0)),0%,VLOOKUP(A163,'Données projet'!$A$87:$I$107,6,0)*VLOOKUP('Données projet'!$B$11,Paramètres!$A$1:$I$88,7,0))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projet'!$B$11,Paramètres!$A$1:$I$88,3,0)*0.475*44/12</f>
        <v>#N/A</v>
      </c>
      <c r="BQ163" s="23" t="e">
        <f>EXP(-LN(2)/25)*BQ162+(1-EXP(-LN(2)/25))/(LN(2)/25)*Calculateur!BL163*Calculateur!BN163*VLOOKUP('Données projet'!$B$11,Paramètres!$A$1:$I$88,3,0)*0.475*44/12</f>
        <v>#N/A</v>
      </c>
      <c r="BR163" s="23" t="e">
        <f>EXP(-LN(2)/2)*BR162+(1-EXP(-LN(2)/2))/(LN(2)/2)*BL163*BO163*VLOOKUP('Données projet'!$B$11,Paramètres!$A$1:$I$88,3,0)*0.475*44/12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projet'!$B$12,Paramètres!$A$1:$I$88,3,0)*VLOOKUP('Données projet'!$B$12,Paramètres!$A$1:$I$88,5,0)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projet'!$B$12,Paramètres!$A$1:$I$88,7,0))</f>
        <v>0</v>
      </c>
      <c r="CI163" s="17">
        <f>IF(ISNA(VLOOKUP(A163,'Données projet'!$A$113:$I$133,6,0)),0%,VLOOKUP(A163,'Données projet'!$A$113:$I$133,6,0)*VLOOKUP('Données projet'!$B$12,Paramètres!$A$1:$I$88,7,0))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projet'!$B$12,Paramètres!$A$1:$I$88,3,0)*0.475*44/12</f>
        <v>#N/A</v>
      </c>
      <c r="CL163" s="23" t="e">
        <f>EXP(-LN(2)/25)*CL162+(1-EXP(-LN(2)/25))/(LN(2)/25)*Calculateur!CG163*Calculateur!CI163*VLOOKUP('Données projet'!$B$12,Paramètres!$A$1:$I$88,3,0)*0.475*44/12</f>
        <v>#N/A</v>
      </c>
      <c r="CM163" s="23" t="e">
        <f>EXP(-LN(2)/2)*CM162+(1-EXP(-LN(2)/2))/(LN(2)/2)*CG163*CJ163*VLOOKUP('Données projet'!$B$12,Paramètres!$A$1:$I$88,3,0)*0.475*44/12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projet'!$B$13,Paramètres!$A$1:$I$88,3,0)*VLOOKUP('Données projet'!$B$13,Paramètres!$A$1:$I$88,5,0)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projet'!$B$13,Paramètres!$A$1:$I$88,7,0))</f>
        <v>0</v>
      </c>
      <c r="DD163" s="17">
        <f>IF(ISNA(VLOOKUP(A163,'Données projet'!$A$139:$I$159,6,0)),0%,VLOOKUP(A163,'Données projet'!$A$139:$I$159,6,0)*VLOOKUP('Données projet'!$B$13,Paramètres!$A$1:$I$88,7,0))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projet'!$B$13,Paramètres!$A$1:$I$88,3,0)*0.475*44/12</f>
        <v>#N/A</v>
      </c>
      <c r="DG163" s="23" t="e">
        <f>EXP(-LN(2)/25)*DG162+(1-EXP(-LN(2)/25))/(LN(2)/25)*Calculateur!DB163*Calculateur!DD163*VLOOKUP('Données projet'!$B$13,Paramètres!$A$1:$I$88,3,0)*0.475*44/12</f>
        <v>#N/A</v>
      </c>
      <c r="DH163" s="23" t="e">
        <f>EXP(-LN(2)/2)*DH162+(1-EXP(-LN(2)/2))/(LN(2)/2)*DB163*DE163*VLOOKUP('Données projet'!$B$13,Paramètres!$A$1:$I$88,3,0)*0.475*44/12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projet'!$B$14,Paramètres!$A$1:$I$88,3,0)*VLOOKUP('Données projet'!$B$14,Paramètres!$A$1:$I$88,5,0)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projet'!$B$14,Paramètres!$A$1:$I$88,7,0))</f>
        <v>0</v>
      </c>
      <c r="DY163" s="17">
        <f>IF(ISNA(VLOOKUP(A163,'Données projet'!$A$165:$I$185,6,0)),0%,VLOOKUP(A163,'Données projet'!$A$165:$I$185,6,0)*VLOOKUP('Données projet'!$B$14,Paramètres!$A$1:$I$88,7,0))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projet'!$B$14,Paramètres!$A$1:$I$88,3,0)*0.475*44/12</f>
        <v>#N/A</v>
      </c>
      <c r="EB163" s="23" t="e">
        <f>EXP(-LN(2)/25)*EB162+(1-EXP(-LN(2)/25))/(LN(2)/25)*Calculateur!DW163*Calculateur!DY163*VLOOKUP('Données projet'!$B$14,Paramètres!$A$1:$I$88,3,0)*0.475*44/12</f>
        <v>#N/A</v>
      </c>
      <c r="EC163" s="23" t="e">
        <f>EXP(-LN(2)/2)*EC162+(1-EXP(-LN(2)/2))/(LN(2)/2)*DW163*DZ163*VLOOKUP('Données projet'!$B$14,Paramètres!$A$1:$I$88,3,0)*0.475*44/12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projet'!$B$15,Paramètres!$A$1:$I$88,3,0)*VLOOKUP('Données projet'!$B$15,Paramètres!$A$1:$I$88,5,0)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projet'!$B$15,Paramètres!$A$1:$I$88,7,0))</f>
        <v>0</v>
      </c>
      <c r="ET163" s="17">
        <f>IF(ISNA(VLOOKUP(A163,'Données projet'!$A$191:$I$211,6,0)),0%,VLOOKUP(A163,'Données projet'!$A$191:$I$211,6,0)*VLOOKUP('Données projet'!$B$15,Paramètres!$A$1:$I$88,7,0))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projet'!$B$15,Paramètres!$A$1:$I$88,3,0)*0.475*44/12</f>
        <v>#N/A</v>
      </c>
      <c r="EW163" s="23" t="e">
        <f>EXP(-LN(2)/25)*EW162+(1-EXP(-LN(2)/25))/(LN(2)/25)*Calculateur!ER163*Calculateur!ET163*VLOOKUP('Données projet'!$B$15,Paramètres!$A$1:$I$88,3,0)*0.475*44/12</f>
        <v>#N/A</v>
      </c>
      <c r="EX163" s="23" t="e">
        <f>EXP(-LN(2)/2)*EX162+(1-EXP(-LN(2)/2))/(LN(2)/2)*ER163*EU163*VLOOKUP('Données projet'!$B$15,Paramètres!$A$1:$I$88,3,0)*0.475*44/12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projet'!$B$16,Paramètres!$A$1:$I$88,3,0)*VLOOKUP('Données projet'!$B$16,Paramètres!$A$1:$I$88,5,0)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projet'!$B$16,Paramètres!$A$1:$I$88,7,0))</f>
        <v>0</v>
      </c>
      <c r="FO163" s="17">
        <f>IF(ISNA(VLOOKUP(A163,'Données projet'!$A$217:$I$237,6,0)),0%,VLOOKUP(A163,'Données projet'!$A$217:$I$237,6,0)*VLOOKUP('Données projet'!$B$16,Paramètres!$A$1:$I$88,7,0))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projet'!$B$16,Paramètres!$A$1:$I$88,3,0)*0.475*44/12</f>
        <v>#N/A</v>
      </c>
      <c r="FR163" s="23" t="e">
        <f>EXP(-LN(2)/25)*FR162+(1-EXP(-LN(2)/25))/(LN(2)/25)*Calculateur!FM163*Calculateur!FO163*VLOOKUP('Données projet'!$B$16,Paramètres!$A$1:$I$88,3,0)*0.475*44/12</f>
        <v>#N/A</v>
      </c>
      <c r="FS163" s="23" t="e">
        <f>EXP(-LN(2)/2)*FS162+(1-EXP(-LN(2)/2))/(LN(2)/2)*FM163*FP163*VLOOKUP('Données projet'!$B$16,Paramètres!$A$1:$I$88,3,0)*0.475*44/12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projet'!$B$17,Paramètres!$A$1:$I$88,3,0)*VLOOKUP('Données projet'!$B$17,Paramètres!$A$1:$I$88,5,0)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projet'!$B$17,Paramètres!$A$1:$I$88,7,0))</f>
        <v>0</v>
      </c>
      <c r="GJ163" s="17">
        <f>IF(ISNA(VLOOKUP(A163,'Données projet'!$A$243:$I$263,6,0)),0%,VLOOKUP(A163,'Données projet'!$A$243:$I$263,6,0)*VLOOKUP('Données projet'!$B$17,Paramètres!$A$1:$I$88,7,0))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projet'!$B$17,Paramètres!$A$1:$I$88,3,0)*0.475*44/12</f>
        <v>#N/A</v>
      </c>
      <c r="GM163" s="23" t="e">
        <f>EXP(-LN(2)/25)*GM162+(1-EXP(-LN(2)/25))/(LN(2)/25)*Calculateur!GH163*Calculateur!GJ163*VLOOKUP('Données projet'!$B$17,Paramètres!$A$1:$I$88,3,0)*0.475*44/12</f>
        <v>#N/A</v>
      </c>
      <c r="GN163" s="23" t="e">
        <f>EXP(-LN(2)/2)*GN162+(1-EXP(-LN(2)/2))/(LN(2)/2)*GH163*GK163*VLOOKUP('Données projet'!$B$17,Paramètres!$A$1:$I$88,3,0)*0.475*44/12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projet'!$B$18,Paramètres!$A$1:$I$88,3,0)*VLOOKUP('Données projet'!$B$18,Paramètres!$A$1:$I$88,5,0)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projet'!$B$18,Paramètres!$A$1:$I$88,7,0))</f>
        <v>0</v>
      </c>
      <c r="HE163" s="17">
        <f>IF(ISNA(VLOOKUP(A163,'Données projet'!$A$269:$I$289,6,0)),0%,VLOOKUP(A163,'Données projet'!$A$269:$I$289,6,0)*VLOOKUP('Données projet'!$B$18,Paramètres!$A$1:$I$88,7,0))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projet'!$B$18,Paramètres!$A$1:$I$88,3,0)*0.475*44/12</f>
        <v>#N/A</v>
      </c>
      <c r="HH163" s="23" t="e">
        <f>EXP(-LN(2)/25)*HH162+(1-EXP(-LN(2)/25))/(LN(2)/25)*Calculateur!HC163*Calculateur!HE163*VLOOKUP('Données projet'!$B$18,Paramètres!$A$1:$I$88,3,0)*0.475*44/12</f>
        <v>#N/A</v>
      </c>
      <c r="HI163" s="23" t="e">
        <f>EXP(-LN(2)/2)*HI162+(1-EXP(-LN(2)/2))/(LN(2)/2)*HC163*HF163*VLOOKUP('Données projet'!$B$18,Paramètres!$A$1:$I$88,3,0)*0.475*44/12</f>
        <v>#N/A</v>
      </c>
      <c r="HJ163" s="24" t="e">
        <f t="shared" si="190"/>
        <v>#N/A</v>
      </c>
    </row>
    <row r="164" spans="1:218" x14ac:dyDescent="0.3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4.5474735088646412E-13</v>
      </c>
      <c r="O164" s="14">
        <f>N164*VLOOKUP('Données projet'!$B$9,Paramètres!$A$1:$I$88,3,0)*VLOOKUP('Données projet'!$B$9,Paramètres!$A$1:$I$88,5,0)</f>
        <v>2.5420376914553347E-13</v>
      </c>
      <c r="P164" s="14">
        <f t="shared" si="141"/>
        <v>3.4258699088369875E-12</v>
      </c>
      <c r="Q164" s="22">
        <f t="shared" si="162"/>
        <v>6.4094616558195571E-12</v>
      </c>
      <c r="R164" s="62">
        <f t="shared" si="109"/>
        <v>287.85577846762612</v>
      </c>
      <c r="S164" s="62">
        <f ca="1">AVERAGE(OFFSET($R$3,0,0,'Données projet'!$E$9+1,1))-AVERAGE(OFFSET($H$3,0,0,'Données projet'!$E$9+1,1))</f>
        <v>367.03450586441784</v>
      </c>
      <c r="T164" s="62">
        <f t="shared" si="142"/>
        <v>413.14502442862897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projet'!$B$9,Paramètres!$A$1:$I$88,7,0))</f>
        <v>0</v>
      </c>
      <c r="X164" s="17">
        <f>IF(ISNA(VLOOKUP(A164,'Données projet'!$A$35:$I$55,6,0)),0%,VLOOKUP(A164,'Données projet'!$A$35:$I$55,6,0)*VLOOKUP('Données projet'!$B$9,Paramètres!$A$1:$I$88,7,0))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projet'!$B$9,Paramètres!$A$1:$I$88,3,0)*0.475*44/12</f>
        <v>32.401331602793825</v>
      </c>
      <c r="AA164" s="23">
        <f>EXP(-LN(2)/25)*AA163+(1-EXP(-LN(2)/25))/(LN(2)/25)*Calculateur!V164*Calculateur!X164*VLOOKUP('Données projet'!$B$9,Paramètres!$A$1:$I$88,3,0)*0.475*44/12</f>
        <v>8.0365832019296857</v>
      </c>
      <c r="AB164" s="23">
        <f>EXP(-LN(2)/2)*AB163+(1-EXP(-LN(2)/2))/(LN(2)/2)*V164*Y164*VLOOKUP('Données projet'!$B$9,Paramètres!$A$1:$I$88,3,0)*0.475*44/12</f>
        <v>0</v>
      </c>
      <c r="AC164" s="24">
        <f t="shared" si="163"/>
        <v>40.437914804723512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projet'!$B$10,Paramètres!$A$1:$I$88,3,0)*VLOOKUP('Données projet'!$B$10,Paramètres!$A$1:$I$88,5,0)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projet'!$B$10,Paramètres!$A$1:$I$88,7,0))</f>
        <v>0</v>
      </c>
      <c r="AS164" s="17">
        <f>IF(ISNA(VLOOKUP(A164,'Données projet'!$A$61:$I$81,6,0)),0%,VLOOKUP(A164,'Données projet'!$A$61:$I$81,6,0)*VLOOKUP('Données projet'!$B$10,Paramètres!$A$1:$I$88,7,0))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projet'!$B$10,Paramètres!$A$1:$I$88,3,0)*0.475*44/12</f>
        <v>#N/A</v>
      </c>
      <c r="AV164" s="23" t="e">
        <f>EXP(-LN(2)/25)*AV163+(1-EXP(-LN(2)/25))/(LN(2)/25)*Calculateur!AQ164*Calculateur!AS164*VLOOKUP('Données projet'!$B$10,Paramètres!$A$1:$I$88,3,0)*0.475*44/12</f>
        <v>#N/A</v>
      </c>
      <c r="AW164" s="23" t="e">
        <f>EXP(-LN(2)/2)*AW163+(1-EXP(-LN(2)/2))/(LN(2)/2)*AQ164*AT164*VLOOKUP('Données projet'!$B$10,Paramètres!$A$1:$I$88,3,0)*0.475*44/12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projet'!$B$11,Paramètres!$A$1:$I$88,3,0)*VLOOKUP('Données projet'!$B$11,Paramètres!$A$1:$I$88,5,0)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projet'!$B$11,Paramètres!$A$1:$I$88,7,0))</f>
        <v>0</v>
      </c>
      <c r="BN164" s="17">
        <f>IF(ISNA(VLOOKUP(A164,'Données projet'!$A$87:$I$107,6,0)),0%,VLOOKUP(A164,'Données projet'!$A$87:$I$107,6,0)*VLOOKUP('Données projet'!$B$11,Paramètres!$A$1:$I$88,7,0))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projet'!$B$11,Paramètres!$A$1:$I$88,3,0)*0.475*44/12</f>
        <v>#N/A</v>
      </c>
      <c r="BQ164" s="23" t="e">
        <f>EXP(-LN(2)/25)*BQ163+(1-EXP(-LN(2)/25))/(LN(2)/25)*Calculateur!BL164*Calculateur!BN164*VLOOKUP('Données projet'!$B$11,Paramètres!$A$1:$I$88,3,0)*0.475*44/12</f>
        <v>#N/A</v>
      </c>
      <c r="BR164" s="23" t="e">
        <f>EXP(-LN(2)/2)*BR163+(1-EXP(-LN(2)/2))/(LN(2)/2)*BL164*BO164*VLOOKUP('Données projet'!$B$11,Paramètres!$A$1:$I$88,3,0)*0.475*44/12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projet'!$B$12,Paramètres!$A$1:$I$88,3,0)*VLOOKUP('Données projet'!$B$12,Paramètres!$A$1:$I$88,5,0)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projet'!$B$12,Paramètres!$A$1:$I$88,7,0))</f>
        <v>0</v>
      </c>
      <c r="CI164" s="17">
        <f>IF(ISNA(VLOOKUP(A164,'Données projet'!$A$113:$I$133,6,0)),0%,VLOOKUP(A164,'Données projet'!$A$113:$I$133,6,0)*VLOOKUP('Données projet'!$B$12,Paramètres!$A$1:$I$88,7,0))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projet'!$B$12,Paramètres!$A$1:$I$88,3,0)*0.475*44/12</f>
        <v>#N/A</v>
      </c>
      <c r="CL164" s="23" t="e">
        <f>EXP(-LN(2)/25)*CL163+(1-EXP(-LN(2)/25))/(LN(2)/25)*Calculateur!CG164*Calculateur!CI164*VLOOKUP('Données projet'!$B$12,Paramètres!$A$1:$I$88,3,0)*0.475*44/12</f>
        <v>#N/A</v>
      </c>
      <c r="CM164" s="23" t="e">
        <f>EXP(-LN(2)/2)*CM163+(1-EXP(-LN(2)/2))/(LN(2)/2)*CG164*CJ164*VLOOKUP('Données projet'!$B$12,Paramètres!$A$1:$I$88,3,0)*0.475*44/12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projet'!$B$13,Paramètres!$A$1:$I$88,3,0)*VLOOKUP('Données projet'!$B$13,Paramètres!$A$1:$I$88,5,0)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projet'!$B$13,Paramètres!$A$1:$I$88,7,0))</f>
        <v>0</v>
      </c>
      <c r="DD164" s="17">
        <f>IF(ISNA(VLOOKUP(A164,'Données projet'!$A$139:$I$159,6,0)),0%,VLOOKUP(A164,'Données projet'!$A$139:$I$159,6,0)*VLOOKUP('Données projet'!$B$13,Paramètres!$A$1:$I$88,7,0))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projet'!$B$13,Paramètres!$A$1:$I$88,3,0)*0.475*44/12</f>
        <v>#N/A</v>
      </c>
      <c r="DG164" s="23" t="e">
        <f>EXP(-LN(2)/25)*DG163+(1-EXP(-LN(2)/25))/(LN(2)/25)*Calculateur!DB164*Calculateur!DD164*VLOOKUP('Données projet'!$B$13,Paramètres!$A$1:$I$88,3,0)*0.475*44/12</f>
        <v>#N/A</v>
      </c>
      <c r="DH164" s="23" t="e">
        <f>EXP(-LN(2)/2)*DH163+(1-EXP(-LN(2)/2))/(LN(2)/2)*DB164*DE164*VLOOKUP('Données projet'!$B$13,Paramètres!$A$1:$I$88,3,0)*0.475*44/12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projet'!$B$14,Paramètres!$A$1:$I$88,3,0)*VLOOKUP('Données projet'!$B$14,Paramètres!$A$1:$I$88,5,0)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projet'!$B$14,Paramètres!$A$1:$I$88,7,0))</f>
        <v>0</v>
      </c>
      <c r="DY164" s="17">
        <f>IF(ISNA(VLOOKUP(A164,'Données projet'!$A$165:$I$185,6,0)),0%,VLOOKUP(A164,'Données projet'!$A$165:$I$185,6,0)*VLOOKUP('Données projet'!$B$14,Paramètres!$A$1:$I$88,7,0))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projet'!$B$14,Paramètres!$A$1:$I$88,3,0)*0.475*44/12</f>
        <v>#N/A</v>
      </c>
      <c r="EB164" s="23" t="e">
        <f>EXP(-LN(2)/25)*EB163+(1-EXP(-LN(2)/25))/(LN(2)/25)*Calculateur!DW164*Calculateur!DY164*VLOOKUP('Données projet'!$B$14,Paramètres!$A$1:$I$88,3,0)*0.475*44/12</f>
        <v>#N/A</v>
      </c>
      <c r="EC164" s="23" t="e">
        <f>EXP(-LN(2)/2)*EC163+(1-EXP(-LN(2)/2))/(LN(2)/2)*DW164*DZ164*VLOOKUP('Données projet'!$B$14,Paramètres!$A$1:$I$88,3,0)*0.475*44/12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projet'!$B$15,Paramètres!$A$1:$I$88,3,0)*VLOOKUP('Données projet'!$B$15,Paramètres!$A$1:$I$88,5,0)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projet'!$B$15,Paramètres!$A$1:$I$88,7,0))</f>
        <v>0</v>
      </c>
      <c r="ET164" s="17">
        <f>IF(ISNA(VLOOKUP(A164,'Données projet'!$A$191:$I$211,6,0)),0%,VLOOKUP(A164,'Données projet'!$A$191:$I$211,6,0)*VLOOKUP('Données projet'!$B$15,Paramètres!$A$1:$I$88,7,0))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projet'!$B$15,Paramètres!$A$1:$I$88,3,0)*0.475*44/12</f>
        <v>#N/A</v>
      </c>
      <c r="EW164" s="23" t="e">
        <f>EXP(-LN(2)/25)*EW163+(1-EXP(-LN(2)/25))/(LN(2)/25)*Calculateur!ER164*Calculateur!ET164*VLOOKUP('Données projet'!$B$15,Paramètres!$A$1:$I$88,3,0)*0.475*44/12</f>
        <v>#N/A</v>
      </c>
      <c r="EX164" s="23" t="e">
        <f>EXP(-LN(2)/2)*EX163+(1-EXP(-LN(2)/2))/(LN(2)/2)*ER164*EU164*VLOOKUP('Données projet'!$B$15,Paramètres!$A$1:$I$88,3,0)*0.475*44/12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projet'!$B$16,Paramètres!$A$1:$I$88,3,0)*VLOOKUP('Données projet'!$B$16,Paramètres!$A$1:$I$88,5,0)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projet'!$B$16,Paramètres!$A$1:$I$88,7,0))</f>
        <v>0</v>
      </c>
      <c r="FO164" s="17">
        <f>IF(ISNA(VLOOKUP(A164,'Données projet'!$A$217:$I$237,6,0)),0%,VLOOKUP(A164,'Données projet'!$A$217:$I$237,6,0)*VLOOKUP('Données projet'!$B$16,Paramètres!$A$1:$I$88,7,0))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projet'!$B$16,Paramètres!$A$1:$I$88,3,0)*0.475*44/12</f>
        <v>#N/A</v>
      </c>
      <c r="FR164" s="23" t="e">
        <f>EXP(-LN(2)/25)*FR163+(1-EXP(-LN(2)/25))/(LN(2)/25)*Calculateur!FM164*Calculateur!FO164*VLOOKUP('Données projet'!$B$16,Paramètres!$A$1:$I$88,3,0)*0.475*44/12</f>
        <v>#N/A</v>
      </c>
      <c r="FS164" s="23" t="e">
        <f>EXP(-LN(2)/2)*FS163+(1-EXP(-LN(2)/2))/(LN(2)/2)*FM164*FP164*VLOOKUP('Données projet'!$B$16,Paramètres!$A$1:$I$88,3,0)*0.475*44/12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projet'!$B$17,Paramètres!$A$1:$I$88,3,0)*VLOOKUP('Données projet'!$B$17,Paramètres!$A$1:$I$88,5,0)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projet'!$B$17,Paramètres!$A$1:$I$88,7,0))</f>
        <v>0</v>
      </c>
      <c r="GJ164" s="17">
        <f>IF(ISNA(VLOOKUP(A164,'Données projet'!$A$243:$I$263,6,0)),0%,VLOOKUP(A164,'Données projet'!$A$243:$I$263,6,0)*VLOOKUP('Données projet'!$B$17,Paramètres!$A$1:$I$88,7,0))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projet'!$B$17,Paramètres!$A$1:$I$88,3,0)*0.475*44/12</f>
        <v>#N/A</v>
      </c>
      <c r="GM164" s="23" t="e">
        <f>EXP(-LN(2)/25)*GM163+(1-EXP(-LN(2)/25))/(LN(2)/25)*Calculateur!GH164*Calculateur!GJ164*VLOOKUP('Données projet'!$B$17,Paramètres!$A$1:$I$88,3,0)*0.475*44/12</f>
        <v>#N/A</v>
      </c>
      <c r="GN164" s="23" t="e">
        <f>EXP(-LN(2)/2)*GN163+(1-EXP(-LN(2)/2))/(LN(2)/2)*GH164*GK164*VLOOKUP('Données projet'!$B$17,Paramètres!$A$1:$I$88,3,0)*0.475*44/12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projet'!$B$18,Paramètres!$A$1:$I$88,3,0)*VLOOKUP('Données projet'!$B$18,Paramètres!$A$1:$I$88,5,0)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projet'!$B$18,Paramètres!$A$1:$I$88,7,0))</f>
        <v>0</v>
      </c>
      <c r="HE164" s="17">
        <f>IF(ISNA(VLOOKUP(A164,'Données projet'!$A$269:$I$289,6,0)),0%,VLOOKUP(A164,'Données projet'!$A$269:$I$289,6,0)*VLOOKUP('Données projet'!$B$18,Paramètres!$A$1:$I$88,7,0))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projet'!$B$18,Paramètres!$A$1:$I$88,3,0)*0.475*44/12</f>
        <v>#N/A</v>
      </c>
      <c r="HH164" s="23" t="e">
        <f>EXP(-LN(2)/25)*HH163+(1-EXP(-LN(2)/25))/(LN(2)/25)*Calculateur!HC164*Calculateur!HE164*VLOOKUP('Données projet'!$B$18,Paramètres!$A$1:$I$88,3,0)*0.475*44/12</f>
        <v>#N/A</v>
      </c>
      <c r="HI164" s="23" t="e">
        <f>EXP(-LN(2)/2)*HI163+(1-EXP(-LN(2)/2))/(LN(2)/2)*HC164*HF164*VLOOKUP('Données projet'!$B$18,Paramètres!$A$1:$I$88,3,0)*0.475*44/12</f>
        <v>#N/A</v>
      </c>
      <c r="HJ164" s="24" t="e">
        <f t="shared" si="190"/>
        <v>#N/A</v>
      </c>
    </row>
    <row r="165" spans="1:218" x14ac:dyDescent="0.3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4.5474735088646412E-13</v>
      </c>
      <c r="O165" s="14">
        <f>N165*VLOOKUP('Données projet'!$B$9,Paramètres!$A$1:$I$88,3,0)*VLOOKUP('Données projet'!$B$9,Paramètres!$A$1:$I$88,5,0)</f>
        <v>2.5420376914553347E-13</v>
      </c>
      <c r="P165" s="14">
        <f t="shared" si="141"/>
        <v>3.4258699088369875E-12</v>
      </c>
      <c r="Q165" s="22">
        <f t="shared" si="162"/>
        <v>6.4094616558195571E-12</v>
      </c>
      <c r="R165" s="62">
        <f t="shared" si="109"/>
        <v>287.95080179856814</v>
      </c>
      <c r="S165" s="62">
        <f ca="1">AVERAGE(OFFSET($R$3,0,0,'Données projet'!$E$9+1,1))-AVERAGE(OFFSET($H$3,0,0,'Données projet'!$E$9+1,1))</f>
        <v>367.03450586441784</v>
      </c>
      <c r="T165" s="62">
        <f t="shared" si="142"/>
        <v>413.14502442862897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projet'!$B$9,Paramètres!$A$1:$I$88,7,0))</f>
        <v>0</v>
      </c>
      <c r="X165" s="17">
        <f>IF(ISNA(VLOOKUP(A165,'Données projet'!$A$35:$I$55,6,0)),0%,VLOOKUP(A165,'Données projet'!$A$35:$I$55,6,0)*VLOOKUP('Données projet'!$B$9,Paramètres!$A$1:$I$88,7,0))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projet'!$B$9,Paramètres!$A$1:$I$88,3,0)*0.475*44/12</f>
        <v>31.765961252923894</v>
      </c>
      <c r="AA165" s="23">
        <f>EXP(-LN(2)/25)*AA164+(1-EXP(-LN(2)/25))/(LN(2)/25)*Calculateur!V165*Calculateur!X165*VLOOKUP('Données projet'!$B$9,Paramètres!$A$1:$I$88,3,0)*0.475*44/12</f>
        <v>7.8168224116473759</v>
      </c>
      <c r="AB165" s="23">
        <f>EXP(-LN(2)/2)*AB164+(1-EXP(-LN(2)/2))/(LN(2)/2)*V165*Y165*VLOOKUP('Données projet'!$B$9,Paramètres!$A$1:$I$88,3,0)*0.475*44/12</f>
        <v>0</v>
      </c>
      <c r="AC165" s="24">
        <f t="shared" si="163"/>
        <v>39.582783664571267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projet'!$B$10,Paramètres!$A$1:$I$88,3,0)*VLOOKUP('Données projet'!$B$10,Paramètres!$A$1:$I$88,5,0)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projet'!$B$10,Paramètres!$A$1:$I$88,7,0))</f>
        <v>0</v>
      </c>
      <c r="AS165" s="17">
        <f>IF(ISNA(VLOOKUP(A165,'Données projet'!$A$61:$I$81,6,0)),0%,VLOOKUP(A165,'Données projet'!$A$61:$I$81,6,0)*VLOOKUP('Données projet'!$B$10,Paramètres!$A$1:$I$88,7,0))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projet'!$B$10,Paramètres!$A$1:$I$88,3,0)*0.475*44/12</f>
        <v>#N/A</v>
      </c>
      <c r="AV165" s="23" t="e">
        <f>EXP(-LN(2)/25)*AV164+(1-EXP(-LN(2)/25))/(LN(2)/25)*Calculateur!AQ165*Calculateur!AS165*VLOOKUP('Données projet'!$B$10,Paramètres!$A$1:$I$88,3,0)*0.475*44/12</f>
        <v>#N/A</v>
      </c>
      <c r="AW165" s="23" t="e">
        <f>EXP(-LN(2)/2)*AW164+(1-EXP(-LN(2)/2))/(LN(2)/2)*AQ165*AT165*VLOOKUP('Données projet'!$B$10,Paramètres!$A$1:$I$88,3,0)*0.475*44/12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projet'!$B$11,Paramètres!$A$1:$I$88,3,0)*VLOOKUP('Données projet'!$B$11,Paramètres!$A$1:$I$88,5,0)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projet'!$B$11,Paramètres!$A$1:$I$88,7,0))</f>
        <v>0</v>
      </c>
      <c r="BN165" s="17">
        <f>IF(ISNA(VLOOKUP(A165,'Données projet'!$A$87:$I$107,6,0)),0%,VLOOKUP(A165,'Données projet'!$A$87:$I$107,6,0)*VLOOKUP('Données projet'!$B$11,Paramètres!$A$1:$I$88,7,0))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projet'!$B$11,Paramètres!$A$1:$I$88,3,0)*0.475*44/12</f>
        <v>#N/A</v>
      </c>
      <c r="BQ165" s="23" t="e">
        <f>EXP(-LN(2)/25)*BQ164+(1-EXP(-LN(2)/25))/(LN(2)/25)*Calculateur!BL165*Calculateur!BN165*VLOOKUP('Données projet'!$B$11,Paramètres!$A$1:$I$88,3,0)*0.475*44/12</f>
        <v>#N/A</v>
      </c>
      <c r="BR165" s="23" t="e">
        <f>EXP(-LN(2)/2)*BR164+(1-EXP(-LN(2)/2))/(LN(2)/2)*BL165*BO165*VLOOKUP('Données projet'!$B$11,Paramètres!$A$1:$I$88,3,0)*0.475*44/12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projet'!$B$12,Paramètres!$A$1:$I$88,3,0)*VLOOKUP('Données projet'!$B$12,Paramètres!$A$1:$I$88,5,0)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projet'!$B$12,Paramètres!$A$1:$I$88,7,0))</f>
        <v>0</v>
      </c>
      <c r="CI165" s="17">
        <f>IF(ISNA(VLOOKUP(A165,'Données projet'!$A$113:$I$133,6,0)),0%,VLOOKUP(A165,'Données projet'!$A$113:$I$133,6,0)*VLOOKUP('Données projet'!$B$12,Paramètres!$A$1:$I$88,7,0))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projet'!$B$12,Paramètres!$A$1:$I$88,3,0)*0.475*44/12</f>
        <v>#N/A</v>
      </c>
      <c r="CL165" s="23" t="e">
        <f>EXP(-LN(2)/25)*CL164+(1-EXP(-LN(2)/25))/(LN(2)/25)*Calculateur!CG165*Calculateur!CI165*VLOOKUP('Données projet'!$B$12,Paramètres!$A$1:$I$88,3,0)*0.475*44/12</f>
        <v>#N/A</v>
      </c>
      <c r="CM165" s="23" t="e">
        <f>EXP(-LN(2)/2)*CM164+(1-EXP(-LN(2)/2))/(LN(2)/2)*CG165*CJ165*VLOOKUP('Données projet'!$B$12,Paramètres!$A$1:$I$88,3,0)*0.475*44/12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projet'!$B$13,Paramètres!$A$1:$I$88,3,0)*VLOOKUP('Données projet'!$B$13,Paramètres!$A$1:$I$88,5,0)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projet'!$B$13,Paramètres!$A$1:$I$88,7,0))</f>
        <v>0</v>
      </c>
      <c r="DD165" s="17">
        <f>IF(ISNA(VLOOKUP(A165,'Données projet'!$A$139:$I$159,6,0)),0%,VLOOKUP(A165,'Données projet'!$A$139:$I$159,6,0)*VLOOKUP('Données projet'!$B$13,Paramètres!$A$1:$I$88,7,0))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projet'!$B$13,Paramètres!$A$1:$I$88,3,0)*0.475*44/12</f>
        <v>#N/A</v>
      </c>
      <c r="DG165" s="23" t="e">
        <f>EXP(-LN(2)/25)*DG164+(1-EXP(-LN(2)/25))/(LN(2)/25)*Calculateur!DB165*Calculateur!DD165*VLOOKUP('Données projet'!$B$13,Paramètres!$A$1:$I$88,3,0)*0.475*44/12</f>
        <v>#N/A</v>
      </c>
      <c r="DH165" s="23" t="e">
        <f>EXP(-LN(2)/2)*DH164+(1-EXP(-LN(2)/2))/(LN(2)/2)*DB165*DE165*VLOOKUP('Données projet'!$B$13,Paramètres!$A$1:$I$88,3,0)*0.475*44/12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projet'!$B$14,Paramètres!$A$1:$I$88,3,0)*VLOOKUP('Données projet'!$B$14,Paramètres!$A$1:$I$88,5,0)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projet'!$B$14,Paramètres!$A$1:$I$88,7,0))</f>
        <v>0</v>
      </c>
      <c r="DY165" s="17">
        <f>IF(ISNA(VLOOKUP(A165,'Données projet'!$A$165:$I$185,6,0)),0%,VLOOKUP(A165,'Données projet'!$A$165:$I$185,6,0)*VLOOKUP('Données projet'!$B$14,Paramètres!$A$1:$I$88,7,0))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projet'!$B$14,Paramètres!$A$1:$I$88,3,0)*0.475*44/12</f>
        <v>#N/A</v>
      </c>
      <c r="EB165" s="23" t="e">
        <f>EXP(-LN(2)/25)*EB164+(1-EXP(-LN(2)/25))/(LN(2)/25)*Calculateur!DW165*Calculateur!DY165*VLOOKUP('Données projet'!$B$14,Paramètres!$A$1:$I$88,3,0)*0.475*44/12</f>
        <v>#N/A</v>
      </c>
      <c r="EC165" s="23" t="e">
        <f>EXP(-LN(2)/2)*EC164+(1-EXP(-LN(2)/2))/(LN(2)/2)*DW165*DZ165*VLOOKUP('Données projet'!$B$14,Paramètres!$A$1:$I$88,3,0)*0.475*44/12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projet'!$B$15,Paramètres!$A$1:$I$88,3,0)*VLOOKUP('Données projet'!$B$15,Paramètres!$A$1:$I$88,5,0)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projet'!$B$15,Paramètres!$A$1:$I$88,7,0))</f>
        <v>0</v>
      </c>
      <c r="ET165" s="17">
        <f>IF(ISNA(VLOOKUP(A165,'Données projet'!$A$191:$I$211,6,0)),0%,VLOOKUP(A165,'Données projet'!$A$191:$I$211,6,0)*VLOOKUP('Données projet'!$B$15,Paramètres!$A$1:$I$88,7,0))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projet'!$B$15,Paramètres!$A$1:$I$88,3,0)*0.475*44/12</f>
        <v>#N/A</v>
      </c>
      <c r="EW165" s="23" t="e">
        <f>EXP(-LN(2)/25)*EW164+(1-EXP(-LN(2)/25))/(LN(2)/25)*Calculateur!ER165*Calculateur!ET165*VLOOKUP('Données projet'!$B$15,Paramètres!$A$1:$I$88,3,0)*0.475*44/12</f>
        <v>#N/A</v>
      </c>
      <c r="EX165" s="23" t="e">
        <f>EXP(-LN(2)/2)*EX164+(1-EXP(-LN(2)/2))/(LN(2)/2)*ER165*EU165*VLOOKUP('Données projet'!$B$15,Paramètres!$A$1:$I$88,3,0)*0.475*44/12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projet'!$B$16,Paramètres!$A$1:$I$88,3,0)*VLOOKUP('Données projet'!$B$16,Paramètres!$A$1:$I$88,5,0)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projet'!$B$16,Paramètres!$A$1:$I$88,7,0))</f>
        <v>0</v>
      </c>
      <c r="FO165" s="17">
        <f>IF(ISNA(VLOOKUP(A165,'Données projet'!$A$217:$I$237,6,0)),0%,VLOOKUP(A165,'Données projet'!$A$217:$I$237,6,0)*VLOOKUP('Données projet'!$B$16,Paramètres!$A$1:$I$88,7,0))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projet'!$B$16,Paramètres!$A$1:$I$88,3,0)*0.475*44/12</f>
        <v>#N/A</v>
      </c>
      <c r="FR165" s="23" t="e">
        <f>EXP(-LN(2)/25)*FR164+(1-EXP(-LN(2)/25))/(LN(2)/25)*Calculateur!FM165*Calculateur!FO165*VLOOKUP('Données projet'!$B$16,Paramètres!$A$1:$I$88,3,0)*0.475*44/12</f>
        <v>#N/A</v>
      </c>
      <c r="FS165" s="23" t="e">
        <f>EXP(-LN(2)/2)*FS164+(1-EXP(-LN(2)/2))/(LN(2)/2)*FM165*FP165*VLOOKUP('Données projet'!$B$16,Paramètres!$A$1:$I$88,3,0)*0.475*44/12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projet'!$B$17,Paramètres!$A$1:$I$88,3,0)*VLOOKUP('Données projet'!$B$17,Paramètres!$A$1:$I$88,5,0)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projet'!$B$17,Paramètres!$A$1:$I$88,7,0))</f>
        <v>0</v>
      </c>
      <c r="GJ165" s="17">
        <f>IF(ISNA(VLOOKUP(A165,'Données projet'!$A$243:$I$263,6,0)),0%,VLOOKUP(A165,'Données projet'!$A$243:$I$263,6,0)*VLOOKUP('Données projet'!$B$17,Paramètres!$A$1:$I$88,7,0))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projet'!$B$17,Paramètres!$A$1:$I$88,3,0)*0.475*44/12</f>
        <v>#N/A</v>
      </c>
      <c r="GM165" s="23" t="e">
        <f>EXP(-LN(2)/25)*GM164+(1-EXP(-LN(2)/25))/(LN(2)/25)*Calculateur!GH165*Calculateur!GJ165*VLOOKUP('Données projet'!$B$17,Paramètres!$A$1:$I$88,3,0)*0.475*44/12</f>
        <v>#N/A</v>
      </c>
      <c r="GN165" s="23" t="e">
        <f>EXP(-LN(2)/2)*GN164+(1-EXP(-LN(2)/2))/(LN(2)/2)*GH165*GK165*VLOOKUP('Données projet'!$B$17,Paramètres!$A$1:$I$88,3,0)*0.475*44/12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projet'!$B$18,Paramètres!$A$1:$I$88,3,0)*VLOOKUP('Données projet'!$B$18,Paramètres!$A$1:$I$88,5,0)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projet'!$B$18,Paramètres!$A$1:$I$88,7,0))</f>
        <v>0</v>
      </c>
      <c r="HE165" s="17">
        <f>IF(ISNA(VLOOKUP(A165,'Données projet'!$A$269:$I$289,6,0)),0%,VLOOKUP(A165,'Données projet'!$A$269:$I$289,6,0)*VLOOKUP('Données projet'!$B$18,Paramètres!$A$1:$I$88,7,0))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projet'!$B$18,Paramètres!$A$1:$I$88,3,0)*0.475*44/12</f>
        <v>#N/A</v>
      </c>
      <c r="HH165" s="23" t="e">
        <f>EXP(-LN(2)/25)*HH164+(1-EXP(-LN(2)/25))/(LN(2)/25)*Calculateur!HC165*Calculateur!HE165*VLOOKUP('Données projet'!$B$18,Paramètres!$A$1:$I$88,3,0)*0.475*44/12</f>
        <v>#N/A</v>
      </c>
      <c r="HI165" s="23" t="e">
        <f>EXP(-LN(2)/2)*HI164+(1-EXP(-LN(2)/2))/(LN(2)/2)*HC165*HF165*VLOOKUP('Données projet'!$B$18,Paramètres!$A$1:$I$88,3,0)*0.475*44/12</f>
        <v>#N/A</v>
      </c>
      <c r="HJ165" s="24" t="e">
        <f t="shared" si="190"/>
        <v>#N/A</v>
      </c>
    </row>
    <row r="166" spans="1:218" x14ac:dyDescent="0.3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4.5474735088646412E-13</v>
      </c>
      <c r="O166" s="14">
        <f>N166*VLOOKUP('Données projet'!$B$9,Paramètres!$A$1:$I$88,3,0)*VLOOKUP('Données projet'!$B$9,Paramètres!$A$1:$I$88,5,0)</f>
        <v>2.5420376914553347E-13</v>
      </c>
      <c r="P166" s="14">
        <f t="shared" si="141"/>
        <v>3.4258699088369875E-12</v>
      </c>
      <c r="Q166" s="22">
        <f t="shared" si="162"/>
        <v>6.4094616558195571E-12</v>
      </c>
      <c r="R166" s="62">
        <f t="shared" si="109"/>
        <v>288.04417668715865</v>
      </c>
      <c r="S166" s="62">
        <f ca="1">AVERAGE(OFFSET($R$3,0,0,'Données projet'!$E$9+1,1))-AVERAGE(OFFSET($H$3,0,0,'Données projet'!$E$9+1,1))</f>
        <v>367.03450586441784</v>
      </c>
      <c r="T166" s="62">
        <f t="shared" si="142"/>
        <v>413.14502442862897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projet'!$B$9,Paramètres!$A$1:$I$88,7,0))</f>
        <v>0</v>
      </c>
      <c r="X166" s="17">
        <f>IF(ISNA(VLOOKUP(A166,'Données projet'!$A$35:$I$55,6,0)),0%,VLOOKUP(A166,'Données projet'!$A$35:$I$55,6,0)*VLOOKUP('Données projet'!$B$9,Paramètres!$A$1:$I$88,7,0))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projet'!$B$9,Paramètres!$A$1:$I$88,3,0)*0.475*44/12</f>
        <v>31.143050128077267</v>
      </c>
      <c r="AA166" s="23">
        <f>EXP(-LN(2)/25)*AA165+(1-EXP(-LN(2)/25))/(LN(2)/25)*Calculateur!V166*Calculateur!X166*VLOOKUP('Données projet'!$B$9,Paramètres!$A$1:$I$88,3,0)*0.475*44/12</f>
        <v>7.6030709917320536</v>
      </c>
      <c r="AB166" s="23">
        <f>EXP(-LN(2)/2)*AB165+(1-EXP(-LN(2)/2))/(LN(2)/2)*V166*Y166*VLOOKUP('Données projet'!$B$9,Paramètres!$A$1:$I$88,3,0)*0.475*44/12</f>
        <v>0</v>
      </c>
      <c r="AC166" s="24">
        <f t="shared" si="163"/>
        <v>38.746121119809317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projet'!$B$10,Paramètres!$A$1:$I$88,3,0)*VLOOKUP('Données projet'!$B$10,Paramètres!$A$1:$I$88,5,0)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projet'!$B$10,Paramètres!$A$1:$I$88,7,0))</f>
        <v>0</v>
      </c>
      <c r="AS166" s="17">
        <f>IF(ISNA(VLOOKUP(A166,'Données projet'!$A$61:$I$81,6,0)),0%,VLOOKUP(A166,'Données projet'!$A$61:$I$81,6,0)*VLOOKUP('Données projet'!$B$10,Paramètres!$A$1:$I$88,7,0))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projet'!$B$10,Paramètres!$A$1:$I$88,3,0)*0.475*44/12</f>
        <v>#N/A</v>
      </c>
      <c r="AV166" s="23" t="e">
        <f>EXP(-LN(2)/25)*AV165+(1-EXP(-LN(2)/25))/(LN(2)/25)*Calculateur!AQ166*Calculateur!AS166*VLOOKUP('Données projet'!$B$10,Paramètres!$A$1:$I$88,3,0)*0.475*44/12</f>
        <v>#N/A</v>
      </c>
      <c r="AW166" s="23" t="e">
        <f>EXP(-LN(2)/2)*AW165+(1-EXP(-LN(2)/2))/(LN(2)/2)*AQ166*AT166*VLOOKUP('Données projet'!$B$10,Paramètres!$A$1:$I$88,3,0)*0.475*44/12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projet'!$B$11,Paramètres!$A$1:$I$88,3,0)*VLOOKUP('Données projet'!$B$11,Paramètres!$A$1:$I$88,5,0)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projet'!$B$11,Paramètres!$A$1:$I$88,7,0))</f>
        <v>0</v>
      </c>
      <c r="BN166" s="17">
        <f>IF(ISNA(VLOOKUP(A166,'Données projet'!$A$87:$I$107,6,0)),0%,VLOOKUP(A166,'Données projet'!$A$87:$I$107,6,0)*VLOOKUP('Données projet'!$B$11,Paramètres!$A$1:$I$88,7,0))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projet'!$B$11,Paramètres!$A$1:$I$88,3,0)*0.475*44/12</f>
        <v>#N/A</v>
      </c>
      <c r="BQ166" s="23" t="e">
        <f>EXP(-LN(2)/25)*BQ165+(1-EXP(-LN(2)/25))/(LN(2)/25)*Calculateur!BL166*Calculateur!BN166*VLOOKUP('Données projet'!$B$11,Paramètres!$A$1:$I$88,3,0)*0.475*44/12</f>
        <v>#N/A</v>
      </c>
      <c r="BR166" s="23" t="e">
        <f>EXP(-LN(2)/2)*BR165+(1-EXP(-LN(2)/2))/(LN(2)/2)*BL166*BO166*VLOOKUP('Données projet'!$B$11,Paramètres!$A$1:$I$88,3,0)*0.475*44/12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projet'!$B$12,Paramètres!$A$1:$I$88,3,0)*VLOOKUP('Données projet'!$B$12,Paramètres!$A$1:$I$88,5,0)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projet'!$B$12,Paramètres!$A$1:$I$88,7,0))</f>
        <v>0</v>
      </c>
      <c r="CI166" s="17">
        <f>IF(ISNA(VLOOKUP(A166,'Données projet'!$A$113:$I$133,6,0)),0%,VLOOKUP(A166,'Données projet'!$A$113:$I$133,6,0)*VLOOKUP('Données projet'!$B$12,Paramètres!$A$1:$I$88,7,0))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projet'!$B$12,Paramètres!$A$1:$I$88,3,0)*0.475*44/12</f>
        <v>#N/A</v>
      </c>
      <c r="CL166" s="23" t="e">
        <f>EXP(-LN(2)/25)*CL165+(1-EXP(-LN(2)/25))/(LN(2)/25)*Calculateur!CG166*Calculateur!CI166*VLOOKUP('Données projet'!$B$12,Paramètres!$A$1:$I$88,3,0)*0.475*44/12</f>
        <v>#N/A</v>
      </c>
      <c r="CM166" s="23" t="e">
        <f>EXP(-LN(2)/2)*CM165+(1-EXP(-LN(2)/2))/(LN(2)/2)*CG166*CJ166*VLOOKUP('Données projet'!$B$12,Paramètres!$A$1:$I$88,3,0)*0.475*44/12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projet'!$B$13,Paramètres!$A$1:$I$88,3,0)*VLOOKUP('Données projet'!$B$13,Paramètres!$A$1:$I$88,5,0)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projet'!$B$13,Paramètres!$A$1:$I$88,7,0))</f>
        <v>0</v>
      </c>
      <c r="DD166" s="17">
        <f>IF(ISNA(VLOOKUP(A166,'Données projet'!$A$139:$I$159,6,0)),0%,VLOOKUP(A166,'Données projet'!$A$139:$I$159,6,0)*VLOOKUP('Données projet'!$B$13,Paramètres!$A$1:$I$88,7,0))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projet'!$B$13,Paramètres!$A$1:$I$88,3,0)*0.475*44/12</f>
        <v>#N/A</v>
      </c>
      <c r="DG166" s="23" t="e">
        <f>EXP(-LN(2)/25)*DG165+(1-EXP(-LN(2)/25))/(LN(2)/25)*Calculateur!DB166*Calculateur!DD166*VLOOKUP('Données projet'!$B$13,Paramètres!$A$1:$I$88,3,0)*0.475*44/12</f>
        <v>#N/A</v>
      </c>
      <c r="DH166" s="23" t="e">
        <f>EXP(-LN(2)/2)*DH165+(1-EXP(-LN(2)/2))/(LN(2)/2)*DB166*DE166*VLOOKUP('Données projet'!$B$13,Paramètres!$A$1:$I$88,3,0)*0.475*44/12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projet'!$B$14,Paramètres!$A$1:$I$88,3,0)*VLOOKUP('Données projet'!$B$14,Paramètres!$A$1:$I$88,5,0)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projet'!$B$14,Paramètres!$A$1:$I$88,7,0))</f>
        <v>0</v>
      </c>
      <c r="DY166" s="17">
        <f>IF(ISNA(VLOOKUP(A166,'Données projet'!$A$165:$I$185,6,0)),0%,VLOOKUP(A166,'Données projet'!$A$165:$I$185,6,0)*VLOOKUP('Données projet'!$B$14,Paramètres!$A$1:$I$88,7,0))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projet'!$B$14,Paramètres!$A$1:$I$88,3,0)*0.475*44/12</f>
        <v>#N/A</v>
      </c>
      <c r="EB166" s="23" t="e">
        <f>EXP(-LN(2)/25)*EB165+(1-EXP(-LN(2)/25))/(LN(2)/25)*Calculateur!DW166*Calculateur!DY166*VLOOKUP('Données projet'!$B$14,Paramètres!$A$1:$I$88,3,0)*0.475*44/12</f>
        <v>#N/A</v>
      </c>
      <c r="EC166" s="23" t="e">
        <f>EXP(-LN(2)/2)*EC165+(1-EXP(-LN(2)/2))/(LN(2)/2)*DW166*DZ166*VLOOKUP('Données projet'!$B$14,Paramètres!$A$1:$I$88,3,0)*0.475*44/12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projet'!$B$15,Paramètres!$A$1:$I$88,3,0)*VLOOKUP('Données projet'!$B$15,Paramètres!$A$1:$I$88,5,0)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projet'!$B$15,Paramètres!$A$1:$I$88,7,0))</f>
        <v>0</v>
      </c>
      <c r="ET166" s="17">
        <f>IF(ISNA(VLOOKUP(A166,'Données projet'!$A$191:$I$211,6,0)),0%,VLOOKUP(A166,'Données projet'!$A$191:$I$211,6,0)*VLOOKUP('Données projet'!$B$15,Paramètres!$A$1:$I$88,7,0))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projet'!$B$15,Paramètres!$A$1:$I$88,3,0)*0.475*44/12</f>
        <v>#N/A</v>
      </c>
      <c r="EW166" s="23" t="e">
        <f>EXP(-LN(2)/25)*EW165+(1-EXP(-LN(2)/25))/(LN(2)/25)*Calculateur!ER166*Calculateur!ET166*VLOOKUP('Données projet'!$B$15,Paramètres!$A$1:$I$88,3,0)*0.475*44/12</f>
        <v>#N/A</v>
      </c>
      <c r="EX166" s="23" t="e">
        <f>EXP(-LN(2)/2)*EX165+(1-EXP(-LN(2)/2))/(LN(2)/2)*ER166*EU166*VLOOKUP('Données projet'!$B$15,Paramètres!$A$1:$I$88,3,0)*0.475*44/12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projet'!$B$16,Paramètres!$A$1:$I$88,3,0)*VLOOKUP('Données projet'!$B$16,Paramètres!$A$1:$I$88,5,0)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projet'!$B$16,Paramètres!$A$1:$I$88,7,0))</f>
        <v>0</v>
      </c>
      <c r="FO166" s="17">
        <f>IF(ISNA(VLOOKUP(A166,'Données projet'!$A$217:$I$237,6,0)),0%,VLOOKUP(A166,'Données projet'!$A$217:$I$237,6,0)*VLOOKUP('Données projet'!$B$16,Paramètres!$A$1:$I$88,7,0))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projet'!$B$16,Paramètres!$A$1:$I$88,3,0)*0.475*44/12</f>
        <v>#N/A</v>
      </c>
      <c r="FR166" s="23" t="e">
        <f>EXP(-LN(2)/25)*FR165+(1-EXP(-LN(2)/25))/(LN(2)/25)*Calculateur!FM166*Calculateur!FO166*VLOOKUP('Données projet'!$B$16,Paramètres!$A$1:$I$88,3,0)*0.475*44/12</f>
        <v>#N/A</v>
      </c>
      <c r="FS166" s="23" t="e">
        <f>EXP(-LN(2)/2)*FS165+(1-EXP(-LN(2)/2))/(LN(2)/2)*FM166*FP166*VLOOKUP('Données projet'!$B$16,Paramètres!$A$1:$I$88,3,0)*0.475*44/12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projet'!$B$17,Paramètres!$A$1:$I$88,3,0)*VLOOKUP('Données projet'!$B$17,Paramètres!$A$1:$I$88,5,0)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projet'!$B$17,Paramètres!$A$1:$I$88,7,0))</f>
        <v>0</v>
      </c>
      <c r="GJ166" s="17">
        <f>IF(ISNA(VLOOKUP(A166,'Données projet'!$A$243:$I$263,6,0)),0%,VLOOKUP(A166,'Données projet'!$A$243:$I$263,6,0)*VLOOKUP('Données projet'!$B$17,Paramètres!$A$1:$I$88,7,0))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projet'!$B$17,Paramètres!$A$1:$I$88,3,0)*0.475*44/12</f>
        <v>#N/A</v>
      </c>
      <c r="GM166" s="23" t="e">
        <f>EXP(-LN(2)/25)*GM165+(1-EXP(-LN(2)/25))/(LN(2)/25)*Calculateur!GH166*Calculateur!GJ166*VLOOKUP('Données projet'!$B$17,Paramètres!$A$1:$I$88,3,0)*0.475*44/12</f>
        <v>#N/A</v>
      </c>
      <c r="GN166" s="23" t="e">
        <f>EXP(-LN(2)/2)*GN165+(1-EXP(-LN(2)/2))/(LN(2)/2)*GH166*GK166*VLOOKUP('Données projet'!$B$17,Paramètres!$A$1:$I$88,3,0)*0.475*44/12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projet'!$B$18,Paramètres!$A$1:$I$88,3,0)*VLOOKUP('Données projet'!$B$18,Paramètres!$A$1:$I$88,5,0)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projet'!$B$18,Paramètres!$A$1:$I$88,7,0))</f>
        <v>0</v>
      </c>
      <c r="HE166" s="17">
        <f>IF(ISNA(VLOOKUP(A166,'Données projet'!$A$269:$I$289,6,0)),0%,VLOOKUP(A166,'Données projet'!$A$269:$I$289,6,0)*VLOOKUP('Données projet'!$B$18,Paramètres!$A$1:$I$88,7,0))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projet'!$B$18,Paramètres!$A$1:$I$88,3,0)*0.475*44/12</f>
        <v>#N/A</v>
      </c>
      <c r="HH166" s="23" t="e">
        <f>EXP(-LN(2)/25)*HH165+(1-EXP(-LN(2)/25))/(LN(2)/25)*Calculateur!HC166*Calculateur!HE166*VLOOKUP('Données projet'!$B$18,Paramètres!$A$1:$I$88,3,0)*0.475*44/12</f>
        <v>#N/A</v>
      </c>
      <c r="HI166" s="23" t="e">
        <f>EXP(-LN(2)/2)*HI165+(1-EXP(-LN(2)/2))/(LN(2)/2)*HC166*HF166*VLOOKUP('Données projet'!$B$18,Paramètres!$A$1:$I$88,3,0)*0.475*44/12</f>
        <v>#N/A</v>
      </c>
      <c r="HJ166" s="24" t="e">
        <f t="shared" si="190"/>
        <v>#N/A</v>
      </c>
    </row>
    <row r="167" spans="1:218" x14ac:dyDescent="0.3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4.5474735088646412E-13</v>
      </c>
      <c r="O167" s="14">
        <f>N167*VLOOKUP('Données projet'!$B$9,Paramètres!$A$1:$I$88,3,0)*VLOOKUP('Données projet'!$B$9,Paramètres!$A$1:$I$88,5,0)</f>
        <v>2.5420376914553347E-13</v>
      </c>
      <c r="P167" s="14">
        <f t="shared" si="141"/>
        <v>3.4258699088369875E-12</v>
      </c>
      <c r="Q167" s="22">
        <f t="shared" si="162"/>
        <v>6.4094616558195571E-12</v>
      </c>
      <c r="R167" s="62">
        <f t="shared" si="109"/>
        <v>288.13593173018711</v>
      </c>
      <c r="S167" s="62">
        <f ca="1">AVERAGE(OFFSET($R$3,0,0,'Données projet'!$E$9+1,1))-AVERAGE(OFFSET($H$3,0,0,'Données projet'!$E$9+1,1))</f>
        <v>367.03450586441784</v>
      </c>
      <c r="T167" s="62">
        <f t="shared" si="142"/>
        <v>413.14502442862897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projet'!$B$9,Paramètres!$A$1:$I$88,7,0))</f>
        <v>0</v>
      </c>
      <c r="X167" s="17">
        <f>IF(ISNA(VLOOKUP(A167,'Données projet'!$A$35:$I$55,6,0)),0%,VLOOKUP(A167,'Données projet'!$A$35:$I$55,6,0)*VLOOKUP('Données projet'!$B$9,Paramètres!$A$1:$I$88,7,0))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projet'!$B$9,Paramètres!$A$1:$I$88,3,0)*0.475*44/12</f>
        <v>30.53235391045061</v>
      </c>
      <c r="AA167" s="23">
        <f>EXP(-LN(2)/25)*AA166+(1-EXP(-LN(2)/25))/(LN(2)/25)*Calculateur!V167*Calculateur!X167*VLOOKUP('Données projet'!$B$9,Paramètres!$A$1:$I$88,3,0)*0.475*44/12</f>
        <v>7.3951646156350144</v>
      </c>
      <c r="AB167" s="23">
        <f>EXP(-LN(2)/2)*AB166+(1-EXP(-LN(2)/2))/(LN(2)/2)*V167*Y167*VLOOKUP('Données projet'!$B$9,Paramètres!$A$1:$I$88,3,0)*0.475*44/12</f>
        <v>0</v>
      </c>
      <c r="AC167" s="24">
        <f t="shared" si="163"/>
        <v>37.92751852608562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projet'!$B$10,Paramètres!$A$1:$I$88,3,0)*VLOOKUP('Données projet'!$B$10,Paramètres!$A$1:$I$88,5,0)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projet'!$B$10,Paramètres!$A$1:$I$88,7,0))</f>
        <v>0</v>
      </c>
      <c r="AS167" s="17">
        <f>IF(ISNA(VLOOKUP(A167,'Données projet'!$A$61:$I$81,6,0)),0%,VLOOKUP(A167,'Données projet'!$A$61:$I$81,6,0)*VLOOKUP('Données projet'!$B$10,Paramètres!$A$1:$I$88,7,0))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projet'!$B$10,Paramètres!$A$1:$I$88,3,0)*0.475*44/12</f>
        <v>#N/A</v>
      </c>
      <c r="AV167" s="23" t="e">
        <f>EXP(-LN(2)/25)*AV166+(1-EXP(-LN(2)/25))/(LN(2)/25)*Calculateur!AQ167*Calculateur!AS167*VLOOKUP('Données projet'!$B$10,Paramètres!$A$1:$I$88,3,0)*0.475*44/12</f>
        <v>#N/A</v>
      </c>
      <c r="AW167" s="23" t="e">
        <f>EXP(-LN(2)/2)*AW166+(1-EXP(-LN(2)/2))/(LN(2)/2)*AQ167*AT167*VLOOKUP('Données projet'!$B$10,Paramètres!$A$1:$I$88,3,0)*0.475*44/12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projet'!$B$11,Paramètres!$A$1:$I$88,3,0)*VLOOKUP('Données projet'!$B$11,Paramètres!$A$1:$I$88,5,0)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projet'!$B$11,Paramètres!$A$1:$I$88,7,0))</f>
        <v>0</v>
      </c>
      <c r="BN167" s="17">
        <f>IF(ISNA(VLOOKUP(A167,'Données projet'!$A$87:$I$107,6,0)),0%,VLOOKUP(A167,'Données projet'!$A$87:$I$107,6,0)*VLOOKUP('Données projet'!$B$11,Paramètres!$A$1:$I$88,7,0))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projet'!$B$11,Paramètres!$A$1:$I$88,3,0)*0.475*44/12</f>
        <v>#N/A</v>
      </c>
      <c r="BQ167" s="23" t="e">
        <f>EXP(-LN(2)/25)*BQ166+(1-EXP(-LN(2)/25))/(LN(2)/25)*Calculateur!BL167*Calculateur!BN167*VLOOKUP('Données projet'!$B$11,Paramètres!$A$1:$I$88,3,0)*0.475*44/12</f>
        <v>#N/A</v>
      </c>
      <c r="BR167" s="23" t="e">
        <f>EXP(-LN(2)/2)*BR166+(1-EXP(-LN(2)/2))/(LN(2)/2)*BL167*BO167*VLOOKUP('Données projet'!$B$11,Paramètres!$A$1:$I$88,3,0)*0.475*44/12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projet'!$B$12,Paramètres!$A$1:$I$88,3,0)*VLOOKUP('Données projet'!$B$12,Paramètres!$A$1:$I$88,5,0)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projet'!$B$12,Paramètres!$A$1:$I$88,7,0))</f>
        <v>0</v>
      </c>
      <c r="CI167" s="17">
        <f>IF(ISNA(VLOOKUP(A167,'Données projet'!$A$113:$I$133,6,0)),0%,VLOOKUP(A167,'Données projet'!$A$113:$I$133,6,0)*VLOOKUP('Données projet'!$B$12,Paramètres!$A$1:$I$88,7,0))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projet'!$B$12,Paramètres!$A$1:$I$88,3,0)*0.475*44/12</f>
        <v>#N/A</v>
      </c>
      <c r="CL167" s="23" t="e">
        <f>EXP(-LN(2)/25)*CL166+(1-EXP(-LN(2)/25))/(LN(2)/25)*Calculateur!CG167*Calculateur!CI167*VLOOKUP('Données projet'!$B$12,Paramètres!$A$1:$I$88,3,0)*0.475*44/12</f>
        <v>#N/A</v>
      </c>
      <c r="CM167" s="23" t="e">
        <f>EXP(-LN(2)/2)*CM166+(1-EXP(-LN(2)/2))/(LN(2)/2)*CG167*CJ167*VLOOKUP('Données projet'!$B$12,Paramètres!$A$1:$I$88,3,0)*0.475*44/12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projet'!$B$13,Paramètres!$A$1:$I$88,3,0)*VLOOKUP('Données projet'!$B$13,Paramètres!$A$1:$I$88,5,0)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projet'!$B$13,Paramètres!$A$1:$I$88,7,0))</f>
        <v>0</v>
      </c>
      <c r="DD167" s="17">
        <f>IF(ISNA(VLOOKUP(A167,'Données projet'!$A$139:$I$159,6,0)),0%,VLOOKUP(A167,'Données projet'!$A$139:$I$159,6,0)*VLOOKUP('Données projet'!$B$13,Paramètres!$A$1:$I$88,7,0))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projet'!$B$13,Paramètres!$A$1:$I$88,3,0)*0.475*44/12</f>
        <v>#N/A</v>
      </c>
      <c r="DG167" s="23" t="e">
        <f>EXP(-LN(2)/25)*DG166+(1-EXP(-LN(2)/25))/(LN(2)/25)*Calculateur!DB167*Calculateur!DD167*VLOOKUP('Données projet'!$B$13,Paramètres!$A$1:$I$88,3,0)*0.475*44/12</f>
        <v>#N/A</v>
      </c>
      <c r="DH167" s="23" t="e">
        <f>EXP(-LN(2)/2)*DH166+(1-EXP(-LN(2)/2))/(LN(2)/2)*DB167*DE167*VLOOKUP('Données projet'!$B$13,Paramètres!$A$1:$I$88,3,0)*0.475*44/12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projet'!$B$14,Paramètres!$A$1:$I$88,3,0)*VLOOKUP('Données projet'!$B$14,Paramètres!$A$1:$I$88,5,0)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projet'!$B$14,Paramètres!$A$1:$I$88,7,0))</f>
        <v>0</v>
      </c>
      <c r="DY167" s="17">
        <f>IF(ISNA(VLOOKUP(A167,'Données projet'!$A$165:$I$185,6,0)),0%,VLOOKUP(A167,'Données projet'!$A$165:$I$185,6,0)*VLOOKUP('Données projet'!$B$14,Paramètres!$A$1:$I$88,7,0))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projet'!$B$14,Paramètres!$A$1:$I$88,3,0)*0.475*44/12</f>
        <v>#N/A</v>
      </c>
      <c r="EB167" s="23" t="e">
        <f>EXP(-LN(2)/25)*EB166+(1-EXP(-LN(2)/25))/(LN(2)/25)*Calculateur!DW167*Calculateur!DY167*VLOOKUP('Données projet'!$B$14,Paramètres!$A$1:$I$88,3,0)*0.475*44/12</f>
        <v>#N/A</v>
      </c>
      <c r="EC167" s="23" t="e">
        <f>EXP(-LN(2)/2)*EC166+(1-EXP(-LN(2)/2))/(LN(2)/2)*DW167*DZ167*VLOOKUP('Données projet'!$B$14,Paramètres!$A$1:$I$88,3,0)*0.475*44/12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projet'!$B$15,Paramètres!$A$1:$I$88,3,0)*VLOOKUP('Données projet'!$B$15,Paramètres!$A$1:$I$88,5,0)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projet'!$B$15,Paramètres!$A$1:$I$88,7,0))</f>
        <v>0</v>
      </c>
      <c r="ET167" s="17">
        <f>IF(ISNA(VLOOKUP(A167,'Données projet'!$A$191:$I$211,6,0)),0%,VLOOKUP(A167,'Données projet'!$A$191:$I$211,6,0)*VLOOKUP('Données projet'!$B$15,Paramètres!$A$1:$I$88,7,0))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projet'!$B$15,Paramètres!$A$1:$I$88,3,0)*0.475*44/12</f>
        <v>#N/A</v>
      </c>
      <c r="EW167" s="23" t="e">
        <f>EXP(-LN(2)/25)*EW166+(1-EXP(-LN(2)/25))/(LN(2)/25)*Calculateur!ER167*Calculateur!ET167*VLOOKUP('Données projet'!$B$15,Paramètres!$A$1:$I$88,3,0)*0.475*44/12</f>
        <v>#N/A</v>
      </c>
      <c r="EX167" s="23" t="e">
        <f>EXP(-LN(2)/2)*EX166+(1-EXP(-LN(2)/2))/(LN(2)/2)*ER167*EU167*VLOOKUP('Données projet'!$B$15,Paramètres!$A$1:$I$88,3,0)*0.475*44/12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projet'!$B$16,Paramètres!$A$1:$I$88,3,0)*VLOOKUP('Données projet'!$B$16,Paramètres!$A$1:$I$88,5,0)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projet'!$B$16,Paramètres!$A$1:$I$88,7,0))</f>
        <v>0</v>
      </c>
      <c r="FO167" s="17">
        <f>IF(ISNA(VLOOKUP(A167,'Données projet'!$A$217:$I$237,6,0)),0%,VLOOKUP(A167,'Données projet'!$A$217:$I$237,6,0)*VLOOKUP('Données projet'!$B$16,Paramètres!$A$1:$I$88,7,0))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projet'!$B$16,Paramètres!$A$1:$I$88,3,0)*0.475*44/12</f>
        <v>#N/A</v>
      </c>
      <c r="FR167" s="23" t="e">
        <f>EXP(-LN(2)/25)*FR166+(1-EXP(-LN(2)/25))/(LN(2)/25)*Calculateur!FM167*Calculateur!FO167*VLOOKUP('Données projet'!$B$16,Paramètres!$A$1:$I$88,3,0)*0.475*44/12</f>
        <v>#N/A</v>
      </c>
      <c r="FS167" s="23" t="e">
        <f>EXP(-LN(2)/2)*FS166+(1-EXP(-LN(2)/2))/(LN(2)/2)*FM167*FP167*VLOOKUP('Données projet'!$B$16,Paramètres!$A$1:$I$88,3,0)*0.475*44/12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projet'!$B$17,Paramètres!$A$1:$I$88,3,0)*VLOOKUP('Données projet'!$B$17,Paramètres!$A$1:$I$88,5,0)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projet'!$B$17,Paramètres!$A$1:$I$88,7,0))</f>
        <v>0</v>
      </c>
      <c r="GJ167" s="17">
        <f>IF(ISNA(VLOOKUP(A167,'Données projet'!$A$243:$I$263,6,0)),0%,VLOOKUP(A167,'Données projet'!$A$243:$I$263,6,0)*VLOOKUP('Données projet'!$B$17,Paramètres!$A$1:$I$88,7,0))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projet'!$B$17,Paramètres!$A$1:$I$88,3,0)*0.475*44/12</f>
        <v>#N/A</v>
      </c>
      <c r="GM167" s="23" t="e">
        <f>EXP(-LN(2)/25)*GM166+(1-EXP(-LN(2)/25))/(LN(2)/25)*Calculateur!GH167*Calculateur!GJ167*VLOOKUP('Données projet'!$B$17,Paramètres!$A$1:$I$88,3,0)*0.475*44/12</f>
        <v>#N/A</v>
      </c>
      <c r="GN167" s="23" t="e">
        <f>EXP(-LN(2)/2)*GN166+(1-EXP(-LN(2)/2))/(LN(2)/2)*GH167*GK167*VLOOKUP('Données projet'!$B$17,Paramètres!$A$1:$I$88,3,0)*0.475*44/12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projet'!$B$18,Paramètres!$A$1:$I$88,3,0)*VLOOKUP('Données projet'!$B$18,Paramètres!$A$1:$I$88,5,0)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projet'!$B$18,Paramètres!$A$1:$I$88,7,0))</f>
        <v>0</v>
      </c>
      <c r="HE167" s="17">
        <f>IF(ISNA(VLOOKUP(A167,'Données projet'!$A$269:$I$289,6,0)),0%,VLOOKUP(A167,'Données projet'!$A$269:$I$289,6,0)*VLOOKUP('Données projet'!$B$18,Paramètres!$A$1:$I$88,7,0))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projet'!$B$18,Paramètres!$A$1:$I$88,3,0)*0.475*44/12</f>
        <v>#N/A</v>
      </c>
      <c r="HH167" s="23" t="e">
        <f>EXP(-LN(2)/25)*HH166+(1-EXP(-LN(2)/25))/(LN(2)/25)*Calculateur!HC167*Calculateur!HE167*VLOOKUP('Données projet'!$B$18,Paramètres!$A$1:$I$88,3,0)*0.475*44/12</f>
        <v>#N/A</v>
      </c>
      <c r="HI167" s="23" t="e">
        <f>EXP(-LN(2)/2)*HI166+(1-EXP(-LN(2)/2))/(LN(2)/2)*HC167*HF167*VLOOKUP('Données projet'!$B$18,Paramètres!$A$1:$I$88,3,0)*0.475*44/12</f>
        <v>#N/A</v>
      </c>
      <c r="HJ167" s="24" t="e">
        <f t="shared" si="190"/>
        <v>#N/A</v>
      </c>
    </row>
    <row r="168" spans="1:218" x14ac:dyDescent="0.3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4.5474735088646412E-13</v>
      </c>
      <c r="O168" s="14">
        <f>N168*VLOOKUP('Données projet'!$B$9,Paramètres!$A$1:$I$88,3,0)*VLOOKUP('Données projet'!$B$9,Paramètres!$A$1:$I$88,5,0)</f>
        <v>2.5420376914553347E-13</v>
      </c>
      <c r="P168" s="14">
        <f t="shared" si="141"/>
        <v>3.4258699088369875E-12</v>
      </c>
      <c r="Q168" s="22">
        <f t="shared" si="162"/>
        <v>6.4094616558195571E-12</v>
      </c>
      <c r="R168" s="62">
        <f t="shared" si="109"/>
        <v>288.22609502835257</v>
      </c>
      <c r="S168" s="62">
        <f ca="1">AVERAGE(OFFSET($R$3,0,0,'Données projet'!$E$9+1,1))-AVERAGE(OFFSET($H$3,0,0,'Données projet'!$E$9+1,1))</f>
        <v>367.03450586441784</v>
      </c>
      <c r="T168" s="62">
        <f t="shared" si="142"/>
        <v>413.14502442862897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projet'!$B$9,Paramètres!$A$1:$I$88,7,0))</f>
        <v>0</v>
      </c>
      <c r="X168" s="17">
        <f>IF(ISNA(VLOOKUP(A168,'Données projet'!$A$35:$I$55,6,0)),0%,VLOOKUP(A168,'Données projet'!$A$35:$I$55,6,0)*VLOOKUP('Données projet'!$B$9,Paramètres!$A$1:$I$88,7,0))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projet'!$B$9,Paramètres!$A$1:$I$88,3,0)*0.475*44/12</f>
        <v>29.933633073163701</v>
      </c>
      <c r="AA168" s="23">
        <f>EXP(-LN(2)/25)*AA167+(1-EXP(-LN(2)/25))/(LN(2)/25)*Calculateur!V168*Calculateur!X168*VLOOKUP('Données projet'!$B$9,Paramètres!$A$1:$I$88,3,0)*0.475*44/12</f>
        <v>7.1929434503256697</v>
      </c>
      <c r="AB168" s="23">
        <f>EXP(-LN(2)/2)*AB167+(1-EXP(-LN(2)/2))/(LN(2)/2)*V168*Y168*VLOOKUP('Données projet'!$B$9,Paramètres!$A$1:$I$88,3,0)*0.475*44/12</f>
        <v>0</v>
      </c>
      <c r="AC168" s="24">
        <f t="shared" si="163"/>
        <v>37.126576523489369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projet'!$B$10,Paramètres!$A$1:$I$88,3,0)*VLOOKUP('Données projet'!$B$10,Paramètres!$A$1:$I$88,5,0)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projet'!$B$10,Paramètres!$A$1:$I$88,7,0))</f>
        <v>0</v>
      </c>
      <c r="AS168" s="17">
        <f>IF(ISNA(VLOOKUP(A168,'Données projet'!$A$61:$I$81,6,0)),0%,VLOOKUP(A168,'Données projet'!$A$61:$I$81,6,0)*VLOOKUP('Données projet'!$B$10,Paramètres!$A$1:$I$88,7,0))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projet'!$B$10,Paramètres!$A$1:$I$88,3,0)*0.475*44/12</f>
        <v>#N/A</v>
      </c>
      <c r="AV168" s="23" t="e">
        <f>EXP(-LN(2)/25)*AV167+(1-EXP(-LN(2)/25))/(LN(2)/25)*Calculateur!AQ168*Calculateur!AS168*VLOOKUP('Données projet'!$B$10,Paramètres!$A$1:$I$88,3,0)*0.475*44/12</f>
        <v>#N/A</v>
      </c>
      <c r="AW168" s="23" t="e">
        <f>EXP(-LN(2)/2)*AW167+(1-EXP(-LN(2)/2))/(LN(2)/2)*AQ168*AT168*VLOOKUP('Données projet'!$B$10,Paramètres!$A$1:$I$88,3,0)*0.475*44/12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projet'!$B$11,Paramètres!$A$1:$I$88,3,0)*VLOOKUP('Données projet'!$B$11,Paramètres!$A$1:$I$88,5,0)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projet'!$B$11,Paramètres!$A$1:$I$88,7,0))</f>
        <v>0</v>
      </c>
      <c r="BN168" s="17">
        <f>IF(ISNA(VLOOKUP(A168,'Données projet'!$A$87:$I$107,6,0)),0%,VLOOKUP(A168,'Données projet'!$A$87:$I$107,6,0)*VLOOKUP('Données projet'!$B$11,Paramètres!$A$1:$I$88,7,0))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projet'!$B$11,Paramètres!$A$1:$I$88,3,0)*0.475*44/12</f>
        <v>#N/A</v>
      </c>
      <c r="BQ168" s="23" t="e">
        <f>EXP(-LN(2)/25)*BQ167+(1-EXP(-LN(2)/25))/(LN(2)/25)*Calculateur!BL168*Calculateur!BN168*VLOOKUP('Données projet'!$B$11,Paramètres!$A$1:$I$88,3,0)*0.475*44/12</f>
        <v>#N/A</v>
      </c>
      <c r="BR168" s="23" t="e">
        <f>EXP(-LN(2)/2)*BR167+(1-EXP(-LN(2)/2))/(LN(2)/2)*BL168*BO168*VLOOKUP('Données projet'!$B$11,Paramètres!$A$1:$I$88,3,0)*0.475*44/12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projet'!$B$12,Paramètres!$A$1:$I$88,3,0)*VLOOKUP('Données projet'!$B$12,Paramètres!$A$1:$I$88,5,0)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projet'!$B$12,Paramètres!$A$1:$I$88,7,0))</f>
        <v>0</v>
      </c>
      <c r="CI168" s="17">
        <f>IF(ISNA(VLOOKUP(A168,'Données projet'!$A$113:$I$133,6,0)),0%,VLOOKUP(A168,'Données projet'!$A$113:$I$133,6,0)*VLOOKUP('Données projet'!$B$12,Paramètres!$A$1:$I$88,7,0))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projet'!$B$12,Paramètres!$A$1:$I$88,3,0)*0.475*44/12</f>
        <v>#N/A</v>
      </c>
      <c r="CL168" s="23" t="e">
        <f>EXP(-LN(2)/25)*CL167+(1-EXP(-LN(2)/25))/(LN(2)/25)*Calculateur!CG168*Calculateur!CI168*VLOOKUP('Données projet'!$B$12,Paramètres!$A$1:$I$88,3,0)*0.475*44/12</f>
        <v>#N/A</v>
      </c>
      <c r="CM168" s="23" t="e">
        <f>EXP(-LN(2)/2)*CM167+(1-EXP(-LN(2)/2))/(LN(2)/2)*CG168*CJ168*VLOOKUP('Données projet'!$B$12,Paramètres!$A$1:$I$88,3,0)*0.475*44/12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projet'!$B$13,Paramètres!$A$1:$I$88,3,0)*VLOOKUP('Données projet'!$B$13,Paramètres!$A$1:$I$88,5,0)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projet'!$B$13,Paramètres!$A$1:$I$88,7,0))</f>
        <v>0</v>
      </c>
      <c r="DD168" s="17">
        <f>IF(ISNA(VLOOKUP(A168,'Données projet'!$A$139:$I$159,6,0)),0%,VLOOKUP(A168,'Données projet'!$A$139:$I$159,6,0)*VLOOKUP('Données projet'!$B$13,Paramètres!$A$1:$I$88,7,0))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projet'!$B$13,Paramètres!$A$1:$I$88,3,0)*0.475*44/12</f>
        <v>#N/A</v>
      </c>
      <c r="DG168" s="23" t="e">
        <f>EXP(-LN(2)/25)*DG167+(1-EXP(-LN(2)/25))/(LN(2)/25)*Calculateur!DB168*Calculateur!DD168*VLOOKUP('Données projet'!$B$13,Paramètres!$A$1:$I$88,3,0)*0.475*44/12</f>
        <v>#N/A</v>
      </c>
      <c r="DH168" s="23" t="e">
        <f>EXP(-LN(2)/2)*DH167+(1-EXP(-LN(2)/2))/(LN(2)/2)*DB168*DE168*VLOOKUP('Données projet'!$B$13,Paramètres!$A$1:$I$88,3,0)*0.475*44/12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projet'!$B$14,Paramètres!$A$1:$I$88,3,0)*VLOOKUP('Données projet'!$B$14,Paramètres!$A$1:$I$88,5,0)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projet'!$B$14,Paramètres!$A$1:$I$88,7,0))</f>
        <v>0</v>
      </c>
      <c r="DY168" s="17">
        <f>IF(ISNA(VLOOKUP(A168,'Données projet'!$A$165:$I$185,6,0)),0%,VLOOKUP(A168,'Données projet'!$A$165:$I$185,6,0)*VLOOKUP('Données projet'!$B$14,Paramètres!$A$1:$I$88,7,0))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projet'!$B$14,Paramètres!$A$1:$I$88,3,0)*0.475*44/12</f>
        <v>#N/A</v>
      </c>
      <c r="EB168" s="23" t="e">
        <f>EXP(-LN(2)/25)*EB167+(1-EXP(-LN(2)/25))/(LN(2)/25)*Calculateur!DW168*Calculateur!DY168*VLOOKUP('Données projet'!$B$14,Paramètres!$A$1:$I$88,3,0)*0.475*44/12</f>
        <v>#N/A</v>
      </c>
      <c r="EC168" s="23" t="e">
        <f>EXP(-LN(2)/2)*EC167+(1-EXP(-LN(2)/2))/(LN(2)/2)*DW168*DZ168*VLOOKUP('Données projet'!$B$14,Paramètres!$A$1:$I$88,3,0)*0.475*44/12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projet'!$B$15,Paramètres!$A$1:$I$88,3,0)*VLOOKUP('Données projet'!$B$15,Paramètres!$A$1:$I$88,5,0)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projet'!$B$15,Paramètres!$A$1:$I$88,7,0))</f>
        <v>0</v>
      </c>
      <c r="ET168" s="17">
        <f>IF(ISNA(VLOOKUP(A168,'Données projet'!$A$191:$I$211,6,0)),0%,VLOOKUP(A168,'Données projet'!$A$191:$I$211,6,0)*VLOOKUP('Données projet'!$B$15,Paramètres!$A$1:$I$88,7,0))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projet'!$B$15,Paramètres!$A$1:$I$88,3,0)*0.475*44/12</f>
        <v>#N/A</v>
      </c>
      <c r="EW168" s="23" t="e">
        <f>EXP(-LN(2)/25)*EW167+(1-EXP(-LN(2)/25))/(LN(2)/25)*Calculateur!ER168*Calculateur!ET168*VLOOKUP('Données projet'!$B$15,Paramètres!$A$1:$I$88,3,0)*0.475*44/12</f>
        <v>#N/A</v>
      </c>
      <c r="EX168" s="23" t="e">
        <f>EXP(-LN(2)/2)*EX167+(1-EXP(-LN(2)/2))/(LN(2)/2)*ER168*EU168*VLOOKUP('Données projet'!$B$15,Paramètres!$A$1:$I$88,3,0)*0.475*44/12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projet'!$B$16,Paramètres!$A$1:$I$88,3,0)*VLOOKUP('Données projet'!$B$16,Paramètres!$A$1:$I$88,5,0)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projet'!$B$16,Paramètres!$A$1:$I$88,7,0))</f>
        <v>0</v>
      </c>
      <c r="FO168" s="17">
        <f>IF(ISNA(VLOOKUP(A168,'Données projet'!$A$217:$I$237,6,0)),0%,VLOOKUP(A168,'Données projet'!$A$217:$I$237,6,0)*VLOOKUP('Données projet'!$B$16,Paramètres!$A$1:$I$88,7,0))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projet'!$B$16,Paramètres!$A$1:$I$88,3,0)*0.475*44/12</f>
        <v>#N/A</v>
      </c>
      <c r="FR168" s="23" t="e">
        <f>EXP(-LN(2)/25)*FR167+(1-EXP(-LN(2)/25))/(LN(2)/25)*Calculateur!FM168*Calculateur!FO168*VLOOKUP('Données projet'!$B$16,Paramètres!$A$1:$I$88,3,0)*0.475*44/12</f>
        <v>#N/A</v>
      </c>
      <c r="FS168" s="23" t="e">
        <f>EXP(-LN(2)/2)*FS167+(1-EXP(-LN(2)/2))/(LN(2)/2)*FM168*FP168*VLOOKUP('Données projet'!$B$16,Paramètres!$A$1:$I$88,3,0)*0.475*44/12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projet'!$B$17,Paramètres!$A$1:$I$88,3,0)*VLOOKUP('Données projet'!$B$17,Paramètres!$A$1:$I$88,5,0)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projet'!$B$17,Paramètres!$A$1:$I$88,7,0))</f>
        <v>0</v>
      </c>
      <c r="GJ168" s="17">
        <f>IF(ISNA(VLOOKUP(A168,'Données projet'!$A$243:$I$263,6,0)),0%,VLOOKUP(A168,'Données projet'!$A$243:$I$263,6,0)*VLOOKUP('Données projet'!$B$17,Paramètres!$A$1:$I$88,7,0))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projet'!$B$17,Paramètres!$A$1:$I$88,3,0)*0.475*44/12</f>
        <v>#N/A</v>
      </c>
      <c r="GM168" s="23" t="e">
        <f>EXP(-LN(2)/25)*GM167+(1-EXP(-LN(2)/25))/(LN(2)/25)*Calculateur!GH168*Calculateur!GJ168*VLOOKUP('Données projet'!$B$17,Paramètres!$A$1:$I$88,3,0)*0.475*44/12</f>
        <v>#N/A</v>
      </c>
      <c r="GN168" s="23" t="e">
        <f>EXP(-LN(2)/2)*GN167+(1-EXP(-LN(2)/2))/(LN(2)/2)*GH168*GK168*VLOOKUP('Données projet'!$B$17,Paramètres!$A$1:$I$88,3,0)*0.475*44/12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projet'!$B$18,Paramètres!$A$1:$I$88,3,0)*VLOOKUP('Données projet'!$B$18,Paramètres!$A$1:$I$88,5,0)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projet'!$B$18,Paramètres!$A$1:$I$88,7,0))</f>
        <v>0</v>
      </c>
      <c r="HE168" s="17">
        <f>IF(ISNA(VLOOKUP(A168,'Données projet'!$A$269:$I$289,6,0)),0%,VLOOKUP(A168,'Données projet'!$A$269:$I$289,6,0)*VLOOKUP('Données projet'!$B$18,Paramètres!$A$1:$I$88,7,0))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projet'!$B$18,Paramètres!$A$1:$I$88,3,0)*0.475*44/12</f>
        <v>#N/A</v>
      </c>
      <c r="HH168" s="23" t="e">
        <f>EXP(-LN(2)/25)*HH167+(1-EXP(-LN(2)/25))/(LN(2)/25)*Calculateur!HC168*Calculateur!HE168*VLOOKUP('Données projet'!$B$18,Paramètres!$A$1:$I$88,3,0)*0.475*44/12</f>
        <v>#N/A</v>
      </c>
      <c r="HI168" s="23" t="e">
        <f>EXP(-LN(2)/2)*HI167+(1-EXP(-LN(2)/2))/(LN(2)/2)*HC168*HF168*VLOOKUP('Données projet'!$B$18,Paramètres!$A$1:$I$88,3,0)*0.475*44/12</f>
        <v>#N/A</v>
      </c>
      <c r="HJ168" s="24" t="e">
        <f t="shared" si="190"/>
        <v>#N/A</v>
      </c>
    </row>
    <row r="169" spans="1:218" x14ac:dyDescent="0.3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4.5474735088646412E-13</v>
      </c>
      <c r="O169" s="14">
        <f>N169*VLOOKUP('Données projet'!$B$9,Paramètres!$A$1:$I$88,3,0)*VLOOKUP('Données projet'!$B$9,Paramètres!$A$1:$I$88,5,0)</f>
        <v>2.5420376914553347E-13</v>
      </c>
      <c r="P169" s="14">
        <f t="shared" si="141"/>
        <v>3.4258699088369875E-12</v>
      </c>
      <c r="Q169" s="22">
        <f t="shared" si="162"/>
        <v>6.4094616558195571E-12</v>
      </c>
      <c r="R169" s="62">
        <f t="shared" si="109"/>
        <v>288.31469419486984</v>
      </c>
      <c r="S169" s="62">
        <f ca="1">AVERAGE(OFFSET($R$3,0,0,'Données projet'!$E$9+1,1))-AVERAGE(OFFSET($H$3,0,0,'Données projet'!$E$9+1,1))</f>
        <v>367.03450586441784</v>
      </c>
      <c r="T169" s="62">
        <f t="shared" si="142"/>
        <v>413.14502442862897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projet'!$B$9,Paramètres!$A$1:$I$88,7,0))</f>
        <v>0</v>
      </c>
      <c r="X169" s="17">
        <f>IF(ISNA(VLOOKUP(A169,'Données projet'!$A$35:$I$55,6,0)),0%,VLOOKUP(A169,'Données projet'!$A$35:$I$55,6,0)*VLOOKUP('Données projet'!$B$9,Paramètres!$A$1:$I$88,7,0))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projet'!$B$9,Paramètres!$A$1:$I$88,3,0)*0.475*44/12</f>
        <v>29.346652786312337</v>
      </c>
      <c r="AA169" s="23">
        <f>EXP(-LN(2)/25)*AA168+(1-EXP(-LN(2)/25))/(LN(2)/25)*Calculateur!V169*Calculateur!X169*VLOOKUP('Données projet'!$B$9,Paramètres!$A$1:$I$88,3,0)*0.475*44/12</f>
        <v>6.9962520334160576</v>
      </c>
      <c r="AB169" s="23">
        <f>EXP(-LN(2)/2)*AB168+(1-EXP(-LN(2)/2))/(LN(2)/2)*V169*Y169*VLOOKUP('Données projet'!$B$9,Paramètres!$A$1:$I$88,3,0)*0.475*44/12</f>
        <v>0</v>
      </c>
      <c r="AC169" s="24">
        <f t="shared" si="163"/>
        <v>36.342904819728396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projet'!$B$10,Paramètres!$A$1:$I$88,3,0)*VLOOKUP('Données projet'!$B$10,Paramètres!$A$1:$I$88,5,0)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projet'!$B$10,Paramètres!$A$1:$I$88,7,0))</f>
        <v>0</v>
      </c>
      <c r="AS169" s="17">
        <f>IF(ISNA(VLOOKUP(A169,'Données projet'!$A$61:$I$81,6,0)),0%,VLOOKUP(A169,'Données projet'!$A$61:$I$81,6,0)*VLOOKUP('Données projet'!$B$10,Paramètres!$A$1:$I$88,7,0))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projet'!$B$10,Paramètres!$A$1:$I$88,3,0)*0.475*44/12</f>
        <v>#N/A</v>
      </c>
      <c r="AV169" s="23" t="e">
        <f>EXP(-LN(2)/25)*AV168+(1-EXP(-LN(2)/25))/(LN(2)/25)*Calculateur!AQ169*Calculateur!AS169*VLOOKUP('Données projet'!$B$10,Paramètres!$A$1:$I$88,3,0)*0.475*44/12</f>
        <v>#N/A</v>
      </c>
      <c r="AW169" s="23" t="e">
        <f>EXP(-LN(2)/2)*AW168+(1-EXP(-LN(2)/2))/(LN(2)/2)*AQ169*AT169*VLOOKUP('Données projet'!$B$10,Paramètres!$A$1:$I$88,3,0)*0.475*44/12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projet'!$B$11,Paramètres!$A$1:$I$88,3,0)*VLOOKUP('Données projet'!$B$11,Paramètres!$A$1:$I$88,5,0)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projet'!$B$11,Paramètres!$A$1:$I$88,7,0))</f>
        <v>0</v>
      </c>
      <c r="BN169" s="17">
        <f>IF(ISNA(VLOOKUP(A169,'Données projet'!$A$87:$I$107,6,0)),0%,VLOOKUP(A169,'Données projet'!$A$87:$I$107,6,0)*VLOOKUP('Données projet'!$B$11,Paramètres!$A$1:$I$88,7,0))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projet'!$B$11,Paramètres!$A$1:$I$88,3,0)*0.475*44/12</f>
        <v>#N/A</v>
      </c>
      <c r="BQ169" s="23" t="e">
        <f>EXP(-LN(2)/25)*BQ168+(1-EXP(-LN(2)/25))/(LN(2)/25)*Calculateur!BL169*Calculateur!BN169*VLOOKUP('Données projet'!$B$11,Paramètres!$A$1:$I$88,3,0)*0.475*44/12</f>
        <v>#N/A</v>
      </c>
      <c r="BR169" s="23" t="e">
        <f>EXP(-LN(2)/2)*BR168+(1-EXP(-LN(2)/2))/(LN(2)/2)*BL169*BO169*VLOOKUP('Données projet'!$B$11,Paramètres!$A$1:$I$88,3,0)*0.475*44/12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projet'!$B$12,Paramètres!$A$1:$I$88,3,0)*VLOOKUP('Données projet'!$B$12,Paramètres!$A$1:$I$88,5,0)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projet'!$B$12,Paramètres!$A$1:$I$88,7,0))</f>
        <v>0</v>
      </c>
      <c r="CI169" s="17">
        <f>IF(ISNA(VLOOKUP(A169,'Données projet'!$A$113:$I$133,6,0)),0%,VLOOKUP(A169,'Données projet'!$A$113:$I$133,6,0)*VLOOKUP('Données projet'!$B$12,Paramètres!$A$1:$I$88,7,0))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projet'!$B$12,Paramètres!$A$1:$I$88,3,0)*0.475*44/12</f>
        <v>#N/A</v>
      </c>
      <c r="CL169" s="23" t="e">
        <f>EXP(-LN(2)/25)*CL168+(1-EXP(-LN(2)/25))/(LN(2)/25)*Calculateur!CG169*Calculateur!CI169*VLOOKUP('Données projet'!$B$12,Paramètres!$A$1:$I$88,3,0)*0.475*44/12</f>
        <v>#N/A</v>
      </c>
      <c r="CM169" s="23" t="e">
        <f>EXP(-LN(2)/2)*CM168+(1-EXP(-LN(2)/2))/(LN(2)/2)*CG169*CJ169*VLOOKUP('Données projet'!$B$12,Paramètres!$A$1:$I$88,3,0)*0.475*44/12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projet'!$B$13,Paramètres!$A$1:$I$88,3,0)*VLOOKUP('Données projet'!$B$13,Paramètres!$A$1:$I$88,5,0)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projet'!$B$13,Paramètres!$A$1:$I$88,7,0))</f>
        <v>0</v>
      </c>
      <c r="DD169" s="17">
        <f>IF(ISNA(VLOOKUP(A169,'Données projet'!$A$139:$I$159,6,0)),0%,VLOOKUP(A169,'Données projet'!$A$139:$I$159,6,0)*VLOOKUP('Données projet'!$B$13,Paramètres!$A$1:$I$88,7,0))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projet'!$B$13,Paramètres!$A$1:$I$88,3,0)*0.475*44/12</f>
        <v>#N/A</v>
      </c>
      <c r="DG169" s="23" t="e">
        <f>EXP(-LN(2)/25)*DG168+(1-EXP(-LN(2)/25))/(LN(2)/25)*Calculateur!DB169*Calculateur!DD169*VLOOKUP('Données projet'!$B$13,Paramètres!$A$1:$I$88,3,0)*0.475*44/12</f>
        <v>#N/A</v>
      </c>
      <c r="DH169" s="23" t="e">
        <f>EXP(-LN(2)/2)*DH168+(1-EXP(-LN(2)/2))/(LN(2)/2)*DB169*DE169*VLOOKUP('Données projet'!$B$13,Paramètres!$A$1:$I$88,3,0)*0.475*44/12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projet'!$B$14,Paramètres!$A$1:$I$88,3,0)*VLOOKUP('Données projet'!$B$14,Paramètres!$A$1:$I$88,5,0)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projet'!$B$14,Paramètres!$A$1:$I$88,7,0))</f>
        <v>0</v>
      </c>
      <c r="DY169" s="17">
        <f>IF(ISNA(VLOOKUP(A169,'Données projet'!$A$165:$I$185,6,0)),0%,VLOOKUP(A169,'Données projet'!$A$165:$I$185,6,0)*VLOOKUP('Données projet'!$B$14,Paramètres!$A$1:$I$88,7,0))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projet'!$B$14,Paramètres!$A$1:$I$88,3,0)*0.475*44/12</f>
        <v>#N/A</v>
      </c>
      <c r="EB169" s="23" t="e">
        <f>EXP(-LN(2)/25)*EB168+(1-EXP(-LN(2)/25))/(LN(2)/25)*Calculateur!DW169*Calculateur!DY169*VLOOKUP('Données projet'!$B$14,Paramètres!$A$1:$I$88,3,0)*0.475*44/12</f>
        <v>#N/A</v>
      </c>
      <c r="EC169" s="23" t="e">
        <f>EXP(-LN(2)/2)*EC168+(1-EXP(-LN(2)/2))/(LN(2)/2)*DW169*DZ169*VLOOKUP('Données projet'!$B$14,Paramètres!$A$1:$I$88,3,0)*0.475*44/12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projet'!$B$15,Paramètres!$A$1:$I$88,3,0)*VLOOKUP('Données projet'!$B$15,Paramètres!$A$1:$I$88,5,0)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projet'!$B$15,Paramètres!$A$1:$I$88,7,0))</f>
        <v>0</v>
      </c>
      <c r="ET169" s="17">
        <f>IF(ISNA(VLOOKUP(A169,'Données projet'!$A$191:$I$211,6,0)),0%,VLOOKUP(A169,'Données projet'!$A$191:$I$211,6,0)*VLOOKUP('Données projet'!$B$15,Paramètres!$A$1:$I$88,7,0))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projet'!$B$15,Paramètres!$A$1:$I$88,3,0)*0.475*44/12</f>
        <v>#N/A</v>
      </c>
      <c r="EW169" s="23" t="e">
        <f>EXP(-LN(2)/25)*EW168+(1-EXP(-LN(2)/25))/(LN(2)/25)*Calculateur!ER169*Calculateur!ET169*VLOOKUP('Données projet'!$B$15,Paramètres!$A$1:$I$88,3,0)*0.475*44/12</f>
        <v>#N/A</v>
      </c>
      <c r="EX169" s="23" t="e">
        <f>EXP(-LN(2)/2)*EX168+(1-EXP(-LN(2)/2))/(LN(2)/2)*ER169*EU169*VLOOKUP('Données projet'!$B$15,Paramètres!$A$1:$I$88,3,0)*0.475*44/12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projet'!$B$16,Paramètres!$A$1:$I$88,3,0)*VLOOKUP('Données projet'!$B$16,Paramètres!$A$1:$I$88,5,0)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projet'!$B$16,Paramètres!$A$1:$I$88,7,0))</f>
        <v>0</v>
      </c>
      <c r="FO169" s="17">
        <f>IF(ISNA(VLOOKUP(A169,'Données projet'!$A$217:$I$237,6,0)),0%,VLOOKUP(A169,'Données projet'!$A$217:$I$237,6,0)*VLOOKUP('Données projet'!$B$16,Paramètres!$A$1:$I$88,7,0))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projet'!$B$16,Paramètres!$A$1:$I$88,3,0)*0.475*44/12</f>
        <v>#N/A</v>
      </c>
      <c r="FR169" s="23" t="e">
        <f>EXP(-LN(2)/25)*FR168+(1-EXP(-LN(2)/25))/(LN(2)/25)*Calculateur!FM169*Calculateur!FO169*VLOOKUP('Données projet'!$B$16,Paramètres!$A$1:$I$88,3,0)*0.475*44/12</f>
        <v>#N/A</v>
      </c>
      <c r="FS169" s="23" t="e">
        <f>EXP(-LN(2)/2)*FS168+(1-EXP(-LN(2)/2))/(LN(2)/2)*FM169*FP169*VLOOKUP('Données projet'!$B$16,Paramètres!$A$1:$I$88,3,0)*0.475*44/12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projet'!$B$17,Paramètres!$A$1:$I$88,3,0)*VLOOKUP('Données projet'!$B$17,Paramètres!$A$1:$I$88,5,0)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projet'!$B$17,Paramètres!$A$1:$I$88,7,0))</f>
        <v>0</v>
      </c>
      <c r="GJ169" s="17">
        <f>IF(ISNA(VLOOKUP(A169,'Données projet'!$A$243:$I$263,6,0)),0%,VLOOKUP(A169,'Données projet'!$A$243:$I$263,6,0)*VLOOKUP('Données projet'!$B$17,Paramètres!$A$1:$I$88,7,0))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projet'!$B$17,Paramètres!$A$1:$I$88,3,0)*0.475*44/12</f>
        <v>#N/A</v>
      </c>
      <c r="GM169" s="23" t="e">
        <f>EXP(-LN(2)/25)*GM168+(1-EXP(-LN(2)/25))/(LN(2)/25)*Calculateur!GH169*Calculateur!GJ169*VLOOKUP('Données projet'!$B$17,Paramètres!$A$1:$I$88,3,0)*0.475*44/12</f>
        <v>#N/A</v>
      </c>
      <c r="GN169" s="23" t="e">
        <f>EXP(-LN(2)/2)*GN168+(1-EXP(-LN(2)/2))/(LN(2)/2)*GH169*GK169*VLOOKUP('Données projet'!$B$17,Paramètres!$A$1:$I$88,3,0)*0.475*44/12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projet'!$B$18,Paramètres!$A$1:$I$88,3,0)*VLOOKUP('Données projet'!$B$18,Paramètres!$A$1:$I$88,5,0)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projet'!$B$18,Paramètres!$A$1:$I$88,7,0))</f>
        <v>0</v>
      </c>
      <c r="HE169" s="17">
        <f>IF(ISNA(VLOOKUP(A169,'Données projet'!$A$269:$I$289,6,0)),0%,VLOOKUP(A169,'Données projet'!$A$269:$I$289,6,0)*VLOOKUP('Données projet'!$B$18,Paramètres!$A$1:$I$88,7,0))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projet'!$B$18,Paramètres!$A$1:$I$88,3,0)*0.475*44/12</f>
        <v>#N/A</v>
      </c>
      <c r="HH169" s="23" t="e">
        <f>EXP(-LN(2)/25)*HH168+(1-EXP(-LN(2)/25))/(LN(2)/25)*Calculateur!HC169*Calculateur!HE169*VLOOKUP('Données projet'!$B$18,Paramètres!$A$1:$I$88,3,0)*0.475*44/12</f>
        <v>#N/A</v>
      </c>
      <c r="HI169" s="23" t="e">
        <f>EXP(-LN(2)/2)*HI168+(1-EXP(-LN(2)/2))/(LN(2)/2)*HC169*HF169*VLOOKUP('Données projet'!$B$18,Paramètres!$A$1:$I$88,3,0)*0.475*44/12</f>
        <v>#N/A</v>
      </c>
      <c r="HJ169" s="24" t="e">
        <f t="shared" si="190"/>
        <v>#N/A</v>
      </c>
    </row>
    <row r="170" spans="1:218" x14ac:dyDescent="0.3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4.5474735088646412E-13</v>
      </c>
      <c r="O170" s="14">
        <f>N170*VLOOKUP('Données projet'!$B$9,Paramètres!$A$1:$I$88,3,0)*VLOOKUP('Données projet'!$B$9,Paramètres!$A$1:$I$88,5,0)</f>
        <v>2.5420376914553347E-13</v>
      </c>
      <c r="P170" s="14">
        <f t="shared" si="141"/>
        <v>3.4258699088369875E-12</v>
      </c>
      <c r="Q170" s="22">
        <f t="shared" si="162"/>
        <v>6.4094616558195571E-12</v>
      </c>
      <c r="R170" s="62">
        <f t="shared" si="109"/>
        <v>288.40175636392604</v>
      </c>
      <c r="S170" s="62">
        <f ca="1">AVERAGE(OFFSET($R$3,0,0,'Données projet'!$E$9+1,1))-AVERAGE(OFFSET($H$3,0,0,'Données projet'!$E$9+1,1))</f>
        <v>367.03450586441784</v>
      </c>
      <c r="T170" s="62">
        <f t="shared" si="142"/>
        <v>413.14502442862897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projet'!$B$9,Paramètres!$A$1:$I$88,7,0))</f>
        <v>0</v>
      </c>
      <c r="X170" s="17">
        <f>IF(ISNA(VLOOKUP(A170,'Données projet'!$A$35:$I$55,6,0)),0%,VLOOKUP(A170,'Données projet'!$A$35:$I$55,6,0)*VLOOKUP('Données projet'!$B$9,Paramètres!$A$1:$I$88,7,0))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projet'!$B$9,Paramètres!$A$1:$I$88,3,0)*0.475*44/12</f>
        <v>28.771182824863505</v>
      </c>
      <c r="AA170" s="23">
        <f>EXP(-LN(2)/25)*AA169+(1-EXP(-LN(2)/25))/(LN(2)/25)*Calculateur!V170*Calculateur!X170*VLOOKUP('Données projet'!$B$9,Paramètres!$A$1:$I$88,3,0)*0.475*44/12</f>
        <v>6.8049391536453916</v>
      </c>
      <c r="AB170" s="23">
        <f>EXP(-LN(2)/2)*AB169+(1-EXP(-LN(2)/2))/(LN(2)/2)*V170*Y170*VLOOKUP('Données projet'!$B$9,Paramètres!$A$1:$I$88,3,0)*0.475*44/12</f>
        <v>0</v>
      </c>
      <c r="AC170" s="24">
        <f t="shared" si="163"/>
        <v>35.576121978508894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projet'!$B$10,Paramètres!$A$1:$I$88,3,0)*VLOOKUP('Données projet'!$B$10,Paramètres!$A$1:$I$88,5,0)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projet'!$B$10,Paramètres!$A$1:$I$88,7,0))</f>
        <v>0</v>
      </c>
      <c r="AS170" s="17">
        <f>IF(ISNA(VLOOKUP(A170,'Données projet'!$A$61:$I$81,6,0)),0%,VLOOKUP(A170,'Données projet'!$A$61:$I$81,6,0)*VLOOKUP('Données projet'!$B$10,Paramètres!$A$1:$I$88,7,0))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projet'!$B$10,Paramètres!$A$1:$I$88,3,0)*0.475*44/12</f>
        <v>#N/A</v>
      </c>
      <c r="AV170" s="23" t="e">
        <f>EXP(-LN(2)/25)*AV169+(1-EXP(-LN(2)/25))/(LN(2)/25)*Calculateur!AQ170*Calculateur!AS170*VLOOKUP('Données projet'!$B$10,Paramètres!$A$1:$I$88,3,0)*0.475*44/12</f>
        <v>#N/A</v>
      </c>
      <c r="AW170" s="23" t="e">
        <f>EXP(-LN(2)/2)*AW169+(1-EXP(-LN(2)/2))/(LN(2)/2)*AQ170*AT170*VLOOKUP('Données projet'!$B$10,Paramètres!$A$1:$I$88,3,0)*0.475*44/12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projet'!$B$11,Paramètres!$A$1:$I$88,3,0)*VLOOKUP('Données projet'!$B$11,Paramètres!$A$1:$I$88,5,0)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projet'!$B$11,Paramètres!$A$1:$I$88,7,0))</f>
        <v>0</v>
      </c>
      <c r="BN170" s="17">
        <f>IF(ISNA(VLOOKUP(A170,'Données projet'!$A$87:$I$107,6,0)),0%,VLOOKUP(A170,'Données projet'!$A$87:$I$107,6,0)*VLOOKUP('Données projet'!$B$11,Paramètres!$A$1:$I$88,7,0))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projet'!$B$11,Paramètres!$A$1:$I$88,3,0)*0.475*44/12</f>
        <v>#N/A</v>
      </c>
      <c r="BQ170" s="23" t="e">
        <f>EXP(-LN(2)/25)*BQ169+(1-EXP(-LN(2)/25))/(LN(2)/25)*Calculateur!BL170*Calculateur!BN170*VLOOKUP('Données projet'!$B$11,Paramètres!$A$1:$I$88,3,0)*0.475*44/12</f>
        <v>#N/A</v>
      </c>
      <c r="BR170" s="23" t="e">
        <f>EXP(-LN(2)/2)*BR169+(1-EXP(-LN(2)/2))/(LN(2)/2)*BL170*BO170*VLOOKUP('Données projet'!$B$11,Paramètres!$A$1:$I$88,3,0)*0.475*44/12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projet'!$B$12,Paramètres!$A$1:$I$88,3,0)*VLOOKUP('Données projet'!$B$12,Paramètres!$A$1:$I$88,5,0)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projet'!$B$12,Paramètres!$A$1:$I$88,7,0))</f>
        <v>0</v>
      </c>
      <c r="CI170" s="17">
        <f>IF(ISNA(VLOOKUP(A170,'Données projet'!$A$113:$I$133,6,0)),0%,VLOOKUP(A170,'Données projet'!$A$113:$I$133,6,0)*VLOOKUP('Données projet'!$B$12,Paramètres!$A$1:$I$88,7,0))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projet'!$B$12,Paramètres!$A$1:$I$88,3,0)*0.475*44/12</f>
        <v>#N/A</v>
      </c>
      <c r="CL170" s="23" t="e">
        <f>EXP(-LN(2)/25)*CL169+(1-EXP(-LN(2)/25))/(LN(2)/25)*Calculateur!CG170*Calculateur!CI170*VLOOKUP('Données projet'!$B$12,Paramètres!$A$1:$I$88,3,0)*0.475*44/12</f>
        <v>#N/A</v>
      </c>
      <c r="CM170" s="23" t="e">
        <f>EXP(-LN(2)/2)*CM169+(1-EXP(-LN(2)/2))/(LN(2)/2)*CG170*CJ170*VLOOKUP('Données projet'!$B$12,Paramètres!$A$1:$I$88,3,0)*0.475*44/12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projet'!$B$13,Paramètres!$A$1:$I$88,3,0)*VLOOKUP('Données projet'!$B$13,Paramètres!$A$1:$I$88,5,0)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projet'!$B$13,Paramètres!$A$1:$I$88,7,0))</f>
        <v>0</v>
      </c>
      <c r="DD170" s="17">
        <f>IF(ISNA(VLOOKUP(A170,'Données projet'!$A$139:$I$159,6,0)),0%,VLOOKUP(A170,'Données projet'!$A$139:$I$159,6,0)*VLOOKUP('Données projet'!$B$13,Paramètres!$A$1:$I$88,7,0))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projet'!$B$13,Paramètres!$A$1:$I$88,3,0)*0.475*44/12</f>
        <v>#N/A</v>
      </c>
      <c r="DG170" s="23" t="e">
        <f>EXP(-LN(2)/25)*DG169+(1-EXP(-LN(2)/25))/(LN(2)/25)*Calculateur!DB170*Calculateur!DD170*VLOOKUP('Données projet'!$B$13,Paramètres!$A$1:$I$88,3,0)*0.475*44/12</f>
        <v>#N/A</v>
      </c>
      <c r="DH170" s="23" t="e">
        <f>EXP(-LN(2)/2)*DH169+(1-EXP(-LN(2)/2))/(LN(2)/2)*DB170*DE170*VLOOKUP('Données projet'!$B$13,Paramètres!$A$1:$I$88,3,0)*0.475*44/12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projet'!$B$14,Paramètres!$A$1:$I$88,3,0)*VLOOKUP('Données projet'!$B$14,Paramètres!$A$1:$I$88,5,0)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projet'!$B$14,Paramètres!$A$1:$I$88,7,0))</f>
        <v>0</v>
      </c>
      <c r="DY170" s="17">
        <f>IF(ISNA(VLOOKUP(A170,'Données projet'!$A$165:$I$185,6,0)),0%,VLOOKUP(A170,'Données projet'!$A$165:$I$185,6,0)*VLOOKUP('Données projet'!$B$14,Paramètres!$A$1:$I$88,7,0))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projet'!$B$14,Paramètres!$A$1:$I$88,3,0)*0.475*44/12</f>
        <v>#N/A</v>
      </c>
      <c r="EB170" s="23" t="e">
        <f>EXP(-LN(2)/25)*EB169+(1-EXP(-LN(2)/25))/(LN(2)/25)*Calculateur!DW170*Calculateur!DY170*VLOOKUP('Données projet'!$B$14,Paramètres!$A$1:$I$88,3,0)*0.475*44/12</f>
        <v>#N/A</v>
      </c>
      <c r="EC170" s="23" t="e">
        <f>EXP(-LN(2)/2)*EC169+(1-EXP(-LN(2)/2))/(LN(2)/2)*DW170*DZ170*VLOOKUP('Données projet'!$B$14,Paramètres!$A$1:$I$88,3,0)*0.475*44/12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projet'!$B$15,Paramètres!$A$1:$I$88,3,0)*VLOOKUP('Données projet'!$B$15,Paramètres!$A$1:$I$88,5,0)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projet'!$B$15,Paramètres!$A$1:$I$88,7,0))</f>
        <v>0</v>
      </c>
      <c r="ET170" s="17">
        <f>IF(ISNA(VLOOKUP(A170,'Données projet'!$A$191:$I$211,6,0)),0%,VLOOKUP(A170,'Données projet'!$A$191:$I$211,6,0)*VLOOKUP('Données projet'!$B$15,Paramètres!$A$1:$I$88,7,0))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projet'!$B$15,Paramètres!$A$1:$I$88,3,0)*0.475*44/12</f>
        <v>#N/A</v>
      </c>
      <c r="EW170" s="23" t="e">
        <f>EXP(-LN(2)/25)*EW169+(1-EXP(-LN(2)/25))/(LN(2)/25)*Calculateur!ER170*Calculateur!ET170*VLOOKUP('Données projet'!$B$15,Paramètres!$A$1:$I$88,3,0)*0.475*44/12</f>
        <v>#N/A</v>
      </c>
      <c r="EX170" s="23" t="e">
        <f>EXP(-LN(2)/2)*EX169+(1-EXP(-LN(2)/2))/(LN(2)/2)*ER170*EU170*VLOOKUP('Données projet'!$B$15,Paramètres!$A$1:$I$88,3,0)*0.475*44/12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projet'!$B$16,Paramètres!$A$1:$I$88,3,0)*VLOOKUP('Données projet'!$B$16,Paramètres!$A$1:$I$88,5,0)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projet'!$B$16,Paramètres!$A$1:$I$88,7,0))</f>
        <v>0</v>
      </c>
      <c r="FO170" s="17">
        <f>IF(ISNA(VLOOKUP(A170,'Données projet'!$A$217:$I$237,6,0)),0%,VLOOKUP(A170,'Données projet'!$A$217:$I$237,6,0)*VLOOKUP('Données projet'!$B$16,Paramètres!$A$1:$I$88,7,0))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projet'!$B$16,Paramètres!$A$1:$I$88,3,0)*0.475*44/12</f>
        <v>#N/A</v>
      </c>
      <c r="FR170" s="23" t="e">
        <f>EXP(-LN(2)/25)*FR169+(1-EXP(-LN(2)/25))/(LN(2)/25)*Calculateur!FM170*Calculateur!FO170*VLOOKUP('Données projet'!$B$16,Paramètres!$A$1:$I$88,3,0)*0.475*44/12</f>
        <v>#N/A</v>
      </c>
      <c r="FS170" s="23" t="e">
        <f>EXP(-LN(2)/2)*FS169+(1-EXP(-LN(2)/2))/(LN(2)/2)*FM170*FP170*VLOOKUP('Données projet'!$B$16,Paramètres!$A$1:$I$88,3,0)*0.475*44/12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projet'!$B$17,Paramètres!$A$1:$I$88,3,0)*VLOOKUP('Données projet'!$B$17,Paramètres!$A$1:$I$88,5,0)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projet'!$B$17,Paramètres!$A$1:$I$88,7,0))</f>
        <v>0</v>
      </c>
      <c r="GJ170" s="17">
        <f>IF(ISNA(VLOOKUP(A170,'Données projet'!$A$243:$I$263,6,0)),0%,VLOOKUP(A170,'Données projet'!$A$243:$I$263,6,0)*VLOOKUP('Données projet'!$B$17,Paramètres!$A$1:$I$88,7,0))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projet'!$B$17,Paramètres!$A$1:$I$88,3,0)*0.475*44/12</f>
        <v>#N/A</v>
      </c>
      <c r="GM170" s="23" t="e">
        <f>EXP(-LN(2)/25)*GM169+(1-EXP(-LN(2)/25))/(LN(2)/25)*Calculateur!GH170*Calculateur!GJ170*VLOOKUP('Données projet'!$B$17,Paramètres!$A$1:$I$88,3,0)*0.475*44/12</f>
        <v>#N/A</v>
      </c>
      <c r="GN170" s="23" t="e">
        <f>EXP(-LN(2)/2)*GN169+(1-EXP(-LN(2)/2))/(LN(2)/2)*GH170*GK170*VLOOKUP('Données projet'!$B$17,Paramètres!$A$1:$I$88,3,0)*0.475*44/12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projet'!$B$18,Paramètres!$A$1:$I$88,3,0)*VLOOKUP('Données projet'!$B$18,Paramètres!$A$1:$I$88,5,0)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projet'!$B$18,Paramètres!$A$1:$I$88,7,0))</f>
        <v>0</v>
      </c>
      <c r="HE170" s="17">
        <f>IF(ISNA(VLOOKUP(A170,'Données projet'!$A$269:$I$289,6,0)),0%,VLOOKUP(A170,'Données projet'!$A$269:$I$289,6,0)*VLOOKUP('Données projet'!$B$18,Paramètres!$A$1:$I$88,7,0))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projet'!$B$18,Paramètres!$A$1:$I$88,3,0)*0.475*44/12</f>
        <v>#N/A</v>
      </c>
      <c r="HH170" s="23" t="e">
        <f>EXP(-LN(2)/25)*HH169+(1-EXP(-LN(2)/25))/(LN(2)/25)*Calculateur!HC170*Calculateur!HE170*VLOOKUP('Données projet'!$B$18,Paramètres!$A$1:$I$88,3,0)*0.475*44/12</f>
        <v>#N/A</v>
      </c>
      <c r="HI170" s="23" t="e">
        <f>EXP(-LN(2)/2)*HI169+(1-EXP(-LN(2)/2))/(LN(2)/2)*HC170*HF170*VLOOKUP('Données projet'!$B$18,Paramètres!$A$1:$I$88,3,0)*0.475*44/12</f>
        <v>#N/A</v>
      </c>
      <c r="HJ170" s="24" t="e">
        <f t="shared" si="190"/>
        <v>#N/A</v>
      </c>
    </row>
    <row r="171" spans="1:218" x14ac:dyDescent="0.3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4.5474735088646412E-13</v>
      </c>
      <c r="O171" s="14">
        <f>N171*VLOOKUP('Données projet'!$B$9,Paramètres!$A$1:$I$88,3,0)*VLOOKUP('Données projet'!$B$9,Paramètres!$A$1:$I$88,5,0)</f>
        <v>2.5420376914553347E-13</v>
      </c>
      <c r="P171" s="14">
        <f t="shared" si="141"/>
        <v>3.4258699088369875E-12</v>
      </c>
      <c r="Q171" s="22">
        <f t="shared" si="162"/>
        <v>6.4094616558195571E-12</v>
      </c>
      <c r="R171" s="62">
        <f t="shared" si="109"/>
        <v>288.48730819899095</v>
      </c>
      <c r="S171" s="62">
        <f ca="1">AVERAGE(OFFSET($R$3,0,0,'Données projet'!$E$9+1,1))-AVERAGE(OFFSET($H$3,0,0,'Données projet'!$E$9+1,1))</f>
        <v>367.03450586441784</v>
      </c>
      <c r="T171" s="62">
        <f t="shared" si="142"/>
        <v>413.14502442862897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projet'!$B$9,Paramètres!$A$1:$I$88,7,0))</f>
        <v>0</v>
      </c>
      <c r="X171" s="17">
        <f>IF(ISNA(VLOOKUP(A171,'Données projet'!$A$35:$I$55,6,0)),0%,VLOOKUP(A171,'Données projet'!$A$35:$I$55,6,0)*VLOOKUP('Données projet'!$B$9,Paramètres!$A$1:$I$88,7,0))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projet'!$B$9,Paramètres!$A$1:$I$88,3,0)*0.475*44/12</f>
        <v>28.206997478356666</v>
      </c>
      <c r="AA171" s="23">
        <f>EXP(-LN(2)/25)*AA170+(1-EXP(-LN(2)/25))/(LN(2)/25)*Calculateur!V171*Calculateur!X171*VLOOKUP('Données projet'!$B$9,Paramètres!$A$1:$I$88,3,0)*0.475*44/12</f>
        <v>6.6188577346327611</v>
      </c>
      <c r="AB171" s="23">
        <f>EXP(-LN(2)/2)*AB170+(1-EXP(-LN(2)/2))/(LN(2)/2)*V171*Y171*VLOOKUP('Données projet'!$B$9,Paramètres!$A$1:$I$88,3,0)*0.475*44/12</f>
        <v>0</v>
      </c>
      <c r="AC171" s="24">
        <f t="shared" si="163"/>
        <v>34.825855212989424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projet'!$B$10,Paramètres!$A$1:$I$88,3,0)*VLOOKUP('Données projet'!$B$10,Paramètres!$A$1:$I$88,5,0)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projet'!$B$10,Paramètres!$A$1:$I$88,7,0))</f>
        <v>0</v>
      </c>
      <c r="AS171" s="17">
        <f>IF(ISNA(VLOOKUP(A171,'Données projet'!$A$61:$I$81,6,0)),0%,VLOOKUP(A171,'Données projet'!$A$61:$I$81,6,0)*VLOOKUP('Données projet'!$B$10,Paramètres!$A$1:$I$88,7,0))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projet'!$B$10,Paramètres!$A$1:$I$88,3,0)*0.475*44/12</f>
        <v>#N/A</v>
      </c>
      <c r="AV171" s="23" t="e">
        <f>EXP(-LN(2)/25)*AV170+(1-EXP(-LN(2)/25))/(LN(2)/25)*Calculateur!AQ171*Calculateur!AS171*VLOOKUP('Données projet'!$B$10,Paramètres!$A$1:$I$88,3,0)*0.475*44/12</f>
        <v>#N/A</v>
      </c>
      <c r="AW171" s="23" t="e">
        <f>EXP(-LN(2)/2)*AW170+(1-EXP(-LN(2)/2))/(LN(2)/2)*AQ171*AT171*VLOOKUP('Données projet'!$B$10,Paramètres!$A$1:$I$88,3,0)*0.475*44/12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projet'!$B$11,Paramètres!$A$1:$I$88,3,0)*VLOOKUP('Données projet'!$B$11,Paramètres!$A$1:$I$88,5,0)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projet'!$B$11,Paramètres!$A$1:$I$88,7,0))</f>
        <v>0</v>
      </c>
      <c r="BN171" s="17">
        <f>IF(ISNA(VLOOKUP(A171,'Données projet'!$A$87:$I$107,6,0)),0%,VLOOKUP(A171,'Données projet'!$A$87:$I$107,6,0)*VLOOKUP('Données projet'!$B$11,Paramètres!$A$1:$I$88,7,0))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projet'!$B$11,Paramètres!$A$1:$I$88,3,0)*0.475*44/12</f>
        <v>#N/A</v>
      </c>
      <c r="BQ171" s="23" t="e">
        <f>EXP(-LN(2)/25)*BQ170+(1-EXP(-LN(2)/25))/(LN(2)/25)*Calculateur!BL171*Calculateur!BN171*VLOOKUP('Données projet'!$B$11,Paramètres!$A$1:$I$88,3,0)*0.475*44/12</f>
        <v>#N/A</v>
      </c>
      <c r="BR171" s="23" t="e">
        <f>EXP(-LN(2)/2)*BR170+(1-EXP(-LN(2)/2))/(LN(2)/2)*BL171*BO171*VLOOKUP('Données projet'!$B$11,Paramètres!$A$1:$I$88,3,0)*0.475*44/12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projet'!$B$12,Paramètres!$A$1:$I$88,3,0)*VLOOKUP('Données projet'!$B$12,Paramètres!$A$1:$I$88,5,0)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projet'!$B$12,Paramètres!$A$1:$I$88,7,0))</f>
        <v>0</v>
      </c>
      <c r="CI171" s="17">
        <f>IF(ISNA(VLOOKUP(A171,'Données projet'!$A$113:$I$133,6,0)),0%,VLOOKUP(A171,'Données projet'!$A$113:$I$133,6,0)*VLOOKUP('Données projet'!$B$12,Paramètres!$A$1:$I$88,7,0))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projet'!$B$12,Paramètres!$A$1:$I$88,3,0)*0.475*44/12</f>
        <v>#N/A</v>
      </c>
      <c r="CL171" s="23" t="e">
        <f>EXP(-LN(2)/25)*CL170+(1-EXP(-LN(2)/25))/(LN(2)/25)*Calculateur!CG171*Calculateur!CI171*VLOOKUP('Données projet'!$B$12,Paramètres!$A$1:$I$88,3,0)*0.475*44/12</f>
        <v>#N/A</v>
      </c>
      <c r="CM171" s="23" t="e">
        <f>EXP(-LN(2)/2)*CM170+(1-EXP(-LN(2)/2))/(LN(2)/2)*CG171*CJ171*VLOOKUP('Données projet'!$B$12,Paramètres!$A$1:$I$88,3,0)*0.475*44/12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projet'!$B$13,Paramètres!$A$1:$I$88,3,0)*VLOOKUP('Données projet'!$B$13,Paramètres!$A$1:$I$88,5,0)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projet'!$B$13,Paramètres!$A$1:$I$88,7,0))</f>
        <v>0</v>
      </c>
      <c r="DD171" s="17">
        <f>IF(ISNA(VLOOKUP(A171,'Données projet'!$A$139:$I$159,6,0)),0%,VLOOKUP(A171,'Données projet'!$A$139:$I$159,6,0)*VLOOKUP('Données projet'!$B$13,Paramètres!$A$1:$I$88,7,0))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projet'!$B$13,Paramètres!$A$1:$I$88,3,0)*0.475*44/12</f>
        <v>#N/A</v>
      </c>
      <c r="DG171" s="23" t="e">
        <f>EXP(-LN(2)/25)*DG170+(1-EXP(-LN(2)/25))/(LN(2)/25)*Calculateur!DB171*Calculateur!DD171*VLOOKUP('Données projet'!$B$13,Paramètres!$A$1:$I$88,3,0)*0.475*44/12</f>
        <v>#N/A</v>
      </c>
      <c r="DH171" s="23" t="e">
        <f>EXP(-LN(2)/2)*DH170+(1-EXP(-LN(2)/2))/(LN(2)/2)*DB171*DE171*VLOOKUP('Données projet'!$B$13,Paramètres!$A$1:$I$88,3,0)*0.475*44/12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projet'!$B$14,Paramètres!$A$1:$I$88,3,0)*VLOOKUP('Données projet'!$B$14,Paramètres!$A$1:$I$88,5,0)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projet'!$B$14,Paramètres!$A$1:$I$88,7,0))</f>
        <v>0</v>
      </c>
      <c r="DY171" s="17">
        <f>IF(ISNA(VLOOKUP(A171,'Données projet'!$A$165:$I$185,6,0)),0%,VLOOKUP(A171,'Données projet'!$A$165:$I$185,6,0)*VLOOKUP('Données projet'!$B$14,Paramètres!$A$1:$I$88,7,0))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projet'!$B$14,Paramètres!$A$1:$I$88,3,0)*0.475*44/12</f>
        <v>#N/A</v>
      </c>
      <c r="EB171" s="23" t="e">
        <f>EXP(-LN(2)/25)*EB170+(1-EXP(-LN(2)/25))/(LN(2)/25)*Calculateur!DW171*Calculateur!DY171*VLOOKUP('Données projet'!$B$14,Paramètres!$A$1:$I$88,3,0)*0.475*44/12</f>
        <v>#N/A</v>
      </c>
      <c r="EC171" s="23" t="e">
        <f>EXP(-LN(2)/2)*EC170+(1-EXP(-LN(2)/2))/(LN(2)/2)*DW171*DZ171*VLOOKUP('Données projet'!$B$14,Paramètres!$A$1:$I$88,3,0)*0.475*44/12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projet'!$B$15,Paramètres!$A$1:$I$88,3,0)*VLOOKUP('Données projet'!$B$15,Paramètres!$A$1:$I$88,5,0)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projet'!$B$15,Paramètres!$A$1:$I$88,7,0))</f>
        <v>0</v>
      </c>
      <c r="ET171" s="17">
        <f>IF(ISNA(VLOOKUP(A171,'Données projet'!$A$191:$I$211,6,0)),0%,VLOOKUP(A171,'Données projet'!$A$191:$I$211,6,0)*VLOOKUP('Données projet'!$B$15,Paramètres!$A$1:$I$88,7,0))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projet'!$B$15,Paramètres!$A$1:$I$88,3,0)*0.475*44/12</f>
        <v>#N/A</v>
      </c>
      <c r="EW171" s="23" t="e">
        <f>EXP(-LN(2)/25)*EW170+(1-EXP(-LN(2)/25))/(LN(2)/25)*Calculateur!ER171*Calculateur!ET171*VLOOKUP('Données projet'!$B$15,Paramètres!$A$1:$I$88,3,0)*0.475*44/12</f>
        <v>#N/A</v>
      </c>
      <c r="EX171" s="23" t="e">
        <f>EXP(-LN(2)/2)*EX170+(1-EXP(-LN(2)/2))/(LN(2)/2)*ER171*EU171*VLOOKUP('Données projet'!$B$15,Paramètres!$A$1:$I$88,3,0)*0.475*44/12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projet'!$B$16,Paramètres!$A$1:$I$88,3,0)*VLOOKUP('Données projet'!$B$16,Paramètres!$A$1:$I$88,5,0)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projet'!$B$16,Paramètres!$A$1:$I$88,7,0))</f>
        <v>0</v>
      </c>
      <c r="FO171" s="17">
        <f>IF(ISNA(VLOOKUP(A171,'Données projet'!$A$217:$I$237,6,0)),0%,VLOOKUP(A171,'Données projet'!$A$217:$I$237,6,0)*VLOOKUP('Données projet'!$B$16,Paramètres!$A$1:$I$88,7,0))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projet'!$B$16,Paramètres!$A$1:$I$88,3,0)*0.475*44/12</f>
        <v>#N/A</v>
      </c>
      <c r="FR171" s="23" t="e">
        <f>EXP(-LN(2)/25)*FR170+(1-EXP(-LN(2)/25))/(LN(2)/25)*Calculateur!FM171*Calculateur!FO171*VLOOKUP('Données projet'!$B$16,Paramètres!$A$1:$I$88,3,0)*0.475*44/12</f>
        <v>#N/A</v>
      </c>
      <c r="FS171" s="23" t="e">
        <f>EXP(-LN(2)/2)*FS170+(1-EXP(-LN(2)/2))/(LN(2)/2)*FM171*FP171*VLOOKUP('Données projet'!$B$16,Paramètres!$A$1:$I$88,3,0)*0.475*44/12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projet'!$B$17,Paramètres!$A$1:$I$88,3,0)*VLOOKUP('Données projet'!$B$17,Paramètres!$A$1:$I$88,5,0)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projet'!$B$17,Paramètres!$A$1:$I$88,7,0))</f>
        <v>0</v>
      </c>
      <c r="GJ171" s="17">
        <f>IF(ISNA(VLOOKUP(A171,'Données projet'!$A$243:$I$263,6,0)),0%,VLOOKUP(A171,'Données projet'!$A$243:$I$263,6,0)*VLOOKUP('Données projet'!$B$17,Paramètres!$A$1:$I$88,7,0))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projet'!$B$17,Paramètres!$A$1:$I$88,3,0)*0.475*44/12</f>
        <v>#N/A</v>
      </c>
      <c r="GM171" s="23" t="e">
        <f>EXP(-LN(2)/25)*GM170+(1-EXP(-LN(2)/25))/(LN(2)/25)*Calculateur!GH171*Calculateur!GJ171*VLOOKUP('Données projet'!$B$17,Paramètres!$A$1:$I$88,3,0)*0.475*44/12</f>
        <v>#N/A</v>
      </c>
      <c r="GN171" s="23" t="e">
        <f>EXP(-LN(2)/2)*GN170+(1-EXP(-LN(2)/2))/(LN(2)/2)*GH171*GK171*VLOOKUP('Données projet'!$B$17,Paramètres!$A$1:$I$88,3,0)*0.475*44/12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projet'!$B$18,Paramètres!$A$1:$I$88,3,0)*VLOOKUP('Données projet'!$B$18,Paramètres!$A$1:$I$88,5,0)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projet'!$B$18,Paramètres!$A$1:$I$88,7,0))</f>
        <v>0</v>
      </c>
      <c r="HE171" s="17">
        <f>IF(ISNA(VLOOKUP(A171,'Données projet'!$A$269:$I$289,6,0)),0%,VLOOKUP(A171,'Données projet'!$A$269:$I$289,6,0)*VLOOKUP('Données projet'!$B$18,Paramètres!$A$1:$I$88,7,0))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projet'!$B$18,Paramètres!$A$1:$I$88,3,0)*0.475*44/12</f>
        <v>#N/A</v>
      </c>
      <c r="HH171" s="23" t="e">
        <f>EXP(-LN(2)/25)*HH170+(1-EXP(-LN(2)/25))/(LN(2)/25)*Calculateur!HC171*Calculateur!HE171*VLOOKUP('Données projet'!$B$18,Paramètres!$A$1:$I$88,3,0)*0.475*44/12</f>
        <v>#N/A</v>
      </c>
      <c r="HI171" s="23" t="e">
        <f>EXP(-LN(2)/2)*HI170+(1-EXP(-LN(2)/2))/(LN(2)/2)*HC171*HF171*VLOOKUP('Données projet'!$B$18,Paramètres!$A$1:$I$88,3,0)*0.475*44/12</f>
        <v>#N/A</v>
      </c>
      <c r="HJ171" s="24" t="e">
        <f t="shared" si="190"/>
        <v>#N/A</v>
      </c>
    </row>
    <row r="172" spans="1:218" x14ac:dyDescent="0.3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4.5474735088646412E-13</v>
      </c>
      <c r="O172" s="14">
        <f>N172*VLOOKUP('Données projet'!$B$9,Paramètres!$A$1:$I$88,3,0)*VLOOKUP('Données projet'!$B$9,Paramètres!$A$1:$I$88,5,0)</f>
        <v>2.5420376914553347E-13</v>
      </c>
      <c r="P172" s="14">
        <f t="shared" si="141"/>
        <v>3.4258699088369875E-12</v>
      </c>
      <c r="Q172" s="22">
        <f t="shared" si="162"/>
        <v>6.4094616558195571E-12</v>
      </c>
      <c r="R172" s="62">
        <f t="shared" si="109"/>
        <v>288.57137590098284</v>
      </c>
      <c r="S172" s="62">
        <f ca="1">AVERAGE(OFFSET($R$3,0,0,'Données projet'!$E$9+1,1))-AVERAGE(OFFSET($H$3,0,0,'Données projet'!$E$9+1,1))</f>
        <v>367.03450586441784</v>
      </c>
      <c r="T172" s="62">
        <f t="shared" si="142"/>
        <v>413.14502442862897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projet'!$B$9,Paramètres!$A$1:$I$88,7,0))</f>
        <v>0</v>
      </c>
      <c r="X172" s="17">
        <f>IF(ISNA(VLOOKUP(A172,'Données projet'!$A$35:$I$55,6,0)),0%,VLOOKUP(A172,'Données projet'!$A$35:$I$55,6,0)*VLOOKUP('Données projet'!$B$9,Paramètres!$A$1:$I$88,7,0))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projet'!$B$9,Paramètres!$A$1:$I$88,3,0)*0.475*44/12</f>
        <v>27.653875462375744</v>
      </c>
      <c r="AA172" s="23">
        <f>EXP(-LN(2)/25)*AA171+(1-EXP(-LN(2)/25))/(LN(2)/25)*Calculateur!V172*Calculateur!X172*VLOOKUP('Données projet'!$B$9,Paramètres!$A$1:$I$88,3,0)*0.475*44/12</f>
        <v>6.4378647218086273</v>
      </c>
      <c r="AB172" s="23">
        <f>EXP(-LN(2)/2)*AB171+(1-EXP(-LN(2)/2))/(LN(2)/2)*V172*Y172*VLOOKUP('Données projet'!$B$9,Paramètres!$A$1:$I$88,3,0)*0.475*44/12</f>
        <v>0</v>
      </c>
      <c r="AC172" s="24">
        <f t="shared" si="163"/>
        <v>34.091740184184374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projet'!$B$10,Paramètres!$A$1:$I$88,3,0)*VLOOKUP('Données projet'!$B$10,Paramètres!$A$1:$I$88,5,0)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projet'!$B$10,Paramètres!$A$1:$I$88,7,0))</f>
        <v>0</v>
      </c>
      <c r="AS172" s="17">
        <f>IF(ISNA(VLOOKUP(A172,'Données projet'!$A$61:$I$81,6,0)),0%,VLOOKUP(A172,'Données projet'!$A$61:$I$81,6,0)*VLOOKUP('Données projet'!$B$10,Paramètres!$A$1:$I$88,7,0))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projet'!$B$10,Paramètres!$A$1:$I$88,3,0)*0.475*44/12</f>
        <v>#N/A</v>
      </c>
      <c r="AV172" s="23" t="e">
        <f>EXP(-LN(2)/25)*AV171+(1-EXP(-LN(2)/25))/(LN(2)/25)*Calculateur!AQ172*Calculateur!AS172*VLOOKUP('Données projet'!$B$10,Paramètres!$A$1:$I$88,3,0)*0.475*44/12</f>
        <v>#N/A</v>
      </c>
      <c r="AW172" s="23" t="e">
        <f>EXP(-LN(2)/2)*AW171+(1-EXP(-LN(2)/2))/(LN(2)/2)*AQ172*AT172*VLOOKUP('Données projet'!$B$10,Paramètres!$A$1:$I$88,3,0)*0.475*44/12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projet'!$B$11,Paramètres!$A$1:$I$88,3,0)*VLOOKUP('Données projet'!$B$11,Paramètres!$A$1:$I$88,5,0)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projet'!$B$11,Paramètres!$A$1:$I$88,7,0))</f>
        <v>0</v>
      </c>
      <c r="BN172" s="17">
        <f>IF(ISNA(VLOOKUP(A172,'Données projet'!$A$87:$I$107,6,0)),0%,VLOOKUP(A172,'Données projet'!$A$87:$I$107,6,0)*VLOOKUP('Données projet'!$B$11,Paramètres!$A$1:$I$88,7,0))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projet'!$B$11,Paramètres!$A$1:$I$88,3,0)*0.475*44/12</f>
        <v>#N/A</v>
      </c>
      <c r="BQ172" s="23" t="e">
        <f>EXP(-LN(2)/25)*BQ171+(1-EXP(-LN(2)/25))/(LN(2)/25)*Calculateur!BL172*Calculateur!BN172*VLOOKUP('Données projet'!$B$11,Paramètres!$A$1:$I$88,3,0)*0.475*44/12</f>
        <v>#N/A</v>
      </c>
      <c r="BR172" s="23" t="e">
        <f>EXP(-LN(2)/2)*BR171+(1-EXP(-LN(2)/2))/(LN(2)/2)*BL172*BO172*VLOOKUP('Données projet'!$B$11,Paramètres!$A$1:$I$88,3,0)*0.475*44/12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projet'!$B$12,Paramètres!$A$1:$I$88,3,0)*VLOOKUP('Données projet'!$B$12,Paramètres!$A$1:$I$88,5,0)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projet'!$B$12,Paramètres!$A$1:$I$88,7,0))</f>
        <v>0</v>
      </c>
      <c r="CI172" s="17">
        <f>IF(ISNA(VLOOKUP(A172,'Données projet'!$A$113:$I$133,6,0)),0%,VLOOKUP(A172,'Données projet'!$A$113:$I$133,6,0)*VLOOKUP('Données projet'!$B$12,Paramètres!$A$1:$I$88,7,0))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projet'!$B$12,Paramètres!$A$1:$I$88,3,0)*0.475*44/12</f>
        <v>#N/A</v>
      </c>
      <c r="CL172" s="23" t="e">
        <f>EXP(-LN(2)/25)*CL171+(1-EXP(-LN(2)/25))/(LN(2)/25)*Calculateur!CG172*Calculateur!CI172*VLOOKUP('Données projet'!$B$12,Paramètres!$A$1:$I$88,3,0)*0.475*44/12</f>
        <v>#N/A</v>
      </c>
      <c r="CM172" s="23" t="e">
        <f>EXP(-LN(2)/2)*CM171+(1-EXP(-LN(2)/2))/(LN(2)/2)*CG172*CJ172*VLOOKUP('Données projet'!$B$12,Paramètres!$A$1:$I$88,3,0)*0.475*44/12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projet'!$B$13,Paramètres!$A$1:$I$88,3,0)*VLOOKUP('Données projet'!$B$13,Paramètres!$A$1:$I$88,5,0)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projet'!$B$13,Paramètres!$A$1:$I$88,7,0))</f>
        <v>0</v>
      </c>
      <c r="DD172" s="17">
        <f>IF(ISNA(VLOOKUP(A172,'Données projet'!$A$139:$I$159,6,0)),0%,VLOOKUP(A172,'Données projet'!$A$139:$I$159,6,0)*VLOOKUP('Données projet'!$B$13,Paramètres!$A$1:$I$88,7,0))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projet'!$B$13,Paramètres!$A$1:$I$88,3,0)*0.475*44/12</f>
        <v>#N/A</v>
      </c>
      <c r="DG172" s="23" t="e">
        <f>EXP(-LN(2)/25)*DG171+(1-EXP(-LN(2)/25))/(LN(2)/25)*Calculateur!DB172*Calculateur!DD172*VLOOKUP('Données projet'!$B$13,Paramètres!$A$1:$I$88,3,0)*0.475*44/12</f>
        <v>#N/A</v>
      </c>
      <c r="DH172" s="23" t="e">
        <f>EXP(-LN(2)/2)*DH171+(1-EXP(-LN(2)/2))/(LN(2)/2)*DB172*DE172*VLOOKUP('Données projet'!$B$13,Paramètres!$A$1:$I$88,3,0)*0.475*44/12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projet'!$B$14,Paramètres!$A$1:$I$88,3,0)*VLOOKUP('Données projet'!$B$14,Paramètres!$A$1:$I$88,5,0)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projet'!$B$14,Paramètres!$A$1:$I$88,7,0))</f>
        <v>0</v>
      </c>
      <c r="DY172" s="17">
        <f>IF(ISNA(VLOOKUP(A172,'Données projet'!$A$165:$I$185,6,0)),0%,VLOOKUP(A172,'Données projet'!$A$165:$I$185,6,0)*VLOOKUP('Données projet'!$B$14,Paramètres!$A$1:$I$88,7,0))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projet'!$B$14,Paramètres!$A$1:$I$88,3,0)*0.475*44/12</f>
        <v>#N/A</v>
      </c>
      <c r="EB172" s="23" t="e">
        <f>EXP(-LN(2)/25)*EB171+(1-EXP(-LN(2)/25))/(LN(2)/25)*Calculateur!DW172*Calculateur!DY172*VLOOKUP('Données projet'!$B$14,Paramètres!$A$1:$I$88,3,0)*0.475*44/12</f>
        <v>#N/A</v>
      </c>
      <c r="EC172" s="23" t="e">
        <f>EXP(-LN(2)/2)*EC171+(1-EXP(-LN(2)/2))/(LN(2)/2)*DW172*DZ172*VLOOKUP('Données projet'!$B$14,Paramètres!$A$1:$I$88,3,0)*0.475*44/12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projet'!$B$15,Paramètres!$A$1:$I$88,3,0)*VLOOKUP('Données projet'!$B$15,Paramètres!$A$1:$I$88,5,0)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projet'!$B$15,Paramètres!$A$1:$I$88,7,0))</f>
        <v>0</v>
      </c>
      <c r="ET172" s="17">
        <f>IF(ISNA(VLOOKUP(A172,'Données projet'!$A$191:$I$211,6,0)),0%,VLOOKUP(A172,'Données projet'!$A$191:$I$211,6,0)*VLOOKUP('Données projet'!$B$15,Paramètres!$A$1:$I$88,7,0))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projet'!$B$15,Paramètres!$A$1:$I$88,3,0)*0.475*44/12</f>
        <v>#N/A</v>
      </c>
      <c r="EW172" s="23" t="e">
        <f>EXP(-LN(2)/25)*EW171+(1-EXP(-LN(2)/25))/(LN(2)/25)*Calculateur!ER172*Calculateur!ET172*VLOOKUP('Données projet'!$B$15,Paramètres!$A$1:$I$88,3,0)*0.475*44/12</f>
        <v>#N/A</v>
      </c>
      <c r="EX172" s="23" t="e">
        <f>EXP(-LN(2)/2)*EX171+(1-EXP(-LN(2)/2))/(LN(2)/2)*ER172*EU172*VLOOKUP('Données projet'!$B$15,Paramètres!$A$1:$I$88,3,0)*0.475*44/12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projet'!$B$16,Paramètres!$A$1:$I$88,3,0)*VLOOKUP('Données projet'!$B$16,Paramètres!$A$1:$I$88,5,0)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projet'!$B$16,Paramètres!$A$1:$I$88,7,0))</f>
        <v>0</v>
      </c>
      <c r="FO172" s="17">
        <f>IF(ISNA(VLOOKUP(A172,'Données projet'!$A$217:$I$237,6,0)),0%,VLOOKUP(A172,'Données projet'!$A$217:$I$237,6,0)*VLOOKUP('Données projet'!$B$16,Paramètres!$A$1:$I$88,7,0))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projet'!$B$16,Paramètres!$A$1:$I$88,3,0)*0.475*44/12</f>
        <v>#N/A</v>
      </c>
      <c r="FR172" s="23" t="e">
        <f>EXP(-LN(2)/25)*FR171+(1-EXP(-LN(2)/25))/(LN(2)/25)*Calculateur!FM172*Calculateur!FO172*VLOOKUP('Données projet'!$B$16,Paramètres!$A$1:$I$88,3,0)*0.475*44/12</f>
        <v>#N/A</v>
      </c>
      <c r="FS172" s="23" t="e">
        <f>EXP(-LN(2)/2)*FS171+(1-EXP(-LN(2)/2))/(LN(2)/2)*FM172*FP172*VLOOKUP('Données projet'!$B$16,Paramètres!$A$1:$I$88,3,0)*0.475*44/12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projet'!$B$17,Paramètres!$A$1:$I$88,3,0)*VLOOKUP('Données projet'!$B$17,Paramètres!$A$1:$I$88,5,0)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projet'!$B$17,Paramètres!$A$1:$I$88,7,0))</f>
        <v>0</v>
      </c>
      <c r="GJ172" s="17">
        <f>IF(ISNA(VLOOKUP(A172,'Données projet'!$A$243:$I$263,6,0)),0%,VLOOKUP(A172,'Données projet'!$A$243:$I$263,6,0)*VLOOKUP('Données projet'!$B$17,Paramètres!$A$1:$I$88,7,0))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projet'!$B$17,Paramètres!$A$1:$I$88,3,0)*0.475*44/12</f>
        <v>#N/A</v>
      </c>
      <c r="GM172" s="23" t="e">
        <f>EXP(-LN(2)/25)*GM171+(1-EXP(-LN(2)/25))/(LN(2)/25)*Calculateur!GH172*Calculateur!GJ172*VLOOKUP('Données projet'!$B$17,Paramètres!$A$1:$I$88,3,0)*0.475*44/12</f>
        <v>#N/A</v>
      </c>
      <c r="GN172" s="23" t="e">
        <f>EXP(-LN(2)/2)*GN171+(1-EXP(-LN(2)/2))/(LN(2)/2)*GH172*GK172*VLOOKUP('Données projet'!$B$17,Paramètres!$A$1:$I$88,3,0)*0.475*44/12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projet'!$B$18,Paramètres!$A$1:$I$88,3,0)*VLOOKUP('Données projet'!$B$18,Paramètres!$A$1:$I$88,5,0)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projet'!$B$18,Paramètres!$A$1:$I$88,7,0))</f>
        <v>0</v>
      </c>
      <c r="HE172" s="17">
        <f>IF(ISNA(VLOOKUP(A172,'Données projet'!$A$269:$I$289,6,0)),0%,VLOOKUP(A172,'Données projet'!$A$269:$I$289,6,0)*VLOOKUP('Données projet'!$B$18,Paramètres!$A$1:$I$88,7,0))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projet'!$B$18,Paramètres!$A$1:$I$88,3,0)*0.475*44/12</f>
        <v>#N/A</v>
      </c>
      <c r="HH172" s="23" t="e">
        <f>EXP(-LN(2)/25)*HH171+(1-EXP(-LN(2)/25))/(LN(2)/25)*Calculateur!HC172*Calculateur!HE172*VLOOKUP('Données projet'!$B$18,Paramètres!$A$1:$I$88,3,0)*0.475*44/12</f>
        <v>#N/A</v>
      </c>
      <c r="HI172" s="23" t="e">
        <f>EXP(-LN(2)/2)*HI171+(1-EXP(-LN(2)/2))/(LN(2)/2)*HC172*HF172*VLOOKUP('Données projet'!$B$18,Paramètres!$A$1:$I$88,3,0)*0.475*44/12</f>
        <v>#N/A</v>
      </c>
      <c r="HJ172" s="24" t="e">
        <f t="shared" si="190"/>
        <v>#N/A</v>
      </c>
    </row>
    <row r="173" spans="1:218" x14ac:dyDescent="0.3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4.5474735088646412E-13</v>
      </c>
      <c r="O173" s="14">
        <f>N173*VLOOKUP('Données projet'!$B$9,Paramètres!$A$1:$I$88,3,0)*VLOOKUP('Données projet'!$B$9,Paramètres!$A$1:$I$88,5,0)</f>
        <v>2.5420376914553347E-13</v>
      </c>
      <c r="P173" s="14">
        <f t="shared" si="141"/>
        <v>3.4258699088369875E-12</v>
      </c>
      <c r="Q173" s="22">
        <f t="shared" si="162"/>
        <v>6.4094616558195571E-12</v>
      </c>
      <c r="R173" s="62">
        <f t="shared" si="109"/>
        <v>288.65398521629231</v>
      </c>
      <c r="S173" s="62">
        <f ca="1">AVERAGE(OFFSET($R$3,0,0,'Données projet'!$E$9+1,1))-AVERAGE(OFFSET($H$3,0,0,'Données projet'!$E$9+1,1))</f>
        <v>367.03450586441784</v>
      </c>
      <c r="T173" s="62">
        <f t="shared" si="142"/>
        <v>413.14502442862897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projet'!$B$9,Paramètres!$A$1:$I$88,7,0))</f>
        <v>0</v>
      </c>
      <c r="X173" s="17">
        <f>IF(ISNA(VLOOKUP(A173,'Données projet'!$A$35:$I$55,6,0)),0%,VLOOKUP(A173,'Données projet'!$A$35:$I$55,6,0)*VLOOKUP('Données projet'!$B$9,Paramètres!$A$1:$I$88,7,0))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projet'!$B$9,Paramètres!$A$1:$I$88,3,0)*0.475*44/12</f>
        <v>27.11159983175709</v>
      </c>
      <c r="AA173" s="23">
        <f>EXP(-LN(2)/25)*AA172+(1-EXP(-LN(2)/25))/(LN(2)/25)*Calculateur!V173*Calculateur!X173*VLOOKUP('Données projet'!$B$9,Paramètres!$A$1:$I$88,3,0)*0.475*44/12</f>
        <v>6.261820972438179</v>
      </c>
      <c r="AB173" s="23">
        <f>EXP(-LN(2)/2)*AB172+(1-EXP(-LN(2)/2))/(LN(2)/2)*V173*Y173*VLOOKUP('Données projet'!$B$9,Paramètres!$A$1:$I$88,3,0)*0.475*44/12</f>
        <v>0</v>
      </c>
      <c r="AC173" s="24">
        <f t="shared" si="163"/>
        <v>33.37342080419527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projet'!$B$10,Paramètres!$A$1:$I$88,3,0)*VLOOKUP('Données projet'!$B$10,Paramètres!$A$1:$I$88,5,0)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projet'!$B$10,Paramètres!$A$1:$I$88,7,0))</f>
        <v>0</v>
      </c>
      <c r="AS173" s="17">
        <f>IF(ISNA(VLOOKUP(A173,'Données projet'!$A$61:$I$81,6,0)),0%,VLOOKUP(A173,'Données projet'!$A$61:$I$81,6,0)*VLOOKUP('Données projet'!$B$10,Paramètres!$A$1:$I$88,7,0))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projet'!$B$10,Paramètres!$A$1:$I$88,3,0)*0.475*44/12</f>
        <v>#N/A</v>
      </c>
      <c r="AV173" s="23" t="e">
        <f>EXP(-LN(2)/25)*AV172+(1-EXP(-LN(2)/25))/(LN(2)/25)*Calculateur!AQ173*Calculateur!AS173*VLOOKUP('Données projet'!$B$10,Paramètres!$A$1:$I$88,3,0)*0.475*44/12</f>
        <v>#N/A</v>
      </c>
      <c r="AW173" s="23" t="e">
        <f>EXP(-LN(2)/2)*AW172+(1-EXP(-LN(2)/2))/(LN(2)/2)*AQ173*AT173*VLOOKUP('Données projet'!$B$10,Paramètres!$A$1:$I$88,3,0)*0.475*44/12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projet'!$B$11,Paramètres!$A$1:$I$88,3,0)*VLOOKUP('Données projet'!$B$11,Paramètres!$A$1:$I$88,5,0)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projet'!$B$11,Paramètres!$A$1:$I$88,7,0))</f>
        <v>0</v>
      </c>
      <c r="BN173" s="17">
        <f>IF(ISNA(VLOOKUP(A173,'Données projet'!$A$87:$I$107,6,0)),0%,VLOOKUP(A173,'Données projet'!$A$87:$I$107,6,0)*VLOOKUP('Données projet'!$B$11,Paramètres!$A$1:$I$88,7,0))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projet'!$B$11,Paramètres!$A$1:$I$88,3,0)*0.475*44/12</f>
        <v>#N/A</v>
      </c>
      <c r="BQ173" s="23" t="e">
        <f>EXP(-LN(2)/25)*BQ172+(1-EXP(-LN(2)/25))/(LN(2)/25)*Calculateur!BL173*Calculateur!BN173*VLOOKUP('Données projet'!$B$11,Paramètres!$A$1:$I$88,3,0)*0.475*44/12</f>
        <v>#N/A</v>
      </c>
      <c r="BR173" s="23" t="e">
        <f>EXP(-LN(2)/2)*BR172+(1-EXP(-LN(2)/2))/(LN(2)/2)*BL173*BO173*VLOOKUP('Données projet'!$B$11,Paramètres!$A$1:$I$88,3,0)*0.475*44/12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projet'!$B$12,Paramètres!$A$1:$I$88,3,0)*VLOOKUP('Données projet'!$B$12,Paramètres!$A$1:$I$88,5,0)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projet'!$B$12,Paramètres!$A$1:$I$88,7,0))</f>
        <v>0</v>
      </c>
      <c r="CI173" s="17">
        <f>IF(ISNA(VLOOKUP(A173,'Données projet'!$A$113:$I$133,6,0)),0%,VLOOKUP(A173,'Données projet'!$A$113:$I$133,6,0)*VLOOKUP('Données projet'!$B$12,Paramètres!$A$1:$I$88,7,0))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projet'!$B$12,Paramètres!$A$1:$I$88,3,0)*0.475*44/12</f>
        <v>#N/A</v>
      </c>
      <c r="CL173" s="23" t="e">
        <f>EXP(-LN(2)/25)*CL172+(1-EXP(-LN(2)/25))/(LN(2)/25)*Calculateur!CG173*Calculateur!CI173*VLOOKUP('Données projet'!$B$12,Paramètres!$A$1:$I$88,3,0)*0.475*44/12</f>
        <v>#N/A</v>
      </c>
      <c r="CM173" s="23" t="e">
        <f>EXP(-LN(2)/2)*CM172+(1-EXP(-LN(2)/2))/(LN(2)/2)*CG173*CJ173*VLOOKUP('Données projet'!$B$12,Paramètres!$A$1:$I$88,3,0)*0.475*44/12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projet'!$B$13,Paramètres!$A$1:$I$88,3,0)*VLOOKUP('Données projet'!$B$13,Paramètres!$A$1:$I$88,5,0)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projet'!$B$13,Paramètres!$A$1:$I$88,7,0))</f>
        <v>0</v>
      </c>
      <c r="DD173" s="17">
        <f>IF(ISNA(VLOOKUP(A173,'Données projet'!$A$139:$I$159,6,0)),0%,VLOOKUP(A173,'Données projet'!$A$139:$I$159,6,0)*VLOOKUP('Données projet'!$B$13,Paramètres!$A$1:$I$88,7,0))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projet'!$B$13,Paramètres!$A$1:$I$88,3,0)*0.475*44/12</f>
        <v>#N/A</v>
      </c>
      <c r="DG173" s="23" t="e">
        <f>EXP(-LN(2)/25)*DG172+(1-EXP(-LN(2)/25))/(LN(2)/25)*Calculateur!DB173*Calculateur!DD173*VLOOKUP('Données projet'!$B$13,Paramètres!$A$1:$I$88,3,0)*0.475*44/12</f>
        <v>#N/A</v>
      </c>
      <c r="DH173" s="23" t="e">
        <f>EXP(-LN(2)/2)*DH172+(1-EXP(-LN(2)/2))/(LN(2)/2)*DB173*DE173*VLOOKUP('Données projet'!$B$13,Paramètres!$A$1:$I$88,3,0)*0.475*44/12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projet'!$B$14,Paramètres!$A$1:$I$88,3,0)*VLOOKUP('Données projet'!$B$14,Paramètres!$A$1:$I$88,5,0)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projet'!$B$14,Paramètres!$A$1:$I$88,7,0))</f>
        <v>0</v>
      </c>
      <c r="DY173" s="17">
        <f>IF(ISNA(VLOOKUP(A173,'Données projet'!$A$165:$I$185,6,0)),0%,VLOOKUP(A173,'Données projet'!$A$165:$I$185,6,0)*VLOOKUP('Données projet'!$B$14,Paramètres!$A$1:$I$88,7,0))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projet'!$B$14,Paramètres!$A$1:$I$88,3,0)*0.475*44/12</f>
        <v>#N/A</v>
      </c>
      <c r="EB173" s="23" t="e">
        <f>EXP(-LN(2)/25)*EB172+(1-EXP(-LN(2)/25))/(LN(2)/25)*Calculateur!DW173*Calculateur!DY173*VLOOKUP('Données projet'!$B$14,Paramètres!$A$1:$I$88,3,0)*0.475*44/12</f>
        <v>#N/A</v>
      </c>
      <c r="EC173" s="23" t="e">
        <f>EXP(-LN(2)/2)*EC172+(1-EXP(-LN(2)/2))/(LN(2)/2)*DW173*DZ173*VLOOKUP('Données projet'!$B$14,Paramètres!$A$1:$I$88,3,0)*0.475*44/12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projet'!$B$15,Paramètres!$A$1:$I$88,3,0)*VLOOKUP('Données projet'!$B$15,Paramètres!$A$1:$I$88,5,0)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projet'!$B$15,Paramètres!$A$1:$I$88,7,0))</f>
        <v>0</v>
      </c>
      <c r="ET173" s="17">
        <f>IF(ISNA(VLOOKUP(A173,'Données projet'!$A$191:$I$211,6,0)),0%,VLOOKUP(A173,'Données projet'!$A$191:$I$211,6,0)*VLOOKUP('Données projet'!$B$15,Paramètres!$A$1:$I$88,7,0))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projet'!$B$15,Paramètres!$A$1:$I$88,3,0)*0.475*44/12</f>
        <v>#N/A</v>
      </c>
      <c r="EW173" s="23" t="e">
        <f>EXP(-LN(2)/25)*EW172+(1-EXP(-LN(2)/25))/(LN(2)/25)*Calculateur!ER173*Calculateur!ET173*VLOOKUP('Données projet'!$B$15,Paramètres!$A$1:$I$88,3,0)*0.475*44/12</f>
        <v>#N/A</v>
      </c>
      <c r="EX173" s="23" t="e">
        <f>EXP(-LN(2)/2)*EX172+(1-EXP(-LN(2)/2))/(LN(2)/2)*ER173*EU173*VLOOKUP('Données projet'!$B$15,Paramètres!$A$1:$I$88,3,0)*0.475*44/12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projet'!$B$16,Paramètres!$A$1:$I$88,3,0)*VLOOKUP('Données projet'!$B$16,Paramètres!$A$1:$I$88,5,0)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projet'!$B$16,Paramètres!$A$1:$I$88,7,0))</f>
        <v>0</v>
      </c>
      <c r="FO173" s="17">
        <f>IF(ISNA(VLOOKUP(A173,'Données projet'!$A$217:$I$237,6,0)),0%,VLOOKUP(A173,'Données projet'!$A$217:$I$237,6,0)*VLOOKUP('Données projet'!$B$16,Paramètres!$A$1:$I$88,7,0))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projet'!$B$16,Paramètres!$A$1:$I$88,3,0)*0.475*44/12</f>
        <v>#N/A</v>
      </c>
      <c r="FR173" s="23" t="e">
        <f>EXP(-LN(2)/25)*FR172+(1-EXP(-LN(2)/25))/(LN(2)/25)*Calculateur!FM173*Calculateur!FO173*VLOOKUP('Données projet'!$B$16,Paramètres!$A$1:$I$88,3,0)*0.475*44/12</f>
        <v>#N/A</v>
      </c>
      <c r="FS173" s="23" t="e">
        <f>EXP(-LN(2)/2)*FS172+(1-EXP(-LN(2)/2))/(LN(2)/2)*FM173*FP173*VLOOKUP('Données projet'!$B$16,Paramètres!$A$1:$I$88,3,0)*0.475*44/12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projet'!$B$17,Paramètres!$A$1:$I$88,3,0)*VLOOKUP('Données projet'!$B$17,Paramètres!$A$1:$I$88,5,0)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projet'!$B$17,Paramètres!$A$1:$I$88,7,0))</f>
        <v>0</v>
      </c>
      <c r="GJ173" s="17">
        <f>IF(ISNA(VLOOKUP(A173,'Données projet'!$A$243:$I$263,6,0)),0%,VLOOKUP(A173,'Données projet'!$A$243:$I$263,6,0)*VLOOKUP('Données projet'!$B$17,Paramètres!$A$1:$I$88,7,0))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projet'!$B$17,Paramètres!$A$1:$I$88,3,0)*0.475*44/12</f>
        <v>#N/A</v>
      </c>
      <c r="GM173" s="23" t="e">
        <f>EXP(-LN(2)/25)*GM172+(1-EXP(-LN(2)/25))/(LN(2)/25)*Calculateur!GH173*Calculateur!GJ173*VLOOKUP('Données projet'!$B$17,Paramètres!$A$1:$I$88,3,0)*0.475*44/12</f>
        <v>#N/A</v>
      </c>
      <c r="GN173" s="23" t="e">
        <f>EXP(-LN(2)/2)*GN172+(1-EXP(-LN(2)/2))/(LN(2)/2)*GH173*GK173*VLOOKUP('Données projet'!$B$17,Paramètres!$A$1:$I$88,3,0)*0.475*44/12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projet'!$B$18,Paramètres!$A$1:$I$88,3,0)*VLOOKUP('Données projet'!$B$18,Paramètres!$A$1:$I$88,5,0)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projet'!$B$18,Paramètres!$A$1:$I$88,7,0))</f>
        <v>0</v>
      </c>
      <c r="HE173" s="17">
        <f>IF(ISNA(VLOOKUP(A173,'Données projet'!$A$269:$I$289,6,0)),0%,VLOOKUP(A173,'Données projet'!$A$269:$I$289,6,0)*VLOOKUP('Données projet'!$B$18,Paramètres!$A$1:$I$88,7,0))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projet'!$B$18,Paramètres!$A$1:$I$88,3,0)*0.475*44/12</f>
        <v>#N/A</v>
      </c>
      <c r="HH173" s="23" t="e">
        <f>EXP(-LN(2)/25)*HH172+(1-EXP(-LN(2)/25))/(LN(2)/25)*Calculateur!HC173*Calculateur!HE173*VLOOKUP('Données projet'!$B$18,Paramètres!$A$1:$I$88,3,0)*0.475*44/12</f>
        <v>#N/A</v>
      </c>
      <c r="HI173" s="23" t="e">
        <f>EXP(-LN(2)/2)*HI172+(1-EXP(-LN(2)/2))/(LN(2)/2)*HC173*HF173*VLOOKUP('Données projet'!$B$18,Paramètres!$A$1:$I$88,3,0)*0.475*44/12</f>
        <v>#N/A</v>
      </c>
      <c r="HJ173" s="24" t="e">
        <f t="shared" si="190"/>
        <v>#N/A</v>
      </c>
    </row>
    <row r="174" spans="1:218" x14ac:dyDescent="0.3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4.5474735088646412E-13</v>
      </c>
      <c r="O174" s="14">
        <f>N174*VLOOKUP('Données projet'!$B$9,Paramètres!$A$1:$I$88,3,0)*VLOOKUP('Données projet'!$B$9,Paramètres!$A$1:$I$88,5,0)</f>
        <v>2.5420376914553347E-13</v>
      </c>
      <c r="P174" s="14">
        <f t="shared" si="141"/>
        <v>3.4258699088369875E-12</v>
      </c>
      <c r="Q174" s="22">
        <f t="shared" si="162"/>
        <v>6.4094616558195571E-12</v>
      </c>
      <c r="R174" s="62">
        <f t="shared" si="109"/>
        <v>288.73516144466794</v>
      </c>
      <c r="S174" s="62">
        <f ca="1">AVERAGE(OFFSET($R$3,0,0,'Données projet'!$E$9+1,1))-AVERAGE(OFFSET($H$3,0,0,'Données projet'!$E$9+1,1))</f>
        <v>367.03450586441784</v>
      </c>
      <c r="T174" s="62">
        <f t="shared" si="142"/>
        <v>413.14502442862897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projet'!$B$9,Paramètres!$A$1:$I$88,7,0))</f>
        <v>0</v>
      </c>
      <c r="X174" s="17">
        <f>IF(ISNA(VLOOKUP(A174,'Données projet'!$A$35:$I$55,6,0)),0%,VLOOKUP(A174,'Données projet'!$A$35:$I$55,6,0)*VLOOKUP('Données projet'!$B$9,Paramètres!$A$1:$I$88,7,0))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projet'!$B$9,Paramètres!$A$1:$I$88,3,0)*0.475*44/12</f>
        <v>26.579957895499394</v>
      </c>
      <c r="AA174" s="23">
        <f>EXP(-LN(2)/25)*AA173+(1-EXP(-LN(2)/25))/(LN(2)/25)*Calculateur!V174*Calculateur!X174*VLOOKUP('Données projet'!$B$9,Paramètres!$A$1:$I$88,3,0)*0.475*44/12</f>
        <v>6.0905911486520035</v>
      </c>
      <c r="AB174" s="23">
        <f>EXP(-LN(2)/2)*AB173+(1-EXP(-LN(2)/2))/(LN(2)/2)*V174*Y174*VLOOKUP('Données projet'!$B$9,Paramètres!$A$1:$I$88,3,0)*0.475*44/12</f>
        <v>0</v>
      </c>
      <c r="AC174" s="24">
        <f t="shared" si="163"/>
        <v>32.6705490441514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projet'!$B$10,Paramètres!$A$1:$I$88,3,0)*VLOOKUP('Données projet'!$B$10,Paramètres!$A$1:$I$88,5,0)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projet'!$B$10,Paramètres!$A$1:$I$88,7,0))</f>
        <v>0</v>
      </c>
      <c r="AS174" s="17">
        <f>IF(ISNA(VLOOKUP(A174,'Données projet'!$A$61:$I$81,6,0)),0%,VLOOKUP(A174,'Données projet'!$A$61:$I$81,6,0)*VLOOKUP('Données projet'!$B$10,Paramètres!$A$1:$I$88,7,0))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projet'!$B$10,Paramètres!$A$1:$I$88,3,0)*0.475*44/12</f>
        <v>#N/A</v>
      </c>
      <c r="AV174" s="23" t="e">
        <f>EXP(-LN(2)/25)*AV173+(1-EXP(-LN(2)/25))/(LN(2)/25)*Calculateur!AQ174*Calculateur!AS174*VLOOKUP('Données projet'!$B$10,Paramètres!$A$1:$I$88,3,0)*0.475*44/12</f>
        <v>#N/A</v>
      </c>
      <c r="AW174" s="23" t="e">
        <f>EXP(-LN(2)/2)*AW173+(1-EXP(-LN(2)/2))/(LN(2)/2)*AQ174*AT174*VLOOKUP('Données projet'!$B$10,Paramètres!$A$1:$I$88,3,0)*0.475*44/12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projet'!$B$11,Paramètres!$A$1:$I$88,3,0)*VLOOKUP('Données projet'!$B$11,Paramètres!$A$1:$I$88,5,0)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projet'!$B$11,Paramètres!$A$1:$I$88,7,0))</f>
        <v>0</v>
      </c>
      <c r="BN174" s="17">
        <f>IF(ISNA(VLOOKUP(A174,'Données projet'!$A$87:$I$107,6,0)),0%,VLOOKUP(A174,'Données projet'!$A$87:$I$107,6,0)*VLOOKUP('Données projet'!$B$11,Paramètres!$A$1:$I$88,7,0))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projet'!$B$11,Paramètres!$A$1:$I$88,3,0)*0.475*44/12</f>
        <v>#N/A</v>
      </c>
      <c r="BQ174" s="23" t="e">
        <f>EXP(-LN(2)/25)*BQ173+(1-EXP(-LN(2)/25))/(LN(2)/25)*Calculateur!BL174*Calculateur!BN174*VLOOKUP('Données projet'!$B$11,Paramètres!$A$1:$I$88,3,0)*0.475*44/12</f>
        <v>#N/A</v>
      </c>
      <c r="BR174" s="23" t="e">
        <f>EXP(-LN(2)/2)*BR173+(1-EXP(-LN(2)/2))/(LN(2)/2)*BL174*BO174*VLOOKUP('Données projet'!$B$11,Paramètres!$A$1:$I$88,3,0)*0.475*44/12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projet'!$B$12,Paramètres!$A$1:$I$88,3,0)*VLOOKUP('Données projet'!$B$12,Paramètres!$A$1:$I$88,5,0)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projet'!$B$12,Paramètres!$A$1:$I$88,7,0))</f>
        <v>0</v>
      </c>
      <c r="CI174" s="17">
        <f>IF(ISNA(VLOOKUP(A174,'Données projet'!$A$113:$I$133,6,0)),0%,VLOOKUP(A174,'Données projet'!$A$113:$I$133,6,0)*VLOOKUP('Données projet'!$B$12,Paramètres!$A$1:$I$88,7,0))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projet'!$B$12,Paramètres!$A$1:$I$88,3,0)*0.475*44/12</f>
        <v>#N/A</v>
      </c>
      <c r="CL174" s="23" t="e">
        <f>EXP(-LN(2)/25)*CL173+(1-EXP(-LN(2)/25))/(LN(2)/25)*Calculateur!CG174*Calculateur!CI174*VLOOKUP('Données projet'!$B$12,Paramètres!$A$1:$I$88,3,0)*0.475*44/12</f>
        <v>#N/A</v>
      </c>
      <c r="CM174" s="23" t="e">
        <f>EXP(-LN(2)/2)*CM173+(1-EXP(-LN(2)/2))/(LN(2)/2)*CG174*CJ174*VLOOKUP('Données projet'!$B$12,Paramètres!$A$1:$I$88,3,0)*0.475*44/12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projet'!$B$13,Paramètres!$A$1:$I$88,3,0)*VLOOKUP('Données projet'!$B$13,Paramètres!$A$1:$I$88,5,0)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projet'!$B$13,Paramètres!$A$1:$I$88,7,0))</f>
        <v>0</v>
      </c>
      <c r="DD174" s="17">
        <f>IF(ISNA(VLOOKUP(A174,'Données projet'!$A$139:$I$159,6,0)),0%,VLOOKUP(A174,'Données projet'!$A$139:$I$159,6,0)*VLOOKUP('Données projet'!$B$13,Paramètres!$A$1:$I$88,7,0))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projet'!$B$13,Paramètres!$A$1:$I$88,3,0)*0.475*44/12</f>
        <v>#N/A</v>
      </c>
      <c r="DG174" s="23" t="e">
        <f>EXP(-LN(2)/25)*DG173+(1-EXP(-LN(2)/25))/(LN(2)/25)*Calculateur!DB174*Calculateur!DD174*VLOOKUP('Données projet'!$B$13,Paramètres!$A$1:$I$88,3,0)*0.475*44/12</f>
        <v>#N/A</v>
      </c>
      <c r="DH174" s="23" t="e">
        <f>EXP(-LN(2)/2)*DH173+(1-EXP(-LN(2)/2))/(LN(2)/2)*DB174*DE174*VLOOKUP('Données projet'!$B$13,Paramètres!$A$1:$I$88,3,0)*0.475*44/12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projet'!$B$14,Paramètres!$A$1:$I$88,3,0)*VLOOKUP('Données projet'!$B$14,Paramètres!$A$1:$I$88,5,0)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projet'!$B$14,Paramètres!$A$1:$I$88,7,0))</f>
        <v>0</v>
      </c>
      <c r="DY174" s="17">
        <f>IF(ISNA(VLOOKUP(A174,'Données projet'!$A$165:$I$185,6,0)),0%,VLOOKUP(A174,'Données projet'!$A$165:$I$185,6,0)*VLOOKUP('Données projet'!$B$14,Paramètres!$A$1:$I$88,7,0))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projet'!$B$14,Paramètres!$A$1:$I$88,3,0)*0.475*44/12</f>
        <v>#N/A</v>
      </c>
      <c r="EB174" s="23" t="e">
        <f>EXP(-LN(2)/25)*EB173+(1-EXP(-LN(2)/25))/(LN(2)/25)*Calculateur!DW174*Calculateur!DY174*VLOOKUP('Données projet'!$B$14,Paramètres!$A$1:$I$88,3,0)*0.475*44/12</f>
        <v>#N/A</v>
      </c>
      <c r="EC174" s="23" t="e">
        <f>EXP(-LN(2)/2)*EC173+(1-EXP(-LN(2)/2))/(LN(2)/2)*DW174*DZ174*VLOOKUP('Données projet'!$B$14,Paramètres!$A$1:$I$88,3,0)*0.475*44/12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projet'!$B$15,Paramètres!$A$1:$I$88,3,0)*VLOOKUP('Données projet'!$B$15,Paramètres!$A$1:$I$88,5,0)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projet'!$B$15,Paramètres!$A$1:$I$88,7,0))</f>
        <v>0</v>
      </c>
      <c r="ET174" s="17">
        <f>IF(ISNA(VLOOKUP(A174,'Données projet'!$A$191:$I$211,6,0)),0%,VLOOKUP(A174,'Données projet'!$A$191:$I$211,6,0)*VLOOKUP('Données projet'!$B$15,Paramètres!$A$1:$I$88,7,0))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projet'!$B$15,Paramètres!$A$1:$I$88,3,0)*0.475*44/12</f>
        <v>#N/A</v>
      </c>
      <c r="EW174" s="23" t="e">
        <f>EXP(-LN(2)/25)*EW173+(1-EXP(-LN(2)/25))/(LN(2)/25)*Calculateur!ER174*Calculateur!ET174*VLOOKUP('Données projet'!$B$15,Paramètres!$A$1:$I$88,3,0)*0.475*44/12</f>
        <v>#N/A</v>
      </c>
      <c r="EX174" s="23" t="e">
        <f>EXP(-LN(2)/2)*EX173+(1-EXP(-LN(2)/2))/(LN(2)/2)*ER174*EU174*VLOOKUP('Données projet'!$B$15,Paramètres!$A$1:$I$88,3,0)*0.475*44/12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projet'!$B$16,Paramètres!$A$1:$I$88,3,0)*VLOOKUP('Données projet'!$B$16,Paramètres!$A$1:$I$88,5,0)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projet'!$B$16,Paramètres!$A$1:$I$88,7,0))</f>
        <v>0</v>
      </c>
      <c r="FO174" s="17">
        <f>IF(ISNA(VLOOKUP(A174,'Données projet'!$A$217:$I$237,6,0)),0%,VLOOKUP(A174,'Données projet'!$A$217:$I$237,6,0)*VLOOKUP('Données projet'!$B$16,Paramètres!$A$1:$I$88,7,0))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projet'!$B$16,Paramètres!$A$1:$I$88,3,0)*0.475*44/12</f>
        <v>#N/A</v>
      </c>
      <c r="FR174" s="23" t="e">
        <f>EXP(-LN(2)/25)*FR173+(1-EXP(-LN(2)/25))/(LN(2)/25)*Calculateur!FM174*Calculateur!FO174*VLOOKUP('Données projet'!$B$16,Paramètres!$A$1:$I$88,3,0)*0.475*44/12</f>
        <v>#N/A</v>
      </c>
      <c r="FS174" s="23" t="e">
        <f>EXP(-LN(2)/2)*FS173+(1-EXP(-LN(2)/2))/(LN(2)/2)*FM174*FP174*VLOOKUP('Données projet'!$B$16,Paramètres!$A$1:$I$88,3,0)*0.475*44/12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projet'!$B$17,Paramètres!$A$1:$I$88,3,0)*VLOOKUP('Données projet'!$B$17,Paramètres!$A$1:$I$88,5,0)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projet'!$B$17,Paramètres!$A$1:$I$88,7,0))</f>
        <v>0</v>
      </c>
      <c r="GJ174" s="17">
        <f>IF(ISNA(VLOOKUP(A174,'Données projet'!$A$243:$I$263,6,0)),0%,VLOOKUP(A174,'Données projet'!$A$243:$I$263,6,0)*VLOOKUP('Données projet'!$B$17,Paramètres!$A$1:$I$88,7,0))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projet'!$B$17,Paramètres!$A$1:$I$88,3,0)*0.475*44/12</f>
        <v>#N/A</v>
      </c>
      <c r="GM174" s="23" t="e">
        <f>EXP(-LN(2)/25)*GM173+(1-EXP(-LN(2)/25))/(LN(2)/25)*Calculateur!GH174*Calculateur!GJ174*VLOOKUP('Données projet'!$B$17,Paramètres!$A$1:$I$88,3,0)*0.475*44/12</f>
        <v>#N/A</v>
      </c>
      <c r="GN174" s="23" t="e">
        <f>EXP(-LN(2)/2)*GN173+(1-EXP(-LN(2)/2))/(LN(2)/2)*GH174*GK174*VLOOKUP('Données projet'!$B$17,Paramètres!$A$1:$I$88,3,0)*0.475*44/12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projet'!$B$18,Paramètres!$A$1:$I$88,3,0)*VLOOKUP('Données projet'!$B$18,Paramètres!$A$1:$I$88,5,0)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projet'!$B$18,Paramètres!$A$1:$I$88,7,0))</f>
        <v>0</v>
      </c>
      <c r="HE174" s="17">
        <f>IF(ISNA(VLOOKUP(A174,'Données projet'!$A$269:$I$289,6,0)),0%,VLOOKUP(A174,'Données projet'!$A$269:$I$289,6,0)*VLOOKUP('Données projet'!$B$18,Paramètres!$A$1:$I$88,7,0))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projet'!$B$18,Paramètres!$A$1:$I$88,3,0)*0.475*44/12</f>
        <v>#N/A</v>
      </c>
      <c r="HH174" s="23" t="e">
        <f>EXP(-LN(2)/25)*HH173+(1-EXP(-LN(2)/25))/(LN(2)/25)*Calculateur!HC174*Calculateur!HE174*VLOOKUP('Données projet'!$B$18,Paramètres!$A$1:$I$88,3,0)*0.475*44/12</f>
        <v>#N/A</v>
      </c>
      <c r="HI174" s="23" t="e">
        <f>EXP(-LN(2)/2)*HI173+(1-EXP(-LN(2)/2))/(LN(2)/2)*HC174*HF174*VLOOKUP('Données projet'!$B$18,Paramètres!$A$1:$I$88,3,0)*0.475*44/12</f>
        <v>#N/A</v>
      </c>
      <c r="HJ174" s="24" t="e">
        <f t="shared" si="190"/>
        <v>#N/A</v>
      </c>
    </row>
    <row r="175" spans="1:218" x14ac:dyDescent="0.3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4.5474735088646412E-13</v>
      </c>
      <c r="O175" s="14">
        <f>N175*VLOOKUP('Données projet'!$B$9,Paramètres!$A$1:$I$88,3,0)*VLOOKUP('Données projet'!$B$9,Paramètres!$A$1:$I$88,5,0)</f>
        <v>2.5420376914553347E-13</v>
      </c>
      <c r="P175" s="14">
        <f t="shared" si="141"/>
        <v>3.4258699088369875E-12</v>
      </c>
      <c r="Q175" s="22">
        <f t="shared" si="162"/>
        <v>6.4094616558195571E-12</v>
      </c>
      <c r="R175" s="62">
        <f t="shared" si="109"/>
        <v>288.81492944696407</v>
      </c>
      <c r="S175" s="62">
        <f ca="1">AVERAGE(OFFSET($R$3,0,0,'Données projet'!$E$9+1,1))-AVERAGE(OFFSET($H$3,0,0,'Données projet'!$E$9+1,1))</f>
        <v>367.03450586441784</v>
      </c>
      <c r="T175" s="62">
        <f t="shared" si="142"/>
        <v>413.14502442862897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projet'!$B$9,Paramètres!$A$1:$I$88,7,0))</f>
        <v>0</v>
      </c>
      <c r="X175" s="17">
        <f>IF(ISNA(VLOOKUP(A175,'Données projet'!$A$35:$I$55,6,0)),0%,VLOOKUP(A175,'Données projet'!$A$35:$I$55,6,0)*VLOOKUP('Données projet'!$B$9,Paramètres!$A$1:$I$88,7,0))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projet'!$B$9,Paramètres!$A$1:$I$88,3,0)*0.475*44/12</f>
        <v>26.058741133342149</v>
      </c>
      <c r="AA175" s="23">
        <f>EXP(-LN(2)/25)*AA174+(1-EXP(-LN(2)/25))/(LN(2)/25)*Calculateur!V175*Calculateur!X175*VLOOKUP('Données projet'!$B$9,Paramètres!$A$1:$I$88,3,0)*0.475*44/12</f>
        <v>5.9240436134018459</v>
      </c>
      <c r="AB175" s="23">
        <f>EXP(-LN(2)/2)*AB174+(1-EXP(-LN(2)/2))/(LN(2)/2)*V175*Y175*VLOOKUP('Données projet'!$B$9,Paramètres!$A$1:$I$88,3,0)*0.475*44/12</f>
        <v>0</v>
      </c>
      <c r="AC175" s="24">
        <f t="shared" si="163"/>
        <v>31.982784746743995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projet'!$B$10,Paramètres!$A$1:$I$88,3,0)*VLOOKUP('Données projet'!$B$10,Paramètres!$A$1:$I$88,5,0)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projet'!$B$10,Paramètres!$A$1:$I$88,7,0))</f>
        <v>0</v>
      </c>
      <c r="AS175" s="17">
        <f>IF(ISNA(VLOOKUP(A175,'Données projet'!$A$61:$I$81,6,0)),0%,VLOOKUP(A175,'Données projet'!$A$61:$I$81,6,0)*VLOOKUP('Données projet'!$B$10,Paramètres!$A$1:$I$88,7,0))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projet'!$B$10,Paramètres!$A$1:$I$88,3,0)*0.475*44/12</f>
        <v>#N/A</v>
      </c>
      <c r="AV175" s="23" t="e">
        <f>EXP(-LN(2)/25)*AV174+(1-EXP(-LN(2)/25))/(LN(2)/25)*Calculateur!AQ175*Calculateur!AS175*VLOOKUP('Données projet'!$B$10,Paramètres!$A$1:$I$88,3,0)*0.475*44/12</f>
        <v>#N/A</v>
      </c>
      <c r="AW175" s="23" t="e">
        <f>EXP(-LN(2)/2)*AW174+(1-EXP(-LN(2)/2))/(LN(2)/2)*AQ175*AT175*VLOOKUP('Données projet'!$B$10,Paramètres!$A$1:$I$88,3,0)*0.475*44/12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projet'!$B$11,Paramètres!$A$1:$I$88,3,0)*VLOOKUP('Données projet'!$B$11,Paramètres!$A$1:$I$88,5,0)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projet'!$B$11,Paramètres!$A$1:$I$88,7,0))</f>
        <v>0</v>
      </c>
      <c r="BN175" s="17">
        <f>IF(ISNA(VLOOKUP(A175,'Données projet'!$A$87:$I$107,6,0)),0%,VLOOKUP(A175,'Données projet'!$A$87:$I$107,6,0)*VLOOKUP('Données projet'!$B$11,Paramètres!$A$1:$I$88,7,0))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projet'!$B$11,Paramètres!$A$1:$I$88,3,0)*0.475*44/12</f>
        <v>#N/A</v>
      </c>
      <c r="BQ175" s="23" t="e">
        <f>EXP(-LN(2)/25)*BQ174+(1-EXP(-LN(2)/25))/(LN(2)/25)*Calculateur!BL175*Calculateur!BN175*VLOOKUP('Données projet'!$B$11,Paramètres!$A$1:$I$88,3,0)*0.475*44/12</f>
        <v>#N/A</v>
      </c>
      <c r="BR175" s="23" t="e">
        <f>EXP(-LN(2)/2)*BR174+(1-EXP(-LN(2)/2))/(LN(2)/2)*BL175*BO175*VLOOKUP('Données projet'!$B$11,Paramètres!$A$1:$I$88,3,0)*0.475*44/12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projet'!$B$12,Paramètres!$A$1:$I$88,3,0)*VLOOKUP('Données projet'!$B$12,Paramètres!$A$1:$I$88,5,0)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projet'!$B$12,Paramètres!$A$1:$I$88,7,0))</f>
        <v>0</v>
      </c>
      <c r="CI175" s="17">
        <f>IF(ISNA(VLOOKUP(A175,'Données projet'!$A$113:$I$133,6,0)),0%,VLOOKUP(A175,'Données projet'!$A$113:$I$133,6,0)*VLOOKUP('Données projet'!$B$12,Paramètres!$A$1:$I$88,7,0))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projet'!$B$12,Paramètres!$A$1:$I$88,3,0)*0.475*44/12</f>
        <v>#N/A</v>
      </c>
      <c r="CL175" s="23" t="e">
        <f>EXP(-LN(2)/25)*CL174+(1-EXP(-LN(2)/25))/(LN(2)/25)*Calculateur!CG175*Calculateur!CI175*VLOOKUP('Données projet'!$B$12,Paramètres!$A$1:$I$88,3,0)*0.475*44/12</f>
        <v>#N/A</v>
      </c>
      <c r="CM175" s="23" t="e">
        <f>EXP(-LN(2)/2)*CM174+(1-EXP(-LN(2)/2))/(LN(2)/2)*CG175*CJ175*VLOOKUP('Données projet'!$B$12,Paramètres!$A$1:$I$88,3,0)*0.475*44/12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projet'!$B$13,Paramètres!$A$1:$I$88,3,0)*VLOOKUP('Données projet'!$B$13,Paramètres!$A$1:$I$88,5,0)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projet'!$B$13,Paramètres!$A$1:$I$88,7,0))</f>
        <v>0</v>
      </c>
      <c r="DD175" s="17">
        <f>IF(ISNA(VLOOKUP(A175,'Données projet'!$A$139:$I$159,6,0)),0%,VLOOKUP(A175,'Données projet'!$A$139:$I$159,6,0)*VLOOKUP('Données projet'!$B$13,Paramètres!$A$1:$I$88,7,0))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projet'!$B$13,Paramètres!$A$1:$I$88,3,0)*0.475*44/12</f>
        <v>#N/A</v>
      </c>
      <c r="DG175" s="23" t="e">
        <f>EXP(-LN(2)/25)*DG174+(1-EXP(-LN(2)/25))/(LN(2)/25)*Calculateur!DB175*Calculateur!DD175*VLOOKUP('Données projet'!$B$13,Paramètres!$A$1:$I$88,3,0)*0.475*44/12</f>
        <v>#N/A</v>
      </c>
      <c r="DH175" s="23" t="e">
        <f>EXP(-LN(2)/2)*DH174+(1-EXP(-LN(2)/2))/(LN(2)/2)*DB175*DE175*VLOOKUP('Données projet'!$B$13,Paramètres!$A$1:$I$88,3,0)*0.475*44/12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projet'!$B$14,Paramètres!$A$1:$I$88,3,0)*VLOOKUP('Données projet'!$B$14,Paramètres!$A$1:$I$88,5,0)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projet'!$B$14,Paramètres!$A$1:$I$88,7,0))</f>
        <v>0</v>
      </c>
      <c r="DY175" s="17">
        <f>IF(ISNA(VLOOKUP(A175,'Données projet'!$A$165:$I$185,6,0)),0%,VLOOKUP(A175,'Données projet'!$A$165:$I$185,6,0)*VLOOKUP('Données projet'!$B$14,Paramètres!$A$1:$I$88,7,0))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projet'!$B$14,Paramètres!$A$1:$I$88,3,0)*0.475*44/12</f>
        <v>#N/A</v>
      </c>
      <c r="EB175" s="23" t="e">
        <f>EXP(-LN(2)/25)*EB174+(1-EXP(-LN(2)/25))/(LN(2)/25)*Calculateur!DW175*Calculateur!DY175*VLOOKUP('Données projet'!$B$14,Paramètres!$A$1:$I$88,3,0)*0.475*44/12</f>
        <v>#N/A</v>
      </c>
      <c r="EC175" s="23" t="e">
        <f>EXP(-LN(2)/2)*EC174+(1-EXP(-LN(2)/2))/(LN(2)/2)*DW175*DZ175*VLOOKUP('Données projet'!$B$14,Paramètres!$A$1:$I$88,3,0)*0.475*44/12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projet'!$B$15,Paramètres!$A$1:$I$88,3,0)*VLOOKUP('Données projet'!$B$15,Paramètres!$A$1:$I$88,5,0)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projet'!$B$15,Paramètres!$A$1:$I$88,7,0))</f>
        <v>0</v>
      </c>
      <c r="ET175" s="17">
        <f>IF(ISNA(VLOOKUP(A175,'Données projet'!$A$191:$I$211,6,0)),0%,VLOOKUP(A175,'Données projet'!$A$191:$I$211,6,0)*VLOOKUP('Données projet'!$B$15,Paramètres!$A$1:$I$88,7,0))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projet'!$B$15,Paramètres!$A$1:$I$88,3,0)*0.475*44/12</f>
        <v>#N/A</v>
      </c>
      <c r="EW175" s="23" t="e">
        <f>EXP(-LN(2)/25)*EW174+(1-EXP(-LN(2)/25))/(LN(2)/25)*Calculateur!ER175*Calculateur!ET175*VLOOKUP('Données projet'!$B$15,Paramètres!$A$1:$I$88,3,0)*0.475*44/12</f>
        <v>#N/A</v>
      </c>
      <c r="EX175" s="23" t="e">
        <f>EXP(-LN(2)/2)*EX174+(1-EXP(-LN(2)/2))/(LN(2)/2)*ER175*EU175*VLOOKUP('Données projet'!$B$15,Paramètres!$A$1:$I$88,3,0)*0.475*44/12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projet'!$B$16,Paramètres!$A$1:$I$88,3,0)*VLOOKUP('Données projet'!$B$16,Paramètres!$A$1:$I$88,5,0)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projet'!$B$16,Paramètres!$A$1:$I$88,7,0))</f>
        <v>0</v>
      </c>
      <c r="FO175" s="17">
        <f>IF(ISNA(VLOOKUP(A175,'Données projet'!$A$217:$I$237,6,0)),0%,VLOOKUP(A175,'Données projet'!$A$217:$I$237,6,0)*VLOOKUP('Données projet'!$B$16,Paramètres!$A$1:$I$88,7,0))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projet'!$B$16,Paramètres!$A$1:$I$88,3,0)*0.475*44/12</f>
        <v>#N/A</v>
      </c>
      <c r="FR175" s="23" t="e">
        <f>EXP(-LN(2)/25)*FR174+(1-EXP(-LN(2)/25))/(LN(2)/25)*Calculateur!FM175*Calculateur!FO175*VLOOKUP('Données projet'!$B$16,Paramètres!$A$1:$I$88,3,0)*0.475*44/12</f>
        <v>#N/A</v>
      </c>
      <c r="FS175" s="23" t="e">
        <f>EXP(-LN(2)/2)*FS174+(1-EXP(-LN(2)/2))/(LN(2)/2)*FM175*FP175*VLOOKUP('Données projet'!$B$16,Paramètres!$A$1:$I$88,3,0)*0.475*44/12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projet'!$B$17,Paramètres!$A$1:$I$88,3,0)*VLOOKUP('Données projet'!$B$17,Paramètres!$A$1:$I$88,5,0)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projet'!$B$17,Paramètres!$A$1:$I$88,7,0))</f>
        <v>0</v>
      </c>
      <c r="GJ175" s="17">
        <f>IF(ISNA(VLOOKUP(A175,'Données projet'!$A$243:$I$263,6,0)),0%,VLOOKUP(A175,'Données projet'!$A$243:$I$263,6,0)*VLOOKUP('Données projet'!$B$17,Paramètres!$A$1:$I$88,7,0))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projet'!$B$17,Paramètres!$A$1:$I$88,3,0)*0.475*44/12</f>
        <v>#N/A</v>
      </c>
      <c r="GM175" s="23" t="e">
        <f>EXP(-LN(2)/25)*GM174+(1-EXP(-LN(2)/25))/(LN(2)/25)*Calculateur!GH175*Calculateur!GJ175*VLOOKUP('Données projet'!$B$17,Paramètres!$A$1:$I$88,3,0)*0.475*44/12</f>
        <v>#N/A</v>
      </c>
      <c r="GN175" s="23" t="e">
        <f>EXP(-LN(2)/2)*GN174+(1-EXP(-LN(2)/2))/(LN(2)/2)*GH175*GK175*VLOOKUP('Données projet'!$B$17,Paramètres!$A$1:$I$88,3,0)*0.475*44/12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projet'!$B$18,Paramètres!$A$1:$I$88,3,0)*VLOOKUP('Données projet'!$B$18,Paramètres!$A$1:$I$88,5,0)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projet'!$B$18,Paramètres!$A$1:$I$88,7,0))</f>
        <v>0</v>
      </c>
      <c r="HE175" s="17">
        <f>IF(ISNA(VLOOKUP(A175,'Données projet'!$A$269:$I$289,6,0)),0%,VLOOKUP(A175,'Données projet'!$A$269:$I$289,6,0)*VLOOKUP('Données projet'!$B$18,Paramètres!$A$1:$I$88,7,0))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projet'!$B$18,Paramètres!$A$1:$I$88,3,0)*0.475*44/12</f>
        <v>#N/A</v>
      </c>
      <c r="HH175" s="23" t="e">
        <f>EXP(-LN(2)/25)*HH174+(1-EXP(-LN(2)/25))/(LN(2)/25)*Calculateur!HC175*Calculateur!HE175*VLOOKUP('Données projet'!$B$18,Paramètres!$A$1:$I$88,3,0)*0.475*44/12</f>
        <v>#N/A</v>
      </c>
      <c r="HI175" s="23" t="e">
        <f>EXP(-LN(2)/2)*HI174+(1-EXP(-LN(2)/2))/(LN(2)/2)*HC175*HF175*VLOOKUP('Données projet'!$B$18,Paramètres!$A$1:$I$88,3,0)*0.475*44/12</f>
        <v>#N/A</v>
      </c>
      <c r="HJ175" s="24" t="e">
        <f t="shared" si="190"/>
        <v>#N/A</v>
      </c>
    </row>
    <row r="176" spans="1:218" x14ac:dyDescent="0.3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4.5474735088646412E-13</v>
      </c>
      <c r="O176" s="14">
        <f>N176*VLOOKUP('Données projet'!$B$9,Paramètres!$A$1:$I$88,3,0)*VLOOKUP('Données projet'!$B$9,Paramètres!$A$1:$I$88,5,0)</f>
        <v>2.5420376914553347E-13</v>
      </c>
      <c r="P176" s="14">
        <f t="shared" si="141"/>
        <v>3.4258699088369875E-12</v>
      </c>
      <c r="Q176" s="22">
        <f t="shared" si="162"/>
        <v>6.4094616558195571E-12</v>
      </c>
      <c r="R176" s="62">
        <f t="shared" si="109"/>
        <v>288.8933136527549</v>
      </c>
      <c r="S176" s="62">
        <f ca="1">AVERAGE(OFFSET($R$3,0,0,'Données projet'!$E$9+1,1))-AVERAGE(OFFSET($H$3,0,0,'Données projet'!$E$9+1,1))</f>
        <v>367.03450586441784</v>
      </c>
      <c r="T176" s="62">
        <f t="shared" si="142"/>
        <v>413.14502442862897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projet'!$B$9,Paramètres!$A$1:$I$88,7,0))</f>
        <v>0</v>
      </c>
      <c r="X176" s="17">
        <f>IF(ISNA(VLOOKUP(A176,'Données projet'!$A$35:$I$55,6,0)),0%,VLOOKUP(A176,'Données projet'!$A$35:$I$55,6,0)*VLOOKUP('Données projet'!$B$9,Paramètres!$A$1:$I$88,7,0))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projet'!$B$9,Paramètres!$A$1:$I$88,3,0)*0.475*44/12</f>
        <v>25.547745113979975</v>
      </c>
      <c r="AA176" s="23">
        <f>EXP(-LN(2)/25)*AA175+(1-EXP(-LN(2)/25))/(LN(2)/25)*Calculateur!V176*Calculateur!X176*VLOOKUP('Données projet'!$B$9,Paramètres!$A$1:$I$88,3,0)*0.475*44/12</f>
        <v>5.7620503292614584</v>
      </c>
      <c r="AB176" s="23">
        <f>EXP(-LN(2)/2)*AB175+(1-EXP(-LN(2)/2))/(LN(2)/2)*V176*Y176*VLOOKUP('Données projet'!$B$9,Paramètres!$A$1:$I$88,3,0)*0.475*44/12</f>
        <v>0</v>
      </c>
      <c r="AC176" s="24">
        <f t="shared" si="163"/>
        <v>31.309795443241434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projet'!$B$10,Paramètres!$A$1:$I$88,3,0)*VLOOKUP('Données projet'!$B$10,Paramètres!$A$1:$I$88,5,0)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projet'!$B$10,Paramètres!$A$1:$I$88,7,0))</f>
        <v>0</v>
      </c>
      <c r="AS176" s="17">
        <f>IF(ISNA(VLOOKUP(A176,'Données projet'!$A$61:$I$81,6,0)),0%,VLOOKUP(A176,'Données projet'!$A$61:$I$81,6,0)*VLOOKUP('Données projet'!$B$10,Paramètres!$A$1:$I$88,7,0))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projet'!$B$10,Paramètres!$A$1:$I$88,3,0)*0.475*44/12</f>
        <v>#N/A</v>
      </c>
      <c r="AV176" s="23" t="e">
        <f>EXP(-LN(2)/25)*AV175+(1-EXP(-LN(2)/25))/(LN(2)/25)*Calculateur!AQ176*Calculateur!AS176*VLOOKUP('Données projet'!$B$10,Paramètres!$A$1:$I$88,3,0)*0.475*44/12</f>
        <v>#N/A</v>
      </c>
      <c r="AW176" s="23" t="e">
        <f>EXP(-LN(2)/2)*AW175+(1-EXP(-LN(2)/2))/(LN(2)/2)*AQ176*AT176*VLOOKUP('Données projet'!$B$10,Paramètres!$A$1:$I$88,3,0)*0.475*44/12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projet'!$B$11,Paramètres!$A$1:$I$88,3,0)*VLOOKUP('Données projet'!$B$11,Paramètres!$A$1:$I$88,5,0)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projet'!$B$11,Paramètres!$A$1:$I$88,7,0))</f>
        <v>0</v>
      </c>
      <c r="BN176" s="17">
        <f>IF(ISNA(VLOOKUP(A176,'Données projet'!$A$87:$I$107,6,0)),0%,VLOOKUP(A176,'Données projet'!$A$87:$I$107,6,0)*VLOOKUP('Données projet'!$B$11,Paramètres!$A$1:$I$88,7,0))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projet'!$B$11,Paramètres!$A$1:$I$88,3,0)*0.475*44/12</f>
        <v>#N/A</v>
      </c>
      <c r="BQ176" s="23" t="e">
        <f>EXP(-LN(2)/25)*BQ175+(1-EXP(-LN(2)/25))/(LN(2)/25)*Calculateur!BL176*Calculateur!BN176*VLOOKUP('Données projet'!$B$11,Paramètres!$A$1:$I$88,3,0)*0.475*44/12</f>
        <v>#N/A</v>
      </c>
      <c r="BR176" s="23" t="e">
        <f>EXP(-LN(2)/2)*BR175+(1-EXP(-LN(2)/2))/(LN(2)/2)*BL176*BO176*VLOOKUP('Données projet'!$B$11,Paramètres!$A$1:$I$88,3,0)*0.475*44/12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projet'!$B$12,Paramètres!$A$1:$I$88,3,0)*VLOOKUP('Données projet'!$B$12,Paramètres!$A$1:$I$88,5,0)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projet'!$B$12,Paramètres!$A$1:$I$88,7,0))</f>
        <v>0</v>
      </c>
      <c r="CI176" s="17">
        <f>IF(ISNA(VLOOKUP(A176,'Données projet'!$A$113:$I$133,6,0)),0%,VLOOKUP(A176,'Données projet'!$A$113:$I$133,6,0)*VLOOKUP('Données projet'!$B$12,Paramètres!$A$1:$I$88,7,0))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projet'!$B$12,Paramètres!$A$1:$I$88,3,0)*0.475*44/12</f>
        <v>#N/A</v>
      </c>
      <c r="CL176" s="23" t="e">
        <f>EXP(-LN(2)/25)*CL175+(1-EXP(-LN(2)/25))/(LN(2)/25)*Calculateur!CG176*Calculateur!CI176*VLOOKUP('Données projet'!$B$12,Paramètres!$A$1:$I$88,3,0)*0.475*44/12</f>
        <v>#N/A</v>
      </c>
      <c r="CM176" s="23" t="e">
        <f>EXP(-LN(2)/2)*CM175+(1-EXP(-LN(2)/2))/(LN(2)/2)*CG176*CJ176*VLOOKUP('Données projet'!$B$12,Paramètres!$A$1:$I$88,3,0)*0.475*44/12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projet'!$B$13,Paramètres!$A$1:$I$88,3,0)*VLOOKUP('Données projet'!$B$13,Paramètres!$A$1:$I$88,5,0)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projet'!$B$13,Paramètres!$A$1:$I$88,7,0))</f>
        <v>0</v>
      </c>
      <c r="DD176" s="17">
        <f>IF(ISNA(VLOOKUP(A176,'Données projet'!$A$139:$I$159,6,0)),0%,VLOOKUP(A176,'Données projet'!$A$139:$I$159,6,0)*VLOOKUP('Données projet'!$B$13,Paramètres!$A$1:$I$88,7,0))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projet'!$B$13,Paramètres!$A$1:$I$88,3,0)*0.475*44/12</f>
        <v>#N/A</v>
      </c>
      <c r="DG176" s="23" t="e">
        <f>EXP(-LN(2)/25)*DG175+(1-EXP(-LN(2)/25))/(LN(2)/25)*Calculateur!DB176*Calculateur!DD176*VLOOKUP('Données projet'!$B$13,Paramètres!$A$1:$I$88,3,0)*0.475*44/12</f>
        <v>#N/A</v>
      </c>
      <c r="DH176" s="23" t="e">
        <f>EXP(-LN(2)/2)*DH175+(1-EXP(-LN(2)/2))/(LN(2)/2)*DB176*DE176*VLOOKUP('Données projet'!$B$13,Paramètres!$A$1:$I$88,3,0)*0.475*44/12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projet'!$B$14,Paramètres!$A$1:$I$88,3,0)*VLOOKUP('Données projet'!$B$14,Paramètres!$A$1:$I$88,5,0)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projet'!$B$14,Paramètres!$A$1:$I$88,7,0))</f>
        <v>0</v>
      </c>
      <c r="DY176" s="17">
        <f>IF(ISNA(VLOOKUP(A176,'Données projet'!$A$165:$I$185,6,0)),0%,VLOOKUP(A176,'Données projet'!$A$165:$I$185,6,0)*VLOOKUP('Données projet'!$B$14,Paramètres!$A$1:$I$88,7,0))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projet'!$B$14,Paramètres!$A$1:$I$88,3,0)*0.475*44/12</f>
        <v>#N/A</v>
      </c>
      <c r="EB176" s="23" t="e">
        <f>EXP(-LN(2)/25)*EB175+(1-EXP(-LN(2)/25))/(LN(2)/25)*Calculateur!DW176*Calculateur!DY176*VLOOKUP('Données projet'!$B$14,Paramètres!$A$1:$I$88,3,0)*0.475*44/12</f>
        <v>#N/A</v>
      </c>
      <c r="EC176" s="23" t="e">
        <f>EXP(-LN(2)/2)*EC175+(1-EXP(-LN(2)/2))/(LN(2)/2)*DW176*DZ176*VLOOKUP('Données projet'!$B$14,Paramètres!$A$1:$I$88,3,0)*0.475*44/12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projet'!$B$15,Paramètres!$A$1:$I$88,3,0)*VLOOKUP('Données projet'!$B$15,Paramètres!$A$1:$I$88,5,0)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projet'!$B$15,Paramètres!$A$1:$I$88,7,0))</f>
        <v>0</v>
      </c>
      <c r="ET176" s="17">
        <f>IF(ISNA(VLOOKUP(A176,'Données projet'!$A$191:$I$211,6,0)),0%,VLOOKUP(A176,'Données projet'!$A$191:$I$211,6,0)*VLOOKUP('Données projet'!$B$15,Paramètres!$A$1:$I$88,7,0))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projet'!$B$15,Paramètres!$A$1:$I$88,3,0)*0.475*44/12</f>
        <v>#N/A</v>
      </c>
      <c r="EW176" s="23" t="e">
        <f>EXP(-LN(2)/25)*EW175+(1-EXP(-LN(2)/25))/(LN(2)/25)*Calculateur!ER176*Calculateur!ET176*VLOOKUP('Données projet'!$B$15,Paramètres!$A$1:$I$88,3,0)*0.475*44/12</f>
        <v>#N/A</v>
      </c>
      <c r="EX176" s="23" t="e">
        <f>EXP(-LN(2)/2)*EX175+(1-EXP(-LN(2)/2))/(LN(2)/2)*ER176*EU176*VLOOKUP('Données projet'!$B$15,Paramètres!$A$1:$I$88,3,0)*0.475*44/12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projet'!$B$16,Paramètres!$A$1:$I$88,3,0)*VLOOKUP('Données projet'!$B$16,Paramètres!$A$1:$I$88,5,0)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projet'!$B$16,Paramètres!$A$1:$I$88,7,0))</f>
        <v>0</v>
      </c>
      <c r="FO176" s="17">
        <f>IF(ISNA(VLOOKUP(A176,'Données projet'!$A$217:$I$237,6,0)),0%,VLOOKUP(A176,'Données projet'!$A$217:$I$237,6,0)*VLOOKUP('Données projet'!$B$16,Paramètres!$A$1:$I$88,7,0))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projet'!$B$16,Paramètres!$A$1:$I$88,3,0)*0.475*44/12</f>
        <v>#N/A</v>
      </c>
      <c r="FR176" s="23" t="e">
        <f>EXP(-LN(2)/25)*FR175+(1-EXP(-LN(2)/25))/(LN(2)/25)*Calculateur!FM176*Calculateur!FO176*VLOOKUP('Données projet'!$B$16,Paramètres!$A$1:$I$88,3,0)*0.475*44/12</f>
        <v>#N/A</v>
      </c>
      <c r="FS176" s="23" t="e">
        <f>EXP(-LN(2)/2)*FS175+(1-EXP(-LN(2)/2))/(LN(2)/2)*FM176*FP176*VLOOKUP('Données projet'!$B$16,Paramètres!$A$1:$I$88,3,0)*0.475*44/12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projet'!$B$17,Paramètres!$A$1:$I$88,3,0)*VLOOKUP('Données projet'!$B$17,Paramètres!$A$1:$I$88,5,0)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projet'!$B$17,Paramètres!$A$1:$I$88,7,0))</f>
        <v>0</v>
      </c>
      <c r="GJ176" s="17">
        <f>IF(ISNA(VLOOKUP(A176,'Données projet'!$A$243:$I$263,6,0)),0%,VLOOKUP(A176,'Données projet'!$A$243:$I$263,6,0)*VLOOKUP('Données projet'!$B$17,Paramètres!$A$1:$I$88,7,0))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projet'!$B$17,Paramètres!$A$1:$I$88,3,0)*0.475*44/12</f>
        <v>#N/A</v>
      </c>
      <c r="GM176" s="23" t="e">
        <f>EXP(-LN(2)/25)*GM175+(1-EXP(-LN(2)/25))/(LN(2)/25)*Calculateur!GH176*Calculateur!GJ176*VLOOKUP('Données projet'!$B$17,Paramètres!$A$1:$I$88,3,0)*0.475*44/12</f>
        <v>#N/A</v>
      </c>
      <c r="GN176" s="23" t="e">
        <f>EXP(-LN(2)/2)*GN175+(1-EXP(-LN(2)/2))/(LN(2)/2)*GH176*GK176*VLOOKUP('Données projet'!$B$17,Paramètres!$A$1:$I$88,3,0)*0.475*44/12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projet'!$B$18,Paramètres!$A$1:$I$88,3,0)*VLOOKUP('Données projet'!$B$18,Paramètres!$A$1:$I$88,5,0)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projet'!$B$18,Paramètres!$A$1:$I$88,7,0))</f>
        <v>0</v>
      </c>
      <c r="HE176" s="17">
        <f>IF(ISNA(VLOOKUP(A176,'Données projet'!$A$269:$I$289,6,0)),0%,VLOOKUP(A176,'Données projet'!$A$269:$I$289,6,0)*VLOOKUP('Données projet'!$B$18,Paramètres!$A$1:$I$88,7,0))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projet'!$B$18,Paramètres!$A$1:$I$88,3,0)*0.475*44/12</f>
        <v>#N/A</v>
      </c>
      <c r="HH176" s="23" t="e">
        <f>EXP(-LN(2)/25)*HH175+(1-EXP(-LN(2)/25))/(LN(2)/25)*Calculateur!HC176*Calculateur!HE176*VLOOKUP('Données projet'!$B$18,Paramètres!$A$1:$I$88,3,0)*0.475*44/12</f>
        <v>#N/A</v>
      </c>
      <c r="HI176" s="23" t="e">
        <f>EXP(-LN(2)/2)*HI175+(1-EXP(-LN(2)/2))/(LN(2)/2)*HC176*HF176*VLOOKUP('Données projet'!$B$18,Paramètres!$A$1:$I$88,3,0)*0.475*44/12</f>
        <v>#N/A</v>
      </c>
      <c r="HJ176" s="24" t="e">
        <f t="shared" si="190"/>
        <v>#N/A</v>
      </c>
    </row>
    <row r="177" spans="1:218" x14ac:dyDescent="0.3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4.5474735088646412E-13</v>
      </c>
      <c r="O177" s="14">
        <f>N177*VLOOKUP('Données projet'!$B$9,Paramètres!$A$1:$I$88,3,0)*VLOOKUP('Données projet'!$B$9,Paramètres!$A$1:$I$88,5,0)</f>
        <v>2.5420376914553347E-13</v>
      </c>
      <c r="P177" s="14">
        <f t="shared" si="141"/>
        <v>3.4258699088369875E-12</v>
      </c>
      <c r="Q177" s="22">
        <f t="shared" si="162"/>
        <v>6.4094616558195571E-12</v>
      </c>
      <c r="R177" s="62">
        <f t="shared" si="109"/>
        <v>288.97033806781616</v>
      </c>
      <c r="S177" s="62">
        <f ca="1">AVERAGE(OFFSET($R$3,0,0,'Données projet'!$E$9+1,1))-AVERAGE(OFFSET($H$3,0,0,'Données projet'!$E$9+1,1))</f>
        <v>367.03450586441784</v>
      </c>
      <c r="T177" s="62">
        <f t="shared" si="142"/>
        <v>413.14502442862897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projet'!$B$9,Paramètres!$A$1:$I$88,7,0))</f>
        <v>0</v>
      </c>
      <c r="X177" s="17">
        <f>IF(ISNA(VLOOKUP(A177,'Données projet'!$A$35:$I$55,6,0)),0%,VLOOKUP(A177,'Données projet'!$A$35:$I$55,6,0)*VLOOKUP('Données projet'!$B$9,Paramètres!$A$1:$I$88,7,0))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projet'!$B$9,Paramètres!$A$1:$I$88,3,0)*0.475*44/12</f>
        <v>25.046769414880693</v>
      </c>
      <c r="AA177" s="23">
        <f>EXP(-LN(2)/25)*AA176+(1-EXP(-LN(2)/25))/(LN(2)/25)*Calculateur!V177*Calculateur!X177*VLOOKUP('Données projet'!$B$9,Paramètres!$A$1:$I$88,3,0)*0.475*44/12</f>
        <v>5.6044867599947468</v>
      </c>
      <c r="AB177" s="23">
        <f>EXP(-LN(2)/2)*AB176+(1-EXP(-LN(2)/2))/(LN(2)/2)*V177*Y177*VLOOKUP('Données projet'!$B$9,Paramètres!$A$1:$I$88,3,0)*0.475*44/12</f>
        <v>0</v>
      </c>
      <c r="AC177" s="24">
        <f t="shared" si="163"/>
        <v>30.651256174875439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projet'!$B$10,Paramètres!$A$1:$I$88,3,0)*VLOOKUP('Données projet'!$B$10,Paramètres!$A$1:$I$88,5,0)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projet'!$B$10,Paramètres!$A$1:$I$88,7,0))</f>
        <v>0</v>
      </c>
      <c r="AS177" s="17">
        <f>IF(ISNA(VLOOKUP(A177,'Données projet'!$A$61:$I$81,6,0)),0%,VLOOKUP(A177,'Données projet'!$A$61:$I$81,6,0)*VLOOKUP('Données projet'!$B$10,Paramètres!$A$1:$I$88,7,0))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projet'!$B$10,Paramètres!$A$1:$I$88,3,0)*0.475*44/12</f>
        <v>#N/A</v>
      </c>
      <c r="AV177" s="23" t="e">
        <f>EXP(-LN(2)/25)*AV176+(1-EXP(-LN(2)/25))/(LN(2)/25)*Calculateur!AQ177*Calculateur!AS177*VLOOKUP('Données projet'!$B$10,Paramètres!$A$1:$I$88,3,0)*0.475*44/12</f>
        <v>#N/A</v>
      </c>
      <c r="AW177" s="23" t="e">
        <f>EXP(-LN(2)/2)*AW176+(1-EXP(-LN(2)/2))/(LN(2)/2)*AQ177*AT177*VLOOKUP('Données projet'!$B$10,Paramètres!$A$1:$I$88,3,0)*0.475*44/12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projet'!$B$11,Paramètres!$A$1:$I$88,3,0)*VLOOKUP('Données projet'!$B$11,Paramètres!$A$1:$I$88,5,0)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projet'!$B$11,Paramètres!$A$1:$I$88,7,0))</f>
        <v>0</v>
      </c>
      <c r="BN177" s="17">
        <f>IF(ISNA(VLOOKUP(A177,'Données projet'!$A$87:$I$107,6,0)),0%,VLOOKUP(A177,'Données projet'!$A$87:$I$107,6,0)*VLOOKUP('Données projet'!$B$11,Paramètres!$A$1:$I$88,7,0))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projet'!$B$11,Paramètres!$A$1:$I$88,3,0)*0.475*44/12</f>
        <v>#N/A</v>
      </c>
      <c r="BQ177" s="23" t="e">
        <f>EXP(-LN(2)/25)*BQ176+(1-EXP(-LN(2)/25))/(LN(2)/25)*Calculateur!BL177*Calculateur!BN177*VLOOKUP('Données projet'!$B$11,Paramètres!$A$1:$I$88,3,0)*0.475*44/12</f>
        <v>#N/A</v>
      </c>
      <c r="BR177" s="23" t="e">
        <f>EXP(-LN(2)/2)*BR176+(1-EXP(-LN(2)/2))/(LN(2)/2)*BL177*BO177*VLOOKUP('Données projet'!$B$11,Paramètres!$A$1:$I$88,3,0)*0.475*44/12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projet'!$B$12,Paramètres!$A$1:$I$88,3,0)*VLOOKUP('Données projet'!$B$12,Paramètres!$A$1:$I$88,5,0)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projet'!$B$12,Paramètres!$A$1:$I$88,7,0))</f>
        <v>0</v>
      </c>
      <c r="CI177" s="17">
        <f>IF(ISNA(VLOOKUP(A177,'Données projet'!$A$113:$I$133,6,0)),0%,VLOOKUP(A177,'Données projet'!$A$113:$I$133,6,0)*VLOOKUP('Données projet'!$B$12,Paramètres!$A$1:$I$88,7,0))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projet'!$B$12,Paramètres!$A$1:$I$88,3,0)*0.475*44/12</f>
        <v>#N/A</v>
      </c>
      <c r="CL177" s="23" t="e">
        <f>EXP(-LN(2)/25)*CL176+(1-EXP(-LN(2)/25))/(LN(2)/25)*Calculateur!CG177*Calculateur!CI177*VLOOKUP('Données projet'!$B$12,Paramètres!$A$1:$I$88,3,0)*0.475*44/12</f>
        <v>#N/A</v>
      </c>
      <c r="CM177" s="23" t="e">
        <f>EXP(-LN(2)/2)*CM176+(1-EXP(-LN(2)/2))/(LN(2)/2)*CG177*CJ177*VLOOKUP('Données projet'!$B$12,Paramètres!$A$1:$I$88,3,0)*0.475*44/12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projet'!$B$13,Paramètres!$A$1:$I$88,3,0)*VLOOKUP('Données projet'!$B$13,Paramètres!$A$1:$I$88,5,0)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projet'!$B$13,Paramètres!$A$1:$I$88,7,0))</f>
        <v>0</v>
      </c>
      <c r="DD177" s="17">
        <f>IF(ISNA(VLOOKUP(A177,'Données projet'!$A$139:$I$159,6,0)),0%,VLOOKUP(A177,'Données projet'!$A$139:$I$159,6,0)*VLOOKUP('Données projet'!$B$13,Paramètres!$A$1:$I$88,7,0))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projet'!$B$13,Paramètres!$A$1:$I$88,3,0)*0.475*44/12</f>
        <v>#N/A</v>
      </c>
      <c r="DG177" s="23" t="e">
        <f>EXP(-LN(2)/25)*DG176+(1-EXP(-LN(2)/25))/(LN(2)/25)*Calculateur!DB177*Calculateur!DD177*VLOOKUP('Données projet'!$B$13,Paramètres!$A$1:$I$88,3,0)*0.475*44/12</f>
        <v>#N/A</v>
      </c>
      <c r="DH177" s="23" t="e">
        <f>EXP(-LN(2)/2)*DH176+(1-EXP(-LN(2)/2))/(LN(2)/2)*DB177*DE177*VLOOKUP('Données projet'!$B$13,Paramètres!$A$1:$I$88,3,0)*0.475*44/12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projet'!$B$14,Paramètres!$A$1:$I$88,3,0)*VLOOKUP('Données projet'!$B$14,Paramètres!$A$1:$I$88,5,0)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projet'!$B$14,Paramètres!$A$1:$I$88,7,0))</f>
        <v>0</v>
      </c>
      <c r="DY177" s="17">
        <f>IF(ISNA(VLOOKUP(A177,'Données projet'!$A$165:$I$185,6,0)),0%,VLOOKUP(A177,'Données projet'!$A$165:$I$185,6,0)*VLOOKUP('Données projet'!$B$14,Paramètres!$A$1:$I$88,7,0))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projet'!$B$14,Paramètres!$A$1:$I$88,3,0)*0.475*44/12</f>
        <v>#N/A</v>
      </c>
      <c r="EB177" s="23" t="e">
        <f>EXP(-LN(2)/25)*EB176+(1-EXP(-LN(2)/25))/(LN(2)/25)*Calculateur!DW177*Calculateur!DY177*VLOOKUP('Données projet'!$B$14,Paramètres!$A$1:$I$88,3,0)*0.475*44/12</f>
        <v>#N/A</v>
      </c>
      <c r="EC177" s="23" t="e">
        <f>EXP(-LN(2)/2)*EC176+(1-EXP(-LN(2)/2))/(LN(2)/2)*DW177*DZ177*VLOOKUP('Données projet'!$B$14,Paramètres!$A$1:$I$88,3,0)*0.475*44/12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projet'!$B$15,Paramètres!$A$1:$I$88,3,0)*VLOOKUP('Données projet'!$B$15,Paramètres!$A$1:$I$88,5,0)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projet'!$B$15,Paramètres!$A$1:$I$88,7,0))</f>
        <v>0</v>
      </c>
      <c r="ET177" s="17">
        <f>IF(ISNA(VLOOKUP(A177,'Données projet'!$A$191:$I$211,6,0)),0%,VLOOKUP(A177,'Données projet'!$A$191:$I$211,6,0)*VLOOKUP('Données projet'!$B$15,Paramètres!$A$1:$I$88,7,0))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projet'!$B$15,Paramètres!$A$1:$I$88,3,0)*0.475*44/12</f>
        <v>#N/A</v>
      </c>
      <c r="EW177" s="23" t="e">
        <f>EXP(-LN(2)/25)*EW176+(1-EXP(-LN(2)/25))/(LN(2)/25)*Calculateur!ER177*Calculateur!ET177*VLOOKUP('Données projet'!$B$15,Paramètres!$A$1:$I$88,3,0)*0.475*44/12</f>
        <v>#N/A</v>
      </c>
      <c r="EX177" s="23" t="e">
        <f>EXP(-LN(2)/2)*EX176+(1-EXP(-LN(2)/2))/(LN(2)/2)*ER177*EU177*VLOOKUP('Données projet'!$B$15,Paramètres!$A$1:$I$88,3,0)*0.475*44/12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projet'!$B$16,Paramètres!$A$1:$I$88,3,0)*VLOOKUP('Données projet'!$B$16,Paramètres!$A$1:$I$88,5,0)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projet'!$B$16,Paramètres!$A$1:$I$88,7,0))</f>
        <v>0</v>
      </c>
      <c r="FO177" s="17">
        <f>IF(ISNA(VLOOKUP(A177,'Données projet'!$A$217:$I$237,6,0)),0%,VLOOKUP(A177,'Données projet'!$A$217:$I$237,6,0)*VLOOKUP('Données projet'!$B$16,Paramètres!$A$1:$I$88,7,0))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projet'!$B$16,Paramètres!$A$1:$I$88,3,0)*0.475*44/12</f>
        <v>#N/A</v>
      </c>
      <c r="FR177" s="23" t="e">
        <f>EXP(-LN(2)/25)*FR176+(1-EXP(-LN(2)/25))/(LN(2)/25)*Calculateur!FM177*Calculateur!FO177*VLOOKUP('Données projet'!$B$16,Paramètres!$A$1:$I$88,3,0)*0.475*44/12</f>
        <v>#N/A</v>
      </c>
      <c r="FS177" s="23" t="e">
        <f>EXP(-LN(2)/2)*FS176+(1-EXP(-LN(2)/2))/(LN(2)/2)*FM177*FP177*VLOOKUP('Données projet'!$B$16,Paramètres!$A$1:$I$88,3,0)*0.475*44/12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projet'!$B$17,Paramètres!$A$1:$I$88,3,0)*VLOOKUP('Données projet'!$B$17,Paramètres!$A$1:$I$88,5,0)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projet'!$B$17,Paramètres!$A$1:$I$88,7,0))</f>
        <v>0</v>
      </c>
      <c r="GJ177" s="17">
        <f>IF(ISNA(VLOOKUP(A177,'Données projet'!$A$243:$I$263,6,0)),0%,VLOOKUP(A177,'Données projet'!$A$243:$I$263,6,0)*VLOOKUP('Données projet'!$B$17,Paramètres!$A$1:$I$88,7,0))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projet'!$B$17,Paramètres!$A$1:$I$88,3,0)*0.475*44/12</f>
        <v>#N/A</v>
      </c>
      <c r="GM177" s="23" t="e">
        <f>EXP(-LN(2)/25)*GM176+(1-EXP(-LN(2)/25))/(LN(2)/25)*Calculateur!GH177*Calculateur!GJ177*VLOOKUP('Données projet'!$B$17,Paramètres!$A$1:$I$88,3,0)*0.475*44/12</f>
        <v>#N/A</v>
      </c>
      <c r="GN177" s="23" t="e">
        <f>EXP(-LN(2)/2)*GN176+(1-EXP(-LN(2)/2))/(LN(2)/2)*GH177*GK177*VLOOKUP('Données projet'!$B$17,Paramètres!$A$1:$I$88,3,0)*0.475*44/12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projet'!$B$18,Paramètres!$A$1:$I$88,3,0)*VLOOKUP('Données projet'!$B$18,Paramètres!$A$1:$I$88,5,0)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projet'!$B$18,Paramètres!$A$1:$I$88,7,0))</f>
        <v>0</v>
      </c>
      <c r="HE177" s="17">
        <f>IF(ISNA(VLOOKUP(A177,'Données projet'!$A$269:$I$289,6,0)),0%,VLOOKUP(A177,'Données projet'!$A$269:$I$289,6,0)*VLOOKUP('Données projet'!$B$18,Paramètres!$A$1:$I$88,7,0))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projet'!$B$18,Paramètres!$A$1:$I$88,3,0)*0.475*44/12</f>
        <v>#N/A</v>
      </c>
      <c r="HH177" s="23" t="e">
        <f>EXP(-LN(2)/25)*HH176+(1-EXP(-LN(2)/25))/(LN(2)/25)*Calculateur!HC177*Calculateur!HE177*VLOOKUP('Données projet'!$B$18,Paramètres!$A$1:$I$88,3,0)*0.475*44/12</f>
        <v>#N/A</v>
      </c>
      <c r="HI177" s="23" t="e">
        <f>EXP(-LN(2)/2)*HI176+(1-EXP(-LN(2)/2))/(LN(2)/2)*HC177*HF177*VLOOKUP('Données projet'!$B$18,Paramètres!$A$1:$I$88,3,0)*0.475*44/12</f>
        <v>#N/A</v>
      </c>
      <c r="HJ177" s="24" t="e">
        <f t="shared" si="190"/>
        <v>#N/A</v>
      </c>
    </row>
    <row r="178" spans="1:218" x14ac:dyDescent="0.3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4.5474735088646412E-13</v>
      </c>
      <c r="O178" s="14">
        <f>N178*VLOOKUP('Données projet'!$B$9,Paramètres!$A$1:$I$88,3,0)*VLOOKUP('Données projet'!$B$9,Paramètres!$A$1:$I$88,5,0)</f>
        <v>2.5420376914553347E-13</v>
      </c>
      <c r="P178" s="14">
        <f t="shared" si="141"/>
        <v>3.4258699088369875E-12</v>
      </c>
      <c r="Q178" s="22">
        <f t="shared" si="162"/>
        <v>6.4094616558195571E-12</v>
      </c>
      <c r="R178" s="62">
        <f t="shared" si="109"/>
        <v>289.04602628147683</v>
      </c>
      <c r="S178" s="62">
        <f ca="1">AVERAGE(OFFSET($R$3,0,0,'Données projet'!$E$9+1,1))-AVERAGE(OFFSET($H$3,0,0,'Données projet'!$E$9+1,1))</f>
        <v>367.03450586441784</v>
      </c>
      <c r="T178" s="62">
        <f t="shared" si="142"/>
        <v>413.14502442862897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projet'!$B$9,Paramètres!$A$1:$I$88,7,0))</f>
        <v>0</v>
      </c>
      <c r="X178" s="17">
        <f>IF(ISNA(VLOOKUP(A178,'Données projet'!$A$35:$I$55,6,0)),0%,VLOOKUP(A178,'Données projet'!$A$35:$I$55,6,0)*VLOOKUP('Données projet'!$B$9,Paramètres!$A$1:$I$88,7,0))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projet'!$B$9,Paramètres!$A$1:$I$88,3,0)*0.475*44/12</f>
        <v>24.555617543675744</v>
      </c>
      <c r="AA178" s="23">
        <f>EXP(-LN(2)/25)*AA177+(1-EXP(-LN(2)/25))/(LN(2)/25)*Calculateur!V178*Calculateur!X178*VLOOKUP('Données projet'!$B$9,Paramètres!$A$1:$I$88,3,0)*0.475*44/12</f>
        <v>5.4512317748155406</v>
      </c>
      <c r="AB178" s="23">
        <f>EXP(-LN(2)/2)*AB177+(1-EXP(-LN(2)/2))/(LN(2)/2)*V178*Y178*VLOOKUP('Données projet'!$B$9,Paramètres!$A$1:$I$88,3,0)*0.475*44/12</f>
        <v>0</v>
      </c>
      <c r="AC178" s="24">
        <f t="shared" si="163"/>
        <v>30.006849318491284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projet'!$B$10,Paramètres!$A$1:$I$88,3,0)*VLOOKUP('Données projet'!$B$10,Paramètres!$A$1:$I$88,5,0)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projet'!$B$10,Paramètres!$A$1:$I$88,7,0))</f>
        <v>0</v>
      </c>
      <c r="AS178" s="17">
        <f>IF(ISNA(VLOOKUP(A178,'Données projet'!$A$61:$I$81,6,0)),0%,VLOOKUP(A178,'Données projet'!$A$61:$I$81,6,0)*VLOOKUP('Données projet'!$B$10,Paramètres!$A$1:$I$88,7,0))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projet'!$B$10,Paramètres!$A$1:$I$88,3,0)*0.475*44/12</f>
        <v>#N/A</v>
      </c>
      <c r="AV178" s="23" t="e">
        <f>EXP(-LN(2)/25)*AV177+(1-EXP(-LN(2)/25))/(LN(2)/25)*Calculateur!AQ178*Calculateur!AS178*VLOOKUP('Données projet'!$B$10,Paramètres!$A$1:$I$88,3,0)*0.475*44/12</f>
        <v>#N/A</v>
      </c>
      <c r="AW178" s="23" t="e">
        <f>EXP(-LN(2)/2)*AW177+(1-EXP(-LN(2)/2))/(LN(2)/2)*AQ178*AT178*VLOOKUP('Données projet'!$B$10,Paramètres!$A$1:$I$88,3,0)*0.475*44/12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projet'!$B$11,Paramètres!$A$1:$I$88,3,0)*VLOOKUP('Données projet'!$B$11,Paramètres!$A$1:$I$88,5,0)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projet'!$B$11,Paramètres!$A$1:$I$88,7,0))</f>
        <v>0</v>
      </c>
      <c r="BN178" s="17">
        <f>IF(ISNA(VLOOKUP(A178,'Données projet'!$A$87:$I$107,6,0)),0%,VLOOKUP(A178,'Données projet'!$A$87:$I$107,6,0)*VLOOKUP('Données projet'!$B$11,Paramètres!$A$1:$I$88,7,0))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projet'!$B$11,Paramètres!$A$1:$I$88,3,0)*0.475*44/12</f>
        <v>#N/A</v>
      </c>
      <c r="BQ178" s="23" t="e">
        <f>EXP(-LN(2)/25)*BQ177+(1-EXP(-LN(2)/25))/(LN(2)/25)*Calculateur!BL178*Calculateur!BN178*VLOOKUP('Données projet'!$B$11,Paramètres!$A$1:$I$88,3,0)*0.475*44/12</f>
        <v>#N/A</v>
      </c>
      <c r="BR178" s="23" t="e">
        <f>EXP(-LN(2)/2)*BR177+(1-EXP(-LN(2)/2))/(LN(2)/2)*BL178*BO178*VLOOKUP('Données projet'!$B$11,Paramètres!$A$1:$I$88,3,0)*0.475*44/12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projet'!$B$12,Paramètres!$A$1:$I$88,3,0)*VLOOKUP('Données projet'!$B$12,Paramètres!$A$1:$I$88,5,0)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projet'!$B$12,Paramètres!$A$1:$I$88,7,0))</f>
        <v>0</v>
      </c>
      <c r="CI178" s="17">
        <f>IF(ISNA(VLOOKUP(A178,'Données projet'!$A$113:$I$133,6,0)),0%,VLOOKUP(A178,'Données projet'!$A$113:$I$133,6,0)*VLOOKUP('Données projet'!$B$12,Paramètres!$A$1:$I$88,7,0))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projet'!$B$12,Paramètres!$A$1:$I$88,3,0)*0.475*44/12</f>
        <v>#N/A</v>
      </c>
      <c r="CL178" s="23" t="e">
        <f>EXP(-LN(2)/25)*CL177+(1-EXP(-LN(2)/25))/(LN(2)/25)*Calculateur!CG178*Calculateur!CI178*VLOOKUP('Données projet'!$B$12,Paramètres!$A$1:$I$88,3,0)*0.475*44/12</f>
        <v>#N/A</v>
      </c>
      <c r="CM178" s="23" t="e">
        <f>EXP(-LN(2)/2)*CM177+(1-EXP(-LN(2)/2))/(LN(2)/2)*CG178*CJ178*VLOOKUP('Données projet'!$B$12,Paramètres!$A$1:$I$88,3,0)*0.475*44/12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projet'!$B$13,Paramètres!$A$1:$I$88,3,0)*VLOOKUP('Données projet'!$B$13,Paramètres!$A$1:$I$88,5,0)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projet'!$B$13,Paramètres!$A$1:$I$88,7,0))</f>
        <v>0</v>
      </c>
      <c r="DD178" s="17">
        <f>IF(ISNA(VLOOKUP(A178,'Données projet'!$A$139:$I$159,6,0)),0%,VLOOKUP(A178,'Données projet'!$A$139:$I$159,6,0)*VLOOKUP('Données projet'!$B$13,Paramètres!$A$1:$I$88,7,0))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projet'!$B$13,Paramètres!$A$1:$I$88,3,0)*0.475*44/12</f>
        <v>#N/A</v>
      </c>
      <c r="DG178" s="23" t="e">
        <f>EXP(-LN(2)/25)*DG177+(1-EXP(-LN(2)/25))/(LN(2)/25)*Calculateur!DB178*Calculateur!DD178*VLOOKUP('Données projet'!$B$13,Paramètres!$A$1:$I$88,3,0)*0.475*44/12</f>
        <v>#N/A</v>
      </c>
      <c r="DH178" s="23" t="e">
        <f>EXP(-LN(2)/2)*DH177+(1-EXP(-LN(2)/2))/(LN(2)/2)*DB178*DE178*VLOOKUP('Données projet'!$B$13,Paramètres!$A$1:$I$88,3,0)*0.475*44/12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projet'!$B$14,Paramètres!$A$1:$I$88,3,0)*VLOOKUP('Données projet'!$B$14,Paramètres!$A$1:$I$88,5,0)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projet'!$B$14,Paramètres!$A$1:$I$88,7,0))</f>
        <v>0</v>
      </c>
      <c r="DY178" s="17">
        <f>IF(ISNA(VLOOKUP(A178,'Données projet'!$A$165:$I$185,6,0)),0%,VLOOKUP(A178,'Données projet'!$A$165:$I$185,6,0)*VLOOKUP('Données projet'!$B$14,Paramètres!$A$1:$I$88,7,0))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projet'!$B$14,Paramètres!$A$1:$I$88,3,0)*0.475*44/12</f>
        <v>#N/A</v>
      </c>
      <c r="EB178" s="23" t="e">
        <f>EXP(-LN(2)/25)*EB177+(1-EXP(-LN(2)/25))/(LN(2)/25)*Calculateur!DW178*Calculateur!DY178*VLOOKUP('Données projet'!$B$14,Paramètres!$A$1:$I$88,3,0)*0.475*44/12</f>
        <v>#N/A</v>
      </c>
      <c r="EC178" s="23" t="e">
        <f>EXP(-LN(2)/2)*EC177+(1-EXP(-LN(2)/2))/(LN(2)/2)*DW178*DZ178*VLOOKUP('Données projet'!$B$14,Paramètres!$A$1:$I$88,3,0)*0.475*44/12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projet'!$B$15,Paramètres!$A$1:$I$88,3,0)*VLOOKUP('Données projet'!$B$15,Paramètres!$A$1:$I$88,5,0)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projet'!$B$15,Paramètres!$A$1:$I$88,7,0))</f>
        <v>0</v>
      </c>
      <c r="ET178" s="17">
        <f>IF(ISNA(VLOOKUP(A178,'Données projet'!$A$191:$I$211,6,0)),0%,VLOOKUP(A178,'Données projet'!$A$191:$I$211,6,0)*VLOOKUP('Données projet'!$B$15,Paramètres!$A$1:$I$88,7,0))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projet'!$B$15,Paramètres!$A$1:$I$88,3,0)*0.475*44/12</f>
        <v>#N/A</v>
      </c>
      <c r="EW178" s="23" t="e">
        <f>EXP(-LN(2)/25)*EW177+(1-EXP(-LN(2)/25))/(LN(2)/25)*Calculateur!ER178*Calculateur!ET178*VLOOKUP('Données projet'!$B$15,Paramètres!$A$1:$I$88,3,0)*0.475*44/12</f>
        <v>#N/A</v>
      </c>
      <c r="EX178" s="23" t="e">
        <f>EXP(-LN(2)/2)*EX177+(1-EXP(-LN(2)/2))/(LN(2)/2)*ER178*EU178*VLOOKUP('Données projet'!$B$15,Paramètres!$A$1:$I$88,3,0)*0.475*44/12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projet'!$B$16,Paramètres!$A$1:$I$88,3,0)*VLOOKUP('Données projet'!$B$16,Paramètres!$A$1:$I$88,5,0)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projet'!$B$16,Paramètres!$A$1:$I$88,7,0))</f>
        <v>0</v>
      </c>
      <c r="FO178" s="17">
        <f>IF(ISNA(VLOOKUP(A178,'Données projet'!$A$217:$I$237,6,0)),0%,VLOOKUP(A178,'Données projet'!$A$217:$I$237,6,0)*VLOOKUP('Données projet'!$B$16,Paramètres!$A$1:$I$88,7,0))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projet'!$B$16,Paramètres!$A$1:$I$88,3,0)*0.475*44/12</f>
        <v>#N/A</v>
      </c>
      <c r="FR178" s="23" t="e">
        <f>EXP(-LN(2)/25)*FR177+(1-EXP(-LN(2)/25))/(LN(2)/25)*Calculateur!FM178*Calculateur!FO178*VLOOKUP('Données projet'!$B$16,Paramètres!$A$1:$I$88,3,0)*0.475*44/12</f>
        <v>#N/A</v>
      </c>
      <c r="FS178" s="23" t="e">
        <f>EXP(-LN(2)/2)*FS177+(1-EXP(-LN(2)/2))/(LN(2)/2)*FM178*FP178*VLOOKUP('Données projet'!$B$16,Paramètres!$A$1:$I$88,3,0)*0.475*44/12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projet'!$B$17,Paramètres!$A$1:$I$88,3,0)*VLOOKUP('Données projet'!$B$17,Paramètres!$A$1:$I$88,5,0)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projet'!$B$17,Paramètres!$A$1:$I$88,7,0))</f>
        <v>0</v>
      </c>
      <c r="GJ178" s="17">
        <f>IF(ISNA(VLOOKUP(A178,'Données projet'!$A$243:$I$263,6,0)),0%,VLOOKUP(A178,'Données projet'!$A$243:$I$263,6,0)*VLOOKUP('Données projet'!$B$17,Paramètres!$A$1:$I$88,7,0))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projet'!$B$17,Paramètres!$A$1:$I$88,3,0)*0.475*44/12</f>
        <v>#N/A</v>
      </c>
      <c r="GM178" s="23" t="e">
        <f>EXP(-LN(2)/25)*GM177+(1-EXP(-LN(2)/25))/(LN(2)/25)*Calculateur!GH178*Calculateur!GJ178*VLOOKUP('Données projet'!$B$17,Paramètres!$A$1:$I$88,3,0)*0.475*44/12</f>
        <v>#N/A</v>
      </c>
      <c r="GN178" s="23" t="e">
        <f>EXP(-LN(2)/2)*GN177+(1-EXP(-LN(2)/2))/(LN(2)/2)*GH178*GK178*VLOOKUP('Données projet'!$B$17,Paramètres!$A$1:$I$88,3,0)*0.475*44/12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projet'!$B$18,Paramètres!$A$1:$I$88,3,0)*VLOOKUP('Données projet'!$B$18,Paramètres!$A$1:$I$88,5,0)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projet'!$B$18,Paramètres!$A$1:$I$88,7,0))</f>
        <v>0</v>
      </c>
      <c r="HE178" s="17">
        <f>IF(ISNA(VLOOKUP(A178,'Données projet'!$A$269:$I$289,6,0)),0%,VLOOKUP(A178,'Données projet'!$A$269:$I$289,6,0)*VLOOKUP('Données projet'!$B$18,Paramètres!$A$1:$I$88,7,0))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projet'!$B$18,Paramètres!$A$1:$I$88,3,0)*0.475*44/12</f>
        <v>#N/A</v>
      </c>
      <c r="HH178" s="23" t="e">
        <f>EXP(-LN(2)/25)*HH177+(1-EXP(-LN(2)/25))/(LN(2)/25)*Calculateur!HC178*Calculateur!HE178*VLOOKUP('Données projet'!$B$18,Paramètres!$A$1:$I$88,3,0)*0.475*44/12</f>
        <v>#N/A</v>
      </c>
      <c r="HI178" s="23" t="e">
        <f>EXP(-LN(2)/2)*HI177+(1-EXP(-LN(2)/2))/(LN(2)/2)*HC178*HF178*VLOOKUP('Données projet'!$B$18,Paramètres!$A$1:$I$88,3,0)*0.475*44/12</f>
        <v>#N/A</v>
      </c>
      <c r="HJ178" s="24" t="e">
        <f t="shared" si="190"/>
        <v>#N/A</v>
      </c>
    </row>
    <row r="179" spans="1:218" x14ac:dyDescent="0.3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4.5474735088646412E-13</v>
      </c>
      <c r="O179" s="14">
        <f>N179*VLOOKUP('Données projet'!$B$9,Paramètres!$A$1:$I$88,3,0)*VLOOKUP('Données projet'!$B$9,Paramètres!$A$1:$I$88,5,0)</f>
        <v>2.5420376914553347E-13</v>
      </c>
      <c r="P179" s="14">
        <f t="shared" si="141"/>
        <v>3.4258699088369875E-12</v>
      </c>
      <c r="Q179" s="22">
        <f t="shared" si="162"/>
        <v>6.4094616558195571E-12</v>
      </c>
      <c r="R179" s="62">
        <f t="shared" si="109"/>
        <v>289.12040147384403</v>
      </c>
      <c r="S179" s="62">
        <f ca="1">AVERAGE(OFFSET($R$3,0,0,'Données projet'!$E$9+1,1))-AVERAGE(OFFSET($H$3,0,0,'Données projet'!$E$9+1,1))</f>
        <v>367.03450586441784</v>
      </c>
      <c r="T179" s="62">
        <f t="shared" si="142"/>
        <v>413.14502442862897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projet'!$B$9,Paramètres!$A$1:$I$88,7,0))</f>
        <v>0</v>
      </c>
      <c r="X179" s="17">
        <f>IF(ISNA(VLOOKUP(A179,'Données projet'!$A$35:$I$55,6,0)),0%,VLOOKUP(A179,'Données projet'!$A$35:$I$55,6,0)*VLOOKUP('Données projet'!$B$9,Paramètres!$A$1:$I$88,7,0))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projet'!$B$9,Paramètres!$A$1:$I$88,3,0)*0.475*44/12</f>
        <v>24.074096861092066</v>
      </c>
      <c r="AA179" s="23">
        <f>EXP(-LN(2)/25)*AA178+(1-EXP(-LN(2)/25))/(LN(2)/25)*Calculateur!V179*Calculateur!X179*VLOOKUP('Données projet'!$B$9,Paramètres!$A$1:$I$88,3,0)*0.475*44/12</f>
        <v>5.3021675552653891</v>
      </c>
      <c r="AB179" s="23">
        <f>EXP(-LN(2)/2)*AB178+(1-EXP(-LN(2)/2))/(LN(2)/2)*V179*Y179*VLOOKUP('Données projet'!$B$9,Paramètres!$A$1:$I$88,3,0)*0.475*44/12</f>
        <v>0</v>
      </c>
      <c r="AC179" s="24">
        <f t="shared" si="163"/>
        <v>29.376264416357454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projet'!$B$10,Paramètres!$A$1:$I$88,3,0)*VLOOKUP('Données projet'!$B$10,Paramètres!$A$1:$I$88,5,0)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projet'!$B$10,Paramètres!$A$1:$I$88,7,0))</f>
        <v>0</v>
      </c>
      <c r="AS179" s="17">
        <f>IF(ISNA(VLOOKUP(A179,'Données projet'!$A$61:$I$81,6,0)),0%,VLOOKUP(A179,'Données projet'!$A$61:$I$81,6,0)*VLOOKUP('Données projet'!$B$10,Paramètres!$A$1:$I$88,7,0))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projet'!$B$10,Paramètres!$A$1:$I$88,3,0)*0.475*44/12</f>
        <v>#N/A</v>
      </c>
      <c r="AV179" s="23" t="e">
        <f>EXP(-LN(2)/25)*AV178+(1-EXP(-LN(2)/25))/(LN(2)/25)*Calculateur!AQ179*Calculateur!AS179*VLOOKUP('Données projet'!$B$10,Paramètres!$A$1:$I$88,3,0)*0.475*44/12</f>
        <v>#N/A</v>
      </c>
      <c r="AW179" s="23" t="e">
        <f>EXP(-LN(2)/2)*AW178+(1-EXP(-LN(2)/2))/(LN(2)/2)*AQ179*AT179*VLOOKUP('Données projet'!$B$10,Paramètres!$A$1:$I$88,3,0)*0.475*44/12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projet'!$B$11,Paramètres!$A$1:$I$88,3,0)*VLOOKUP('Données projet'!$B$11,Paramètres!$A$1:$I$88,5,0)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projet'!$B$11,Paramètres!$A$1:$I$88,7,0))</f>
        <v>0</v>
      </c>
      <c r="BN179" s="17">
        <f>IF(ISNA(VLOOKUP(A179,'Données projet'!$A$87:$I$107,6,0)),0%,VLOOKUP(A179,'Données projet'!$A$87:$I$107,6,0)*VLOOKUP('Données projet'!$B$11,Paramètres!$A$1:$I$88,7,0))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projet'!$B$11,Paramètres!$A$1:$I$88,3,0)*0.475*44/12</f>
        <v>#N/A</v>
      </c>
      <c r="BQ179" s="23" t="e">
        <f>EXP(-LN(2)/25)*BQ178+(1-EXP(-LN(2)/25))/(LN(2)/25)*Calculateur!BL179*Calculateur!BN179*VLOOKUP('Données projet'!$B$11,Paramètres!$A$1:$I$88,3,0)*0.475*44/12</f>
        <v>#N/A</v>
      </c>
      <c r="BR179" s="23" t="e">
        <f>EXP(-LN(2)/2)*BR178+(1-EXP(-LN(2)/2))/(LN(2)/2)*BL179*BO179*VLOOKUP('Données projet'!$B$11,Paramètres!$A$1:$I$88,3,0)*0.475*44/12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projet'!$B$12,Paramètres!$A$1:$I$88,3,0)*VLOOKUP('Données projet'!$B$12,Paramètres!$A$1:$I$88,5,0)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projet'!$B$12,Paramètres!$A$1:$I$88,7,0))</f>
        <v>0</v>
      </c>
      <c r="CI179" s="17">
        <f>IF(ISNA(VLOOKUP(A179,'Données projet'!$A$113:$I$133,6,0)),0%,VLOOKUP(A179,'Données projet'!$A$113:$I$133,6,0)*VLOOKUP('Données projet'!$B$12,Paramètres!$A$1:$I$88,7,0))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projet'!$B$12,Paramètres!$A$1:$I$88,3,0)*0.475*44/12</f>
        <v>#N/A</v>
      </c>
      <c r="CL179" s="23" t="e">
        <f>EXP(-LN(2)/25)*CL178+(1-EXP(-LN(2)/25))/(LN(2)/25)*Calculateur!CG179*Calculateur!CI179*VLOOKUP('Données projet'!$B$12,Paramètres!$A$1:$I$88,3,0)*0.475*44/12</f>
        <v>#N/A</v>
      </c>
      <c r="CM179" s="23" t="e">
        <f>EXP(-LN(2)/2)*CM178+(1-EXP(-LN(2)/2))/(LN(2)/2)*CG179*CJ179*VLOOKUP('Données projet'!$B$12,Paramètres!$A$1:$I$88,3,0)*0.475*44/12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projet'!$B$13,Paramètres!$A$1:$I$88,3,0)*VLOOKUP('Données projet'!$B$13,Paramètres!$A$1:$I$88,5,0)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projet'!$B$13,Paramètres!$A$1:$I$88,7,0))</f>
        <v>0</v>
      </c>
      <c r="DD179" s="17">
        <f>IF(ISNA(VLOOKUP(A179,'Données projet'!$A$139:$I$159,6,0)),0%,VLOOKUP(A179,'Données projet'!$A$139:$I$159,6,0)*VLOOKUP('Données projet'!$B$13,Paramètres!$A$1:$I$88,7,0))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projet'!$B$13,Paramètres!$A$1:$I$88,3,0)*0.475*44/12</f>
        <v>#N/A</v>
      </c>
      <c r="DG179" s="23" t="e">
        <f>EXP(-LN(2)/25)*DG178+(1-EXP(-LN(2)/25))/(LN(2)/25)*Calculateur!DB179*Calculateur!DD179*VLOOKUP('Données projet'!$B$13,Paramètres!$A$1:$I$88,3,0)*0.475*44/12</f>
        <v>#N/A</v>
      </c>
      <c r="DH179" s="23" t="e">
        <f>EXP(-LN(2)/2)*DH178+(1-EXP(-LN(2)/2))/(LN(2)/2)*DB179*DE179*VLOOKUP('Données projet'!$B$13,Paramètres!$A$1:$I$88,3,0)*0.475*44/12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projet'!$B$14,Paramètres!$A$1:$I$88,3,0)*VLOOKUP('Données projet'!$B$14,Paramètres!$A$1:$I$88,5,0)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projet'!$B$14,Paramètres!$A$1:$I$88,7,0))</f>
        <v>0</v>
      </c>
      <c r="DY179" s="17">
        <f>IF(ISNA(VLOOKUP(A179,'Données projet'!$A$165:$I$185,6,0)),0%,VLOOKUP(A179,'Données projet'!$A$165:$I$185,6,0)*VLOOKUP('Données projet'!$B$14,Paramètres!$A$1:$I$88,7,0))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projet'!$B$14,Paramètres!$A$1:$I$88,3,0)*0.475*44/12</f>
        <v>#N/A</v>
      </c>
      <c r="EB179" s="23" t="e">
        <f>EXP(-LN(2)/25)*EB178+(1-EXP(-LN(2)/25))/(LN(2)/25)*Calculateur!DW179*Calculateur!DY179*VLOOKUP('Données projet'!$B$14,Paramètres!$A$1:$I$88,3,0)*0.475*44/12</f>
        <v>#N/A</v>
      </c>
      <c r="EC179" s="23" t="e">
        <f>EXP(-LN(2)/2)*EC178+(1-EXP(-LN(2)/2))/(LN(2)/2)*DW179*DZ179*VLOOKUP('Données projet'!$B$14,Paramètres!$A$1:$I$88,3,0)*0.475*44/12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projet'!$B$15,Paramètres!$A$1:$I$88,3,0)*VLOOKUP('Données projet'!$B$15,Paramètres!$A$1:$I$88,5,0)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projet'!$B$15,Paramètres!$A$1:$I$88,7,0))</f>
        <v>0</v>
      </c>
      <c r="ET179" s="17">
        <f>IF(ISNA(VLOOKUP(A179,'Données projet'!$A$191:$I$211,6,0)),0%,VLOOKUP(A179,'Données projet'!$A$191:$I$211,6,0)*VLOOKUP('Données projet'!$B$15,Paramètres!$A$1:$I$88,7,0))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projet'!$B$15,Paramètres!$A$1:$I$88,3,0)*0.475*44/12</f>
        <v>#N/A</v>
      </c>
      <c r="EW179" s="23" t="e">
        <f>EXP(-LN(2)/25)*EW178+(1-EXP(-LN(2)/25))/(LN(2)/25)*Calculateur!ER179*Calculateur!ET179*VLOOKUP('Données projet'!$B$15,Paramètres!$A$1:$I$88,3,0)*0.475*44/12</f>
        <v>#N/A</v>
      </c>
      <c r="EX179" s="23" t="e">
        <f>EXP(-LN(2)/2)*EX178+(1-EXP(-LN(2)/2))/(LN(2)/2)*ER179*EU179*VLOOKUP('Données projet'!$B$15,Paramètres!$A$1:$I$88,3,0)*0.475*44/12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projet'!$B$16,Paramètres!$A$1:$I$88,3,0)*VLOOKUP('Données projet'!$B$16,Paramètres!$A$1:$I$88,5,0)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projet'!$B$16,Paramètres!$A$1:$I$88,7,0))</f>
        <v>0</v>
      </c>
      <c r="FO179" s="17">
        <f>IF(ISNA(VLOOKUP(A179,'Données projet'!$A$217:$I$237,6,0)),0%,VLOOKUP(A179,'Données projet'!$A$217:$I$237,6,0)*VLOOKUP('Données projet'!$B$16,Paramètres!$A$1:$I$88,7,0))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projet'!$B$16,Paramètres!$A$1:$I$88,3,0)*0.475*44/12</f>
        <v>#N/A</v>
      </c>
      <c r="FR179" s="23" t="e">
        <f>EXP(-LN(2)/25)*FR178+(1-EXP(-LN(2)/25))/(LN(2)/25)*Calculateur!FM179*Calculateur!FO179*VLOOKUP('Données projet'!$B$16,Paramètres!$A$1:$I$88,3,0)*0.475*44/12</f>
        <v>#N/A</v>
      </c>
      <c r="FS179" s="23" t="e">
        <f>EXP(-LN(2)/2)*FS178+(1-EXP(-LN(2)/2))/(LN(2)/2)*FM179*FP179*VLOOKUP('Données projet'!$B$16,Paramètres!$A$1:$I$88,3,0)*0.475*44/12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projet'!$B$17,Paramètres!$A$1:$I$88,3,0)*VLOOKUP('Données projet'!$B$17,Paramètres!$A$1:$I$88,5,0)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projet'!$B$17,Paramètres!$A$1:$I$88,7,0))</f>
        <v>0</v>
      </c>
      <c r="GJ179" s="17">
        <f>IF(ISNA(VLOOKUP(A179,'Données projet'!$A$243:$I$263,6,0)),0%,VLOOKUP(A179,'Données projet'!$A$243:$I$263,6,0)*VLOOKUP('Données projet'!$B$17,Paramètres!$A$1:$I$88,7,0))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projet'!$B$17,Paramètres!$A$1:$I$88,3,0)*0.475*44/12</f>
        <v>#N/A</v>
      </c>
      <c r="GM179" s="23" t="e">
        <f>EXP(-LN(2)/25)*GM178+(1-EXP(-LN(2)/25))/(LN(2)/25)*Calculateur!GH179*Calculateur!GJ179*VLOOKUP('Données projet'!$B$17,Paramètres!$A$1:$I$88,3,0)*0.475*44/12</f>
        <v>#N/A</v>
      </c>
      <c r="GN179" s="23" t="e">
        <f>EXP(-LN(2)/2)*GN178+(1-EXP(-LN(2)/2))/(LN(2)/2)*GH179*GK179*VLOOKUP('Données projet'!$B$17,Paramètres!$A$1:$I$88,3,0)*0.475*44/12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projet'!$B$18,Paramètres!$A$1:$I$88,3,0)*VLOOKUP('Données projet'!$B$18,Paramètres!$A$1:$I$88,5,0)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projet'!$B$18,Paramètres!$A$1:$I$88,7,0))</f>
        <v>0</v>
      </c>
      <c r="HE179" s="17">
        <f>IF(ISNA(VLOOKUP(A179,'Données projet'!$A$269:$I$289,6,0)),0%,VLOOKUP(A179,'Données projet'!$A$269:$I$289,6,0)*VLOOKUP('Données projet'!$B$18,Paramètres!$A$1:$I$88,7,0))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projet'!$B$18,Paramètres!$A$1:$I$88,3,0)*0.475*44/12</f>
        <v>#N/A</v>
      </c>
      <c r="HH179" s="23" t="e">
        <f>EXP(-LN(2)/25)*HH178+(1-EXP(-LN(2)/25))/(LN(2)/25)*Calculateur!HC179*Calculateur!HE179*VLOOKUP('Données projet'!$B$18,Paramètres!$A$1:$I$88,3,0)*0.475*44/12</f>
        <v>#N/A</v>
      </c>
      <c r="HI179" s="23" t="e">
        <f>EXP(-LN(2)/2)*HI178+(1-EXP(-LN(2)/2))/(LN(2)/2)*HC179*HF179*VLOOKUP('Données projet'!$B$18,Paramètres!$A$1:$I$88,3,0)*0.475*44/12</f>
        <v>#N/A</v>
      </c>
      <c r="HJ179" s="24" t="e">
        <f t="shared" si="190"/>
        <v>#N/A</v>
      </c>
    </row>
    <row r="180" spans="1:218" x14ac:dyDescent="0.3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4.5474735088646412E-13</v>
      </c>
      <c r="O180" s="14">
        <f>N180*VLOOKUP('Données projet'!$B$9,Paramètres!$A$1:$I$88,3,0)*VLOOKUP('Données projet'!$B$9,Paramètres!$A$1:$I$88,5,0)</f>
        <v>2.5420376914553347E-13</v>
      </c>
      <c r="P180" s="14">
        <f t="shared" si="141"/>
        <v>3.4258699088369875E-12</v>
      </c>
      <c r="Q180" s="22">
        <f t="shared" si="162"/>
        <v>6.4094616558195571E-12</v>
      </c>
      <c r="R180" s="62">
        <f t="shared" si="109"/>
        <v>289.19348642290169</v>
      </c>
      <c r="S180" s="62">
        <f ca="1">AVERAGE(OFFSET($R$3,0,0,'Données projet'!$E$9+1,1))-AVERAGE(OFFSET($H$3,0,0,'Données projet'!$E$9+1,1))</f>
        <v>367.03450586441784</v>
      </c>
      <c r="T180" s="62">
        <f t="shared" si="142"/>
        <v>413.14502442862897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projet'!$B$9,Paramètres!$A$1:$I$88,7,0))</f>
        <v>0</v>
      </c>
      <c r="X180" s="17">
        <f>IF(ISNA(VLOOKUP(A180,'Données projet'!$A$35:$I$55,6,0)),0%,VLOOKUP(A180,'Données projet'!$A$35:$I$55,6,0)*VLOOKUP('Données projet'!$B$9,Paramètres!$A$1:$I$88,7,0))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projet'!$B$9,Paramètres!$A$1:$I$88,3,0)*0.475*44/12</f>
        <v>23.602018505395236</v>
      </c>
      <c r="AA180" s="23">
        <f>EXP(-LN(2)/25)*AA179+(1-EXP(-LN(2)/25))/(LN(2)/25)*Calculateur!V180*Calculateur!X180*VLOOKUP('Données projet'!$B$9,Paramètres!$A$1:$I$88,3,0)*0.475*44/12</f>
        <v>5.1571795046377833</v>
      </c>
      <c r="AB180" s="23">
        <f>EXP(-LN(2)/2)*AB179+(1-EXP(-LN(2)/2))/(LN(2)/2)*V180*Y180*VLOOKUP('Données projet'!$B$9,Paramètres!$A$1:$I$88,3,0)*0.475*44/12</f>
        <v>0</v>
      </c>
      <c r="AC180" s="24">
        <f t="shared" si="163"/>
        <v>28.759198010033018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projet'!$B$10,Paramètres!$A$1:$I$88,3,0)*VLOOKUP('Données projet'!$B$10,Paramètres!$A$1:$I$88,5,0)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projet'!$B$10,Paramètres!$A$1:$I$88,7,0))</f>
        <v>0</v>
      </c>
      <c r="AS180" s="17">
        <f>IF(ISNA(VLOOKUP(A180,'Données projet'!$A$61:$I$81,6,0)),0%,VLOOKUP(A180,'Données projet'!$A$61:$I$81,6,0)*VLOOKUP('Données projet'!$B$10,Paramètres!$A$1:$I$88,7,0))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projet'!$B$10,Paramètres!$A$1:$I$88,3,0)*0.475*44/12</f>
        <v>#N/A</v>
      </c>
      <c r="AV180" s="23" t="e">
        <f>EXP(-LN(2)/25)*AV179+(1-EXP(-LN(2)/25))/(LN(2)/25)*Calculateur!AQ180*Calculateur!AS180*VLOOKUP('Données projet'!$B$10,Paramètres!$A$1:$I$88,3,0)*0.475*44/12</f>
        <v>#N/A</v>
      </c>
      <c r="AW180" s="23" t="e">
        <f>EXP(-LN(2)/2)*AW179+(1-EXP(-LN(2)/2))/(LN(2)/2)*AQ180*AT180*VLOOKUP('Données projet'!$B$10,Paramètres!$A$1:$I$88,3,0)*0.475*44/12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projet'!$B$11,Paramètres!$A$1:$I$88,3,0)*VLOOKUP('Données projet'!$B$11,Paramètres!$A$1:$I$88,5,0)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projet'!$B$11,Paramètres!$A$1:$I$88,7,0))</f>
        <v>0</v>
      </c>
      <c r="BN180" s="17">
        <f>IF(ISNA(VLOOKUP(A180,'Données projet'!$A$87:$I$107,6,0)),0%,VLOOKUP(A180,'Données projet'!$A$87:$I$107,6,0)*VLOOKUP('Données projet'!$B$11,Paramètres!$A$1:$I$88,7,0))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projet'!$B$11,Paramètres!$A$1:$I$88,3,0)*0.475*44/12</f>
        <v>#N/A</v>
      </c>
      <c r="BQ180" s="23" t="e">
        <f>EXP(-LN(2)/25)*BQ179+(1-EXP(-LN(2)/25))/(LN(2)/25)*Calculateur!BL180*Calculateur!BN180*VLOOKUP('Données projet'!$B$11,Paramètres!$A$1:$I$88,3,0)*0.475*44/12</f>
        <v>#N/A</v>
      </c>
      <c r="BR180" s="23" t="e">
        <f>EXP(-LN(2)/2)*BR179+(1-EXP(-LN(2)/2))/(LN(2)/2)*BL180*BO180*VLOOKUP('Données projet'!$B$11,Paramètres!$A$1:$I$88,3,0)*0.475*44/12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projet'!$B$12,Paramètres!$A$1:$I$88,3,0)*VLOOKUP('Données projet'!$B$12,Paramètres!$A$1:$I$88,5,0)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projet'!$B$12,Paramètres!$A$1:$I$88,7,0))</f>
        <v>0</v>
      </c>
      <c r="CI180" s="17">
        <f>IF(ISNA(VLOOKUP(A180,'Données projet'!$A$113:$I$133,6,0)),0%,VLOOKUP(A180,'Données projet'!$A$113:$I$133,6,0)*VLOOKUP('Données projet'!$B$12,Paramètres!$A$1:$I$88,7,0))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projet'!$B$12,Paramètres!$A$1:$I$88,3,0)*0.475*44/12</f>
        <v>#N/A</v>
      </c>
      <c r="CL180" s="23" t="e">
        <f>EXP(-LN(2)/25)*CL179+(1-EXP(-LN(2)/25))/(LN(2)/25)*Calculateur!CG180*Calculateur!CI180*VLOOKUP('Données projet'!$B$12,Paramètres!$A$1:$I$88,3,0)*0.475*44/12</f>
        <v>#N/A</v>
      </c>
      <c r="CM180" s="23" t="e">
        <f>EXP(-LN(2)/2)*CM179+(1-EXP(-LN(2)/2))/(LN(2)/2)*CG180*CJ180*VLOOKUP('Données projet'!$B$12,Paramètres!$A$1:$I$88,3,0)*0.475*44/12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projet'!$B$13,Paramètres!$A$1:$I$88,3,0)*VLOOKUP('Données projet'!$B$13,Paramètres!$A$1:$I$88,5,0)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projet'!$B$13,Paramètres!$A$1:$I$88,7,0))</f>
        <v>0</v>
      </c>
      <c r="DD180" s="17">
        <f>IF(ISNA(VLOOKUP(A180,'Données projet'!$A$139:$I$159,6,0)),0%,VLOOKUP(A180,'Données projet'!$A$139:$I$159,6,0)*VLOOKUP('Données projet'!$B$13,Paramètres!$A$1:$I$88,7,0))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projet'!$B$13,Paramètres!$A$1:$I$88,3,0)*0.475*44/12</f>
        <v>#N/A</v>
      </c>
      <c r="DG180" s="23" t="e">
        <f>EXP(-LN(2)/25)*DG179+(1-EXP(-LN(2)/25))/(LN(2)/25)*Calculateur!DB180*Calculateur!DD180*VLOOKUP('Données projet'!$B$13,Paramètres!$A$1:$I$88,3,0)*0.475*44/12</f>
        <v>#N/A</v>
      </c>
      <c r="DH180" s="23" t="e">
        <f>EXP(-LN(2)/2)*DH179+(1-EXP(-LN(2)/2))/(LN(2)/2)*DB180*DE180*VLOOKUP('Données projet'!$B$13,Paramètres!$A$1:$I$88,3,0)*0.475*44/12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projet'!$B$14,Paramètres!$A$1:$I$88,3,0)*VLOOKUP('Données projet'!$B$14,Paramètres!$A$1:$I$88,5,0)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projet'!$B$14,Paramètres!$A$1:$I$88,7,0))</f>
        <v>0</v>
      </c>
      <c r="DY180" s="17">
        <f>IF(ISNA(VLOOKUP(A180,'Données projet'!$A$165:$I$185,6,0)),0%,VLOOKUP(A180,'Données projet'!$A$165:$I$185,6,0)*VLOOKUP('Données projet'!$B$14,Paramètres!$A$1:$I$88,7,0))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projet'!$B$14,Paramètres!$A$1:$I$88,3,0)*0.475*44/12</f>
        <v>#N/A</v>
      </c>
      <c r="EB180" s="23" t="e">
        <f>EXP(-LN(2)/25)*EB179+(1-EXP(-LN(2)/25))/(LN(2)/25)*Calculateur!DW180*Calculateur!DY180*VLOOKUP('Données projet'!$B$14,Paramètres!$A$1:$I$88,3,0)*0.475*44/12</f>
        <v>#N/A</v>
      </c>
      <c r="EC180" s="23" t="e">
        <f>EXP(-LN(2)/2)*EC179+(1-EXP(-LN(2)/2))/(LN(2)/2)*DW180*DZ180*VLOOKUP('Données projet'!$B$14,Paramètres!$A$1:$I$88,3,0)*0.475*44/12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projet'!$B$15,Paramètres!$A$1:$I$88,3,0)*VLOOKUP('Données projet'!$B$15,Paramètres!$A$1:$I$88,5,0)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projet'!$B$15,Paramètres!$A$1:$I$88,7,0))</f>
        <v>0</v>
      </c>
      <c r="ET180" s="17">
        <f>IF(ISNA(VLOOKUP(A180,'Données projet'!$A$191:$I$211,6,0)),0%,VLOOKUP(A180,'Données projet'!$A$191:$I$211,6,0)*VLOOKUP('Données projet'!$B$15,Paramètres!$A$1:$I$88,7,0))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projet'!$B$15,Paramètres!$A$1:$I$88,3,0)*0.475*44/12</f>
        <v>#N/A</v>
      </c>
      <c r="EW180" s="23" t="e">
        <f>EXP(-LN(2)/25)*EW179+(1-EXP(-LN(2)/25))/(LN(2)/25)*Calculateur!ER180*Calculateur!ET180*VLOOKUP('Données projet'!$B$15,Paramètres!$A$1:$I$88,3,0)*0.475*44/12</f>
        <v>#N/A</v>
      </c>
      <c r="EX180" s="23" t="e">
        <f>EXP(-LN(2)/2)*EX179+(1-EXP(-LN(2)/2))/(LN(2)/2)*ER180*EU180*VLOOKUP('Données projet'!$B$15,Paramètres!$A$1:$I$88,3,0)*0.475*44/12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projet'!$B$16,Paramètres!$A$1:$I$88,3,0)*VLOOKUP('Données projet'!$B$16,Paramètres!$A$1:$I$88,5,0)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projet'!$B$16,Paramètres!$A$1:$I$88,7,0))</f>
        <v>0</v>
      </c>
      <c r="FO180" s="17">
        <f>IF(ISNA(VLOOKUP(A180,'Données projet'!$A$217:$I$237,6,0)),0%,VLOOKUP(A180,'Données projet'!$A$217:$I$237,6,0)*VLOOKUP('Données projet'!$B$16,Paramètres!$A$1:$I$88,7,0))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projet'!$B$16,Paramètres!$A$1:$I$88,3,0)*0.475*44/12</f>
        <v>#N/A</v>
      </c>
      <c r="FR180" s="23" t="e">
        <f>EXP(-LN(2)/25)*FR179+(1-EXP(-LN(2)/25))/(LN(2)/25)*Calculateur!FM180*Calculateur!FO180*VLOOKUP('Données projet'!$B$16,Paramètres!$A$1:$I$88,3,0)*0.475*44/12</f>
        <v>#N/A</v>
      </c>
      <c r="FS180" s="23" t="e">
        <f>EXP(-LN(2)/2)*FS179+(1-EXP(-LN(2)/2))/(LN(2)/2)*FM180*FP180*VLOOKUP('Données projet'!$B$16,Paramètres!$A$1:$I$88,3,0)*0.475*44/12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projet'!$B$17,Paramètres!$A$1:$I$88,3,0)*VLOOKUP('Données projet'!$B$17,Paramètres!$A$1:$I$88,5,0)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projet'!$B$17,Paramètres!$A$1:$I$88,7,0))</f>
        <v>0</v>
      </c>
      <c r="GJ180" s="17">
        <f>IF(ISNA(VLOOKUP(A180,'Données projet'!$A$243:$I$263,6,0)),0%,VLOOKUP(A180,'Données projet'!$A$243:$I$263,6,0)*VLOOKUP('Données projet'!$B$17,Paramètres!$A$1:$I$88,7,0))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projet'!$B$17,Paramètres!$A$1:$I$88,3,0)*0.475*44/12</f>
        <v>#N/A</v>
      </c>
      <c r="GM180" s="23" t="e">
        <f>EXP(-LN(2)/25)*GM179+(1-EXP(-LN(2)/25))/(LN(2)/25)*Calculateur!GH180*Calculateur!GJ180*VLOOKUP('Données projet'!$B$17,Paramètres!$A$1:$I$88,3,0)*0.475*44/12</f>
        <v>#N/A</v>
      </c>
      <c r="GN180" s="23" t="e">
        <f>EXP(-LN(2)/2)*GN179+(1-EXP(-LN(2)/2))/(LN(2)/2)*GH180*GK180*VLOOKUP('Données projet'!$B$17,Paramètres!$A$1:$I$88,3,0)*0.475*44/12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projet'!$B$18,Paramètres!$A$1:$I$88,3,0)*VLOOKUP('Données projet'!$B$18,Paramètres!$A$1:$I$88,5,0)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projet'!$B$18,Paramètres!$A$1:$I$88,7,0))</f>
        <v>0</v>
      </c>
      <c r="HE180" s="17">
        <f>IF(ISNA(VLOOKUP(A180,'Données projet'!$A$269:$I$289,6,0)),0%,VLOOKUP(A180,'Données projet'!$A$269:$I$289,6,0)*VLOOKUP('Données projet'!$B$18,Paramètres!$A$1:$I$88,7,0))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projet'!$B$18,Paramètres!$A$1:$I$88,3,0)*0.475*44/12</f>
        <v>#N/A</v>
      </c>
      <c r="HH180" s="23" t="e">
        <f>EXP(-LN(2)/25)*HH179+(1-EXP(-LN(2)/25))/(LN(2)/25)*Calculateur!HC180*Calculateur!HE180*VLOOKUP('Données projet'!$B$18,Paramètres!$A$1:$I$88,3,0)*0.475*44/12</f>
        <v>#N/A</v>
      </c>
      <c r="HI180" s="23" t="e">
        <f>EXP(-LN(2)/2)*HI179+(1-EXP(-LN(2)/2))/(LN(2)/2)*HC180*HF180*VLOOKUP('Données projet'!$B$18,Paramètres!$A$1:$I$88,3,0)*0.475*44/12</f>
        <v>#N/A</v>
      </c>
      <c r="HJ180" s="24" t="e">
        <f t="shared" si="190"/>
        <v>#N/A</v>
      </c>
    </row>
    <row r="181" spans="1:218" x14ac:dyDescent="0.3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4.5474735088646412E-13</v>
      </c>
      <c r="O181" s="14">
        <f>N181*VLOOKUP('Données projet'!$B$9,Paramètres!$A$1:$I$88,3,0)*VLOOKUP('Données projet'!$B$9,Paramètres!$A$1:$I$88,5,0)</f>
        <v>2.5420376914553347E-13</v>
      </c>
      <c r="P181" s="14">
        <f t="shared" si="141"/>
        <v>3.4258699088369875E-12</v>
      </c>
      <c r="Q181" s="22">
        <f t="shared" si="162"/>
        <v>6.4094616558195571E-12</v>
      </c>
      <c r="R181" s="62">
        <f t="shared" si="109"/>
        <v>289.26530351148659</v>
      </c>
      <c r="S181" s="62">
        <f ca="1">AVERAGE(OFFSET($R$3,0,0,'Données projet'!$E$9+1,1))-AVERAGE(OFFSET($H$3,0,0,'Données projet'!$E$9+1,1))</f>
        <v>367.03450586441784</v>
      </c>
      <c r="T181" s="62">
        <f t="shared" si="142"/>
        <v>413.14502442862897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projet'!$B$9,Paramètres!$A$1:$I$88,7,0))</f>
        <v>0</v>
      </c>
      <c r="X181" s="17">
        <f>IF(ISNA(VLOOKUP(A181,'Données projet'!$A$35:$I$55,6,0)),0%,VLOOKUP(A181,'Données projet'!$A$35:$I$55,6,0)*VLOOKUP('Données projet'!$B$9,Paramètres!$A$1:$I$88,7,0))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projet'!$B$9,Paramètres!$A$1:$I$88,3,0)*0.475*44/12</f>
        <v>23.139197318314256</v>
      </c>
      <c r="AA181" s="23">
        <f>EXP(-LN(2)/25)*AA180+(1-EXP(-LN(2)/25))/(LN(2)/25)*Calculateur!V181*Calculateur!X181*VLOOKUP('Données projet'!$B$9,Paramètres!$A$1:$I$88,3,0)*0.475*44/12</f>
        <v>5.0161561598791797</v>
      </c>
      <c r="AB181" s="23">
        <f>EXP(-LN(2)/2)*AB180+(1-EXP(-LN(2)/2))/(LN(2)/2)*V181*Y181*VLOOKUP('Données projet'!$B$9,Paramètres!$A$1:$I$88,3,0)*0.475*44/12</f>
        <v>0</v>
      </c>
      <c r="AC181" s="24">
        <f t="shared" si="163"/>
        <v>28.155353478193437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projet'!$B$10,Paramètres!$A$1:$I$88,3,0)*VLOOKUP('Données projet'!$B$10,Paramètres!$A$1:$I$88,5,0)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projet'!$B$10,Paramètres!$A$1:$I$88,7,0))</f>
        <v>0</v>
      </c>
      <c r="AS181" s="17">
        <f>IF(ISNA(VLOOKUP(A181,'Données projet'!$A$61:$I$81,6,0)),0%,VLOOKUP(A181,'Données projet'!$A$61:$I$81,6,0)*VLOOKUP('Données projet'!$B$10,Paramètres!$A$1:$I$88,7,0))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projet'!$B$10,Paramètres!$A$1:$I$88,3,0)*0.475*44/12</f>
        <v>#N/A</v>
      </c>
      <c r="AV181" s="23" t="e">
        <f>EXP(-LN(2)/25)*AV180+(1-EXP(-LN(2)/25))/(LN(2)/25)*Calculateur!AQ181*Calculateur!AS181*VLOOKUP('Données projet'!$B$10,Paramètres!$A$1:$I$88,3,0)*0.475*44/12</f>
        <v>#N/A</v>
      </c>
      <c r="AW181" s="23" t="e">
        <f>EXP(-LN(2)/2)*AW180+(1-EXP(-LN(2)/2))/(LN(2)/2)*AQ181*AT181*VLOOKUP('Données projet'!$B$10,Paramètres!$A$1:$I$88,3,0)*0.475*44/12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projet'!$B$11,Paramètres!$A$1:$I$88,3,0)*VLOOKUP('Données projet'!$B$11,Paramètres!$A$1:$I$88,5,0)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projet'!$B$11,Paramètres!$A$1:$I$88,7,0))</f>
        <v>0</v>
      </c>
      <c r="BN181" s="17">
        <f>IF(ISNA(VLOOKUP(A181,'Données projet'!$A$87:$I$107,6,0)),0%,VLOOKUP(A181,'Données projet'!$A$87:$I$107,6,0)*VLOOKUP('Données projet'!$B$11,Paramètres!$A$1:$I$88,7,0))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projet'!$B$11,Paramètres!$A$1:$I$88,3,0)*0.475*44/12</f>
        <v>#N/A</v>
      </c>
      <c r="BQ181" s="23" t="e">
        <f>EXP(-LN(2)/25)*BQ180+(1-EXP(-LN(2)/25))/(LN(2)/25)*Calculateur!BL181*Calculateur!BN181*VLOOKUP('Données projet'!$B$11,Paramètres!$A$1:$I$88,3,0)*0.475*44/12</f>
        <v>#N/A</v>
      </c>
      <c r="BR181" s="23" t="e">
        <f>EXP(-LN(2)/2)*BR180+(1-EXP(-LN(2)/2))/(LN(2)/2)*BL181*BO181*VLOOKUP('Données projet'!$B$11,Paramètres!$A$1:$I$88,3,0)*0.475*44/12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projet'!$B$12,Paramètres!$A$1:$I$88,3,0)*VLOOKUP('Données projet'!$B$12,Paramètres!$A$1:$I$88,5,0)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projet'!$B$12,Paramètres!$A$1:$I$88,7,0))</f>
        <v>0</v>
      </c>
      <c r="CI181" s="17">
        <f>IF(ISNA(VLOOKUP(A181,'Données projet'!$A$113:$I$133,6,0)),0%,VLOOKUP(A181,'Données projet'!$A$113:$I$133,6,0)*VLOOKUP('Données projet'!$B$12,Paramètres!$A$1:$I$88,7,0))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projet'!$B$12,Paramètres!$A$1:$I$88,3,0)*0.475*44/12</f>
        <v>#N/A</v>
      </c>
      <c r="CL181" s="23" t="e">
        <f>EXP(-LN(2)/25)*CL180+(1-EXP(-LN(2)/25))/(LN(2)/25)*Calculateur!CG181*Calculateur!CI181*VLOOKUP('Données projet'!$B$12,Paramètres!$A$1:$I$88,3,0)*0.475*44/12</f>
        <v>#N/A</v>
      </c>
      <c r="CM181" s="23" t="e">
        <f>EXP(-LN(2)/2)*CM180+(1-EXP(-LN(2)/2))/(LN(2)/2)*CG181*CJ181*VLOOKUP('Données projet'!$B$12,Paramètres!$A$1:$I$88,3,0)*0.475*44/12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projet'!$B$13,Paramètres!$A$1:$I$88,3,0)*VLOOKUP('Données projet'!$B$13,Paramètres!$A$1:$I$88,5,0)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projet'!$B$13,Paramètres!$A$1:$I$88,7,0))</f>
        <v>0</v>
      </c>
      <c r="DD181" s="17">
        <f>IF(ISNA(VLOOKUP(A181,'Données projet'!$A$139:$I$159,6,0)),0%,VLOOKUP(A181,'Données projet'!$A$139:$I$159,6,0)*VLOOKUP('Données projet'!$B$13,Paramètres!$A$1:$I$88,7,0))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projet'!$B$13,Paramètres!$A$1:$I$88,3,0)*0.475*44/12</f>
        <v>#N/A</v>
      </c>
      <c r="DG181" s="23" t="e">
        <f>EXP(-LN(2)/25)*DG180+(1-EXP(-LN(2)/25))/(LN(2)/25)*Calculateur!DB181*Calculateur!DD181*VLOOKUP('Données projet'!$B$13,Paramètres!$A$1:$I$88,3,0)*0.475*44/12</f>
        <v>#N/A</v>
      </c>
      <c r="DH181" s="23" t="e">
        <f>EXP(-LN(2)/2)*DH180+(1-EXP(-LN(2)/2))/(LN(2)/2)*DB181*DE181*VLOOKUP('Données projet'!$B$13,Paramètres!$A$1:$I$88,3,0)*0.475*44/12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projet'!$B$14,Paramètres!$A$1:$I$88,3,0)*VLOOKUP('Données projet'!$B$14,Paramètres!$A$1:$I$88,5,0)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projet'!$B$14,Paramètres!$A$1:$I$88,7,0))</f>
        <v>0</v>
      </c>
      <c r="DY181" s="17">
        <f>IF(ISNA(VLOOKUP(A181,'Données projet'!$A$165:$I$185,6,0)),0%,VLOOKUP(A181,'Données projet'!$A$165:$I$185,6,0)*VLOOKUP('Données projet'!$B$14,Paramètres!$A$1:$I$88,7,0))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projet'!$B$14,Paramètres!$A$1:$I$88,3,0)*0.475*44/12</f>
        <v>#N/A</v>
      </c>
      <c r="EB181" s="23" t="e">
        <f>EXP(-LN(2)/25)*EB180+(1-EXP(-LN(2)/25))/(LN(2)/25)*Calculateur!DW181*Calculateur!DY181*VLOOKUP('Données projet'!$B$14,Paramètres!$A$1:$I$88,3,0)*0.475*44/12</f>
        <v>#N/A</v>
      </c>
      <c r="EC181" s="23" t="e">
        <f>EXP(-LN(2)/2)*EC180+(1-EXP(-LN(2)/2))/(LN(2)/2)*DW181*DZ181*VLOOKUP('Données projet'!$B$14,Paramètres!$A$1:$I$88,3,0)*0.475*44/12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projet'!$B$15,Paramètres!$A$1:$I$88,3,0)*VLOOKUP('Données projet'!$B$15,Paramètres!$A$1:$I$88,5,0)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projet'!$B$15,Paramètres!$A$1:$I$88,7,0))</f>
        <v>0</v>
      </c>
      <c r="ET181" s="17">
        <f>IF(ISNA(VLOOKUP(A181,'Données projet'!$A$191:$I$211,6,0)),0%,VLOOKUP(A181,'Données projet'!$A$191:$I$211,6,0)*VLOOKUP('Données projet'!$B$15,Paramètres!$A$1:$I$88,7,0))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projet'!$B$15,Paramètres!$A$1:$I$88,3,0)*0.475*44/12</f>
        <v>#N/A</v>
      </c>
      <c r="EW181" s="23" t="e">
        <f>EXP(-LN(2)/25)*EW180+(1-EXP(-LN(2)/25))/(LN(2)/25)*Calculateur!ER181*Calculateur!ET181*VLOOKUP('Données projet'!$B$15,Paramètres!$A$1:$I$88,3,0)*0.475*44/12</f>
        <v>#N/A</v>
      </c>
      <c r="EX181" s="23" t="e">
        <f>EXP(-LN(2)/2)*EX180+(1-EXP(-LN(2)/2))/(LN(2)/2)*ER181*EU181*VLOOKUP('Données projet'!$B$15,Paramètres!$A$1:$I$88,3,0)*0.475*44/12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projet'!$B$16,Paramètres!$A$1:$I$88,3,0)*VLOOKUP('Données projet'!$B$16,Paramètres!$A$1:$I$88,5,0)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projet'!$B$16,Paramètres!$A$1:$I$88,7,0))</f>
        <v>0</v>
      </c>
      <c r="FO181" s="17">
        <f>IF(ISNA(VLOOKUP(A181,'Données projet'!$A$217:$I$237,6,0)),0%,VLOOKUP(A181,'Données projet'!$A$217:$I$237,6,0)*VLOOKUP('Données projet'!$B$16,Paramètres!$A$1:$I$88,7,0))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projet'!$B$16,Paramètres!$A$1:$I$88,3,0)*0.475*44/12</f>
        <v>#N/A</v>
      </c>
      <c r="FR181" s="23" t="e">
        <f>EXP(-LN(2)/25)*FR180+(1-EXP(-LN(2)/25))/(LN(2)/25)*Calculateur!FM181*Calculateur!FO181*VLOOKUP('Données projet'!$B$16,Paramètres!$A$1:$I$88,3,0)*0.475*44/12</f>
        <v>#N/A</v>
      </c>
      <c r="FS181" s="23" t="e">
        <f>EXP(-LN(2)/2)*FS180+(1-EXP(-LN(2)/2))/(LN(2)/2)*FM181*FP181*VLOOKUP('Données projet'!$B$16,Paramètres!$A$1:$I$88,3,0)*0.475*44/12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projet'!$B$17,Paramètres!$A$1:$I$88,3,0)*VLOOKUP('Données projet'!$B$17,Paramètres!$A$1:$I$88,5,0)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projet'!$B$17,Paramètres!$A$1:$I$88,7,0))</f>
        <v>0</v>
      </c>
      <c r="GJ181" s="17">
        <f>IF(ISNA(VLOOKUP(A181,'Données projet'!$A$243:$I$263,6,0)),0%,VLOOKUP(A181,'Données projet'!$A$243:$I$263,6,0)*VLOOKUP('Données projet'!$B$17,Paramètres!$A$1:$I$88,7,0))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projet'!$B$17,Paramètres!$A$1:$I$88,3,0)*0.475*44/12</f>
        <v>#N/A</v>
      </c>
      <c r="GM181" s="23" t="e">
        <f>EXP(-LN(2)/25)*GM180+(1-EXP(-LN(2)/25))/(LN(2)/25)*Calculateur!GH181*Calculateur!GJ181*VLOOKUP('Données projet'!$B$17,Paramètres!$A$1:$I$88,3,0)*0.475*44/12</f>
        <v>#N/A</v>
      </c>
      <c r="GN181" s="23" t="e">
        <f>EXP(-LN(2)/2)*GN180+(1-EXP(-LN(2)/2))/(LN(2)/2)*GH181*GK181*VLOOKUP('Données projet'!$B$17,Paramètres!$A$1:$I$88,3,0)*0.475*44/12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projet'!$B$18,Paramètres!$A$1:$I$88,3,0)*VLOOKUP('Données projet'!$B$18,Paramètres!$A$1:$I$88,5,0)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projet'!$B$18,Paramètres!$A$1:$I$88,7,0))</f>
        <v>0</v>
      </c>
      <c r="HE181" s="17">
        <f>IF(ISNA(VLOOKUP(A181,'Données projet'!$A$269:$I$289,6,0)),0%,VLOOKUP(A181,'Données projet'!$A$269:$I$289,6,0)*VLOOKUP('Données projet'!$B$18,Paramètres!$A$1:$I$88,7,0))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projet'!$B$18,Paramètres!$A$1:$I$88,3,0)*0.475*44/12</f>
        <v>#N/A</v>
      </c>
      <c r="HH181" s="23" t="e">
        <f>EXP(-LN(2)/25)*HH180+(1-EXP(-LN(2)/25))/(LN(2)/25)*Calculateur!HC181*Calculateur!HE181*VLOOKUP('Données projet'!$B$18,Paramètres!$A$1:$I$88,3,0)*0.475*44/12</f>
        <v>#N/A</v>
      </c>
      <c r="HI181" s="23" t="e">
        <f>EXP(-LN(2)/2)*HI180+(1-EXP(-LN(2)/2))/(LN(2)/2)*HC181*HF181*VLOOKUP('Données projet'!$B$18,Paramètres!$A$1:$I$88,3,0)*0.475*44/12</f>
        <v>#N/A</v>
      </c>
      <c r="HJ181" s="24" t="e">
        <f t="shared" si="190"/>
        <v>#N/A</v>
      </c>
    </row>
    <row r="182" spans="1:218" x14ac:dyDescent="0.3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4.5474735088646412E-13</v>
      </c>
      <c r="O182" s="14">
        <f>N182*VLOOKUP('Données projet'!$B$9,Paramètres!$A$1:$I$88,3,0)*VLOOKUP('Données projet'!$B$9,Paramètres!$A$1:$I$88,5,0)</f>
        <v>2.5420376914553347E-13</v>
      </c>
      <c r="P182" s="14">
        <f t="shared" si="141"/>
        <v>3.4258699088369875E-12</v>
      </c>
      <c r="Q182" s="22">
        <f t="shared" si="162"/>
        <v>6.4094616558195571E-12</v>
      </c>
      <c r="R182" s="62">
        <f t="shared" si="109"/>
        <v>289.33587473414354</v>
      </c>
      <c r="S182" s="62">
        <f ca="1">AVERAGE(OFFSET($R$3,0,0,'Données projet'!$E$9+1,1))-AVERAGE(OFFSET($H$3,0,0,'Données projet'!$E$9+1,1))</f>
        <v>367.03450586441784</v>
      </c>
      <c r="T182" s="62">
        <f t="shared" si="142"/>
        <v>413.14502442862897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projet'!$B$9,Paramètres!$A$1:$I$88,7,0))</f>
        <v>0</v>
      </c>
      <c r="X182" s="17">
        <f>IF(ISNA(VLOOKUP(A182,'Données projet'!$A$35:$I$55,6,0)),0%,VLOOKUP(A182,'Données projet'!$A$35:$I$55,6,0)*VLOOKUP('Données projet'!$B$9,Paramètres!$A$1:$I$88,7,0))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projet'!$B$9,Paramètres!$A$1:$I$88,3,0)*0.475*44/12</f>
        <v>22.685451772418883</v>
      </c>
      <c r="AA182" s="23">
        <f>EXP(-LN(2)/25)*AA181+(1-EXP(-LN(2)/25))/(LN(2)/25)*Calculateur!V182*Calculateur!X182*VLOOKUP('Données projet'!$B$9,Paramètres!$A$1:$I$88,3,0)*0.475*44/12</f>
        <v>4.8789891058990955</v>
      </c>
      <c r="AB182" s="23">
        <f>EXP(-LN(2)/2)*AB181+(1-EXP(-LN(2)/2))/(LN(2)/2)*V182*Y182*VLOOKUP('Données projet'!$B$9,Paramètres!$A$1:$I$88,3,0)*0.475*44/12</f>
        <v>0</v>
      </c>
      <c r="AC182" s="24">
        <f t="shared" si="163"/>
        <v>27.564440878317978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projet'!$B$10,Paramètres!$A$1:$I$88,3,0)*VLOOKUP('Données projet'!$B$10,Paramètres!$A$1:$I$88,5,0)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projet'!$B$10,Paramètres!$A$1:$I$88,7,0))</f>
        <v>0</v>
      </c>
      <c r="AS182" s="17">
        <f>IF(ISNA(VLOOKUP(A182,'Données projet'!$A$61:$I$81,6,0)),0%,VLOOKUP(A182,'Données projet'!$A$61:$I$81,6,0)*VLOOKUP('Données projet'!$B$10,Paramètres!$A$1:$I$88,7,0))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projet'!$B$10,Paramètres!$A$1:$I$88,3,0)*0.475*44/12</f>
        <v>#N/A</v>
      </c>
      <c r="AV182" s="23" t="e">
        <f>EXP(-LN(2)/25)*AV181+(1-EXP(-LN(2)/25))/(LN(2)/25)*Calculateur!AQ182*Calculateur!AS182*VLOOKUP('Données projet'!$B$10,Paramètres!$A$1:$I$88,3,0)*0.475*44/12</f>
        <v>#N/A</v>
      </c>
      <c r="AW182" s="23" t="e">
        <f>EXP(-LN(2)/2)*AW181+(1-EXP(-LN(2)/2))/(LN(2)/2)*AQ182*AT182*VLOOKUP('Données projet'!$B$10,Paramètres!$A$1:$I$88,3,0)*0.475*44/12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projet'!$B$11,Paramètres!$A$1:$I$88,3,0)*VLOOKUP('Données projet'!$B$11,Paramètres!$A$1:$I$88,5,0)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projet'!$B$11,Paramètres!$A$1:$I$88,7,0))</f>
        <v>0</v>
      </c>
      <c r="BN182" s="17">
        <f>IF(ISNA(VLOOKUP(A182,'Données projet'!$A$87:$I$107,6,0)),0%,VLOOKUP(A182,'Données projet'!$A$87:$I$107,6,0)*VLOOKUP('Données projet'!$B$11,Paramètres!$A$1:$I$88,7,0))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projet'!$B$11,Paramètres!$A$1:$I$88,3,0)*0.475*44/12</f>
        <v>#N/A</v>
      </c>
      <c r="BQ182" s="23" t="e">
        <f>EXP(-LN(2)/25)*BQ181+(1-EXP(-LN(2)/25))/(LN(2)/25)*Calculateur!BL182*Calculateur!BN182*VLOOKUP('Données projet'!$B$11,Paramètres!$A$1:$I$88,3,0)*0.475*44/12</f>
        <v>#N/A</v>
      </c>
      <c r="BR182" s="23" t="e">
        <f>EXP(-LN(2)/2)*BR181+(1-EXP(-LN(2)/2))/(LN(2)/2)*BL182*BO182*VLOOKUP('Données projet'!$B$11,Paramètres!$A$1:$I$88,3,0)*0.475*44/12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projet'!$B$12,Paramètres!$A$1:$I$88,3,0)*VLOOKUP('Données projet'!$B$12,Paramètres!$A$1:$I$88,5,0)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projet'!$B$12,Paramètres!$A$1:$I$88,7,0))</f>
        <v>0</v>
      </c>
      <c r="CI182" s="17">
        <f>IF(ISNA(VLOOKUP(A182,'Données projet'!$A$113:$I$133,6,0)),0%,VLOOKUP(A182,'Données projet'!$A$113:$I$133,6,0)*VLOOKUP('Données projet'!$B$12,Paramètres!$A$1:$I$88,7,0))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projet'!$B$12,Paramètres!$A$1:$I$88,3,0)*0.475*44/12</f>
        <v>#N/A</v>
      </c>
      <c r="CL182" s="23" t="e">
        <f>EXP(-LN(2)/25)*CL181+(1-EXP(-LN(2)/25))/(LN(2)/25)*Calculateur!CG182*Calculateur!CI182*VLOOKUP('Données projet'!$B$12,Paramètres!$A$1:$I$88,3,0)*0.475*44/12</f>
        <v>#N/A</v>
      </c>
      <c r="CM182" s="23" t="e">
        <f>EXP(-LN(2)/2)*CM181+(1-EXP(-LN(2)/2))/(LN(2)/2)*CG182*CJ182*VLOOKUP('Données projet'!$B$12,Paramètres!$A$1:$I$88,3,0)*0.475*44/12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projet'!$B$13,Paramètres!$A$1:$I$88,3,0)*VLOOKUP('Données projet'!$B$13,Paramètres!$A$1:$I$88,5,0)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projet'!$B$13,Paramètres!$A$1:$I$88,7,0))</f>
        <v>0</v>
      </c>
      <c r="DD182" s="17">
        <f>IF(ISNA(VLOOKUP(A182,'Données projet'!$A$139:$I$159,6,0)),0%,VLOOKUP(A182,'Données projet'!$A$139:$I$159,6,0)*VLOOKUP('Données projet'!$B$13,Paramètres!$A$1:$I$88,7,0))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projet'!$B$13,Paramètres!$A$1:$I$88,3,0)*0.475*44/12</f>
        <v>#N/A</v>
      </c>
      <c r="DG182" s="23" t="e">
        <f>EXP(-LN(2)/25)*DG181+(1-EXP(-LN(2)/25))/(LN(2)/25)*Calculateur!DB182*Calculateur!DD182*VLOOKUP('Données projet'!$B$13,Paramètres!$A$1:$I$88,3,0)*0.475*44/12</f>
        <v>#N/A</v>
      </c>
      <c r="DH182" s="23" t="e">
        <f>EXP(-LN(2)/2)*DH181+(1-EXP(-LN(2)/2))/(LN(2)/2)*DB182*DE182*VLOOKUP('Données projet'!$B$13,Paramètres!$A$1:$I$88,3,0)*0.475*44/12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projet'!$B$14,Paramètres!$A$1:$I$88,3,0)*VLOOKUP('Données projet'!$B$14,Paramètres!$A$1:$I$88,5,0)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projet'!$B$14,Paramètres!$A$1:$I$88,7,0))</f>
        <v>0</v>
      </c>
      <c r="DY182" s="17">
        <f>IF(ISNA(VLOOKUP(A182,'Données projet'!$A$165:$I$185,6,0)),0%,VLOOKUP(A182,'Données projet'!$A$165:$I$185,6,0)*VLOOKUP('Données projet'!$B$14,Paramètres!$A$1:$I$88,7,0))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projet'!$B$14,Paramètres!$A$1:$I$88,3,0)*0.475*44/12</f>
        <v>#N/A</v>
      </c>
      <c r="EB182" s="23" t="e">
        <f>EXP(-LN(2)/25)*EB181+(1-EXP(-LN(2)/25))/(LN(2)/25)*Calculateur!DW182*Calculateur!DY182*VLOOKUP('Données projet'!$B$14,Paramètres!$A$1:$I$88,3,0)*0.475*44/12</f>
        <v>#N/A</v>
      </c>
      <c r="EC182" s="23" t="e">
        <f>EXP(-LN(2)/2)*EC181+(1-EXP(-LN(2)/2))/(LN(2)/2)*DW182*DZ182*VLOOKUP('Données projet'!$B$14,Paramètres!$A$1:$I$88,3,0)*0.475*44/12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projet'!$B$15,Paramètres!$A$1:$I$88,3,0)*VLOOKUP('Données projet'!$B$15,Paramètres!$A$1:$I$88,5,0)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projet'!$B$15,Paramètres!$A$1:$I$88,7,0))</f>
        <v>0</v>
      </c>
      <c r="ET182" s="17">
        <f>IF(ISNA(VLOOKUP(A182,'Données projet'!$A$191:$I$211,6,0)),0%,VLOOKUP(A182,'Données projet'!$A$191:$I$211,6,0)*VLOOKUP('Données projet'!$B$15,Paramètres!$A$1:$I$88,7,0))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projet'!$B$15,Paramètres!$A$1:$I$88,3,0)*0.475*44/12</f>
        <v>#N/A</v>
      </c>
      <c r="EW182" s="23" t="e">
        <f>EXP(-LN(2)/25)*EW181+(1-EXP(-LN(2)/25))/(LN(2)/25)*Calculateur!ER182*Calculateur!ET182*VLOOKUP('Données projet'!$B$15,Paramètres!$A$1:$I$88,3,0)*0.475*44/12</f>
        <v>#N/A</v>
      </c>
      <c r="EX182" s="23" t="e">
        <f>EXP(-LN(2)/2)*EX181+(1-EXP(-LN(2)/2))/(LN(2)/2)*ER182*EU182*VLOOKUP('Données projet'!$B$15,Paramètres!$A$1:$I$88,3,0)*0.475*44/12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projet'!$B$16,Paramètres!$A$1:$I$88,3,0)*VLOOKUP('Données projet'!$B$16,Paramètres!$A$1:$I$88,5,0)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projet'!$B$16,Paramètres!$A$1:$I$88,7,0))</f>
        <v>0</v>
      </c>
      <c r="FO182" s="17">
        <f>IF(ISNA(VLOOKUP(A182,'Données projet'!$A$217:$I$237,6,0)),0%,VLOOKUP(A182,'Données projet'!$A$217:$I$237,6,0)*VLOOKUP('Données projet'!$B$16,Paramètres!$A$1:$I$88,7,0))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projet'!$B$16,Paramètres!$A$1:$I$88,3,0)*0.475*44/12</f>
        <v>#N/A</v>
      </c>
      <c r="FR182" s="23" t="e">
        <f>EXP(-LN(2)/25)*FR181+(1-EXP(-LN(2)/25))/(LN(2)/25)*Calculateur!FM182*Calculateur!FO182*VLOOKUP('Données projet'!$B$16,Paramètres!$A$1:$I$88,3,0)*0.475*44/12</f>
        <v>#N/A</v>
      </c>
      <c r="FS182" s="23" t="e">
        <f>EXP(-LN(2)/2)*FS181+(1-EXP(-LN(2)/2))/(LN(2)/2)*FM182*FP182*VLOOKUP('Données projet'!$B$16,Paramètres!$A$1:$I$88,3,0)*0.475*44/12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projet'!$B$17,Paramètres!$A$1:$I$88,3,0)*VLOOKUP('Données projet'!$B$17,Paramètres!$A$1:$I$88,5,0)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projet'!$B$17,Paramètres!$A$1:$I$88,7,0))</f>
        <v>0</v>
      </c>
      <c r="GJ182" s="17">
        <f>IF(ISNA(VLOOKUP(A182,'Données projet'!$A$243:$I$263,6,0)),0%,VLOOKUP(A182,'Données projet'!$A$243:$I$263,6,0)*VLOOKUP('Données projet'!$B$17,Paramètres!$A$1:$I$88,7,0))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projet'!$B$17,Paramètres!$A$1:$I$88,3,0)*0.475*44/12</f>
        <v>#N/A</v>
      </c>
      <c r="GM182" s="23" t="e">
        <f>EXP(-LN(2)/25)*GM181+(1-EXP(-LN(2)/25))/(LN(2)/25)*Calculateur!GH182*Calculateur!GJ182*VLOOKUP('Données projet'!$B$17,Paramètres!$A$1:$I$88,3,0)*0.475*44/12</f>
        <v>#N/A</v>
      </c>
      <c r="GN182" s="23" t="e">
        <f>EXP(-LN(2)/2)*GN181+(1-EXP(-LN(2)/2))/(LN(2)/2)*GH182*GK182*VLOOKUP('Données projet'!$B$17,Paramètres!$A$1:$I$88,3,0)*0.475*44/12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projet'!$B$18,Paramètres!$A$1:$I$88,3,0)*VLOOKUP('Données projet'!$B$18,Paramètres!$A$1:$I$88,5,0)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projet'!$B$18,Paramètres!$A$1:$I$88,7,0))</f>
        <v>0</v>
      </c>
      <c r="HE182" s="17">
        <f>IF(ISNA(VLOOKUP(A182,'Données projet'!$A$269:$I$289,6,0)),0%,VLOOKUP(A182,'Données projet'!$A$269:$I$289,6,0)*VLOOKUP('Données projet'!$B$18,Paramètres!$A$1:$I$88,7,0))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projet'!$B$18,Paramètres!$A$1:$I$88,3,0)*0.475*44/12</f>
        <v>#N/A</v>
      </c>
      <c r="HH182" s="23" t="e">
        <f>EXP(-LN(2)/25)*HH181+(1-EXP(-LN(2)/25))/(LN(2)/25)*Calculateur!HC182*Calculateur!HE182*VLOOKUP('Données projet'!$B$18,Paramètres!$A$1:$I$88,3,0)*0.475*44/12</f>
        <v>#N/A</v>
      </c>
      <c r="HI182" s="23" t="e">
        <f>EXP(-LN(2)/2)*HI181+(1-EXP(-LN(2)/2))/(LN(2)/2)*HC182*HF182*VLOOKUP('Données projet'!$B$18,Paramètres!$A$1:$I$88,3,0)*0.475*44/12</f>
        <v>#N/A</v>
      </c>
      <c r="HJ182" s="24" t="e">
        <f t="shared" si="190"/>
        <v>#N/A</v>
      </c>
    </row>
    <row r="183" spans="1:218" x14ac:dyDescent="0.3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4.5474735088646412E-13</v>
      </c>
      <c r="O183" s="14">
        <f>N183*VLOOKUP('Données projet'!$B$9,Paramètres!$A$1:$I$88,3,0)*VLOOKUP('Données projet'!$B$9,Paramètres!$A$1:$I$88,5,0)</f>
        <v>2.5420376914553347E-13</v>
      </c>
      <c r="P183" s="14">
        <f t="shared" si="141"/>
        <v>3.4258699088369875E-12</v>
      </c>
      <c r="Q183" s="22">
        <f t="shared" si="162"/>
        <v>6.4094616558195571E-12</v>
      </c>
      <c r="R183" s="62">
        <f t="shared" si="109"/>
        <v>289.40522170386106</v>
      </c>
      <c r="S183" s="62">
        <f ca="1">AVERAGE(OFFSET($R$3,0,0,'Données projet'!$E$9+1,1))-AVERAGE(OFFSET($H$3,0,0,'Données projet'!$E$9+1,1))</f>
        <v>367.03450586441784</v>
      </c>
      <c r="T183" s="62">
        <f t="shared" si="142"/>
        <v>413.14502442862897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projet'!$B$9,Paramètres!$A$1:$I$88,7,0))</f>
        <v>0</v>
      </c>
      <c r="X183" s="17">
        <f>IF(ISNA(VLOOKUP(A183,'Données projet'!$A$35:$I$55,6,0)),0%,VLOOKUP(A183,'Données projet'!$A$35:$I$55,6,0)*VLOOKUP('Données projet'!$B$9,Paramètres!$A$1:$I$88,7,0))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projet'!$B$9,Paramètres!$A$1:$I$88,3,0)*0.475*44/12</f>
        <v>22.240603899921062</v>
      </c>
      <c r="AA183" s="23">
        <f>EXP(-LN(2)/25)*AA182+(1-EXP(-LN(2)/25))/(LN(2)/25)*Calculateur!V183*Calculateur!X183*VLOOKUP('Données projet'!$B$9,Paramètres!$A$1:$I$88,3,0)*0.475*44/12</f>
        <v>4.7455728922233984</v>
      </c>
      <c r="AB183" s="23">
        <f>EXP(-LN(2)/2)*AB182+(1-EXP(-LN(2)/2))/(LN(2)/2)*V183*Y183*VLOOKUP('Données projet'!$B$9,Paramètres!$A$1:$I$88,3,0)*0.475*44/12</f>
        <v>0</v>
      </c>
      <c r="AC183" s="24">
        <f t="shared" si="163"/>
        <v>26.986176792144462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projet'!$B$10,Paramètres!$A$1:$I$88,3,0)*VLOOKUP('Données projet'!$B$10,Paramètres!$A$1:$I$88,5,0)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projet'!$B$10,Paramètres!$A$1:$I$88,7,0))</f>
        <v>0</v>
      </c>
      <c r="AS183" s="17">
        <f>IF(ISNA(VLOOKUP(A183,'Données projet'!$A$61:$I$81,6,0)),0%,VLOOKUP(A183,'Données projet'!$A$61:$I$81,6,0)*VLOOKUP('Données projet'!$B$10,Paramètres!$A$1:$I$88,7,0))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projet'!$B$10,Paramètres!$A$1:$I$88,3,0)*0.475*44/12</f>
        <v>#N/A</v>
      </c>
      <c r="AV183" s="23" t="e">
        <f>EXP(-LN(2)/25)*AV182+(1-EXP(-LN(2)/25))/(LN(2)/25)*Calculateur!AQ183*Calculateur!AS183*VLOOKUP('Données projet'!$B$10,Paramètres!$A$1:$I$88,3,0)*0.475*44/12</f>
        <v>#N/A</v>
      </c>
      <c r="AW183" s="23" t="e">
        <f>EXP(-LN(2)/2)*AW182+(1-EXP(-LN(2)/2))/(LN(2)/2)*AQ183*AT183*VLOOKUP('Données projet'!$B$10,Paramètres!$A$1:$I$88,3,0)*0.475*44/12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projet'!$B$11,Paramètres!$A$1:$I$88,3,0)*VLOOKUP('Données projet'!$B$11,Paramètres!$A$1:$I$88,5,0)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projet'!$B$11,Paramètres!$A$1:$I$88,7,0))</f>
        <v>0</v>
      </c>
      <c r="BN183" s="17">
        <f>IF(ISNA(VLOOKUP(A183,'Données projet'!$A$87:$I$107,6,0)),0%,VLOOKUP(A183,'Données projet'!$A$87:$I$107,6,0)*VLOOKUP('Données projet'!$B$11,Paramètres!$A$1:$I$88,7,0))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projet'!$B$11,Paramètres!$A$1:$I$88,3,0)*0.475*44/12</f>
        <v>#N/A</v>
      </c>
      <c r="BQ183" s="23" t="e">
        <f>EXP(-LN(2)/25)*BQ182+(1-EXP(-LN(2)/25))/(LN(2)/25)*Calculateur!BL183*Calculateur!BN183*VLOOKUP('Données projet'!$B$11,Paramètres!$A$1:$I$88,3,0)*0.475*44/12</f>
        <v>#N/A</v>
      </c>
      <c r="BR183" s="23" t="e">
        <f>EXP(-LN(2)/2)*BR182+(1-EXP(-LN(2)/2))/(LN(2)/2)*BL183*BO183*VLOOKUP('Données projet'!$B$11,Paramètres!$A$1:$I$88,3,0)*0.475*44/12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projet'!$B$12,Paramètres!$A$1:$I$88,3,0)*VLOOKUP('Données projet'!$B$12,Paramètres!$A$1:$I$88,5,0)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projet'!$B$12,Paramètres!$A$1:$I$88,7,0))</f>
        <v>0</v>
      </c>
      <c r="CI183" s="17">
        <f>IF(ISNA(VLOOKUP(A183,'Données projet'!$A$113:$I$133,6,0)),0%,VLOOKUP(A183,'Données projet'!$A$113:$I$133,6,0)*VLOOKUP('Données projet'!$B$12,Paramètres!$A$1:$I$88,7,0))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projet'!$B$12,Paramètres!$A$1:$I$88,3,0)*0.475*44/12</f>
        <v>#N/A</v>
      </c>
      <c r="CL183" s="23" t="e">
        <f>EXP(-LN(2)/25)*CL182+(1-EXP(-LN(2)/25))/(LN(2)/25)*Calculateur!CG183*Calculateur!CI183*VLOOKUP('Données projet'!$B$12,Paramètres!$A$1:$I$88,3,0)*0.475*44/12</f>
        <v>#N/A</v>
      </c>
      <c r="CM183" s="23" t="e">
        <f>EXP(-LN(2)/2)*CM182+(1-EXP(-LN(2)/2))/(LN(2)/2)*CG183*CJ183*VLOOKUP('Données projet'!$B$12,Paramètres!$A$1:$I$88,3,0)*0.475*44/12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projet'!$B$13,Paramètres!$A$1:$I$88,3,0)*VLOOKUP('Données projet'!$B$13,Paramètres!$A$1:$I$88,5,0)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projet'!$B$13,Paramètres!$A$1:$I$88,7,0))</f>
        <v>0</v>
      </c>
      <c r="DD183" s="17">
        <f>IF(ISNA(VLOOKUP(A183,'Données projet'!$A$139:$I$159,6,0)),0%,VLOOKUP(A183,'Données projet'!$A$139:$I$159,6,0)*VLOOKUP('Données projet'!$B$13,Paramètres!$A$1:$I$88,7,0))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projet'!$B$13,Paramètres!$A$1:$I$88,3,0)*0.475*44/12</f>
        <v>#N/A</v>
      </c>
      <c r="DG183" s="23" t="e">
        <f>EXP(-LN(2)/25)*DG182+(1-EXP(-LN(2)/25))/(LN(2)/25)*Calculateur!DB183*Calculateur!DD183*VLOOKUP('Données projet'!$B$13,Paramètres!$A$1:$I$88,3,0)*0.475*44/12</f>
        <v>#N/A</v>
      </c>
      <c r="DH183" s="23" t="e">
        <f>EXP(-LN(2)/2)*DH182+(1-EXP(-LN(2)/2))/(LN(2)/2)*DB183*DE183*VLOOKUP('Données projet'!$B$13,Paramètres!$A$1:$I$88,3,0)*0.475*44/12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projet'!$B$14,Paramètres!$A$1:$I$88,3,0)*VLOOKUP('Données projet'!$B$14,Paramètres!$A$1:$I$88,5,0)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projet'!$B$14,Paramètres!$A$1:$I$88,7,0))</f>
        <v>0</v>
      </c>
      <c r="DY183" s="17">
        <f>IF(ISNA(VLOOKUP(A183,'Données projet'!$A$165:$I$185,6,0)),0%,VLOOKUP(A183,'Données projet'!$A$165:$I$185,6,0)*VLOOKUP('Données projet'!$B$14,Paramètres!$A$1:$I$88,7,0))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projet'!$B$14,Paramètres!$A$1:$I$88,3,0)*0.475*44/12</f>
        <v>#N/A</v>
      </c>
      <c r="EB183" s="23" t="e">
        <f>EXP(-LN(2)/25)*EB182+(1-EXP(-LN(2)/25))/(LN(2)/25)*Calculateur!DW183*Calculateur!DY183*VLOOKUP('Données projet'!$B$14,Paramètres!$A$1:$I$88,3,0)*0.475*44/12</f>
        <v>#N/A</v>
      </c>
      <c r="EC183" s="23" t="e">
        <f>EXP(-LN(2)/2)*EC182+(1-EXP(-LN(2)/2))/(LN(2)/2)*DW183*DZ183*VLOOKUP('Données projet'!$B$14,Paramètres!$A$1:$I$88,3,0)*0.475*44/12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projet'!$B$15,Paramètres!$A$1:$I$88,3,0)*VLOOKUP('Données projet'!$B$15,Paramètres!$A$1:$I$88,5,0)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projet'!$B$15,Paramètres!$A$1:$I$88,7,0))</f>
        <v>0</v>
      </c>
      <c r="ET183" s="17">
        <f>IF(ISNA(VLOOKUP(A183,'Données projet'!$A$191:$I$211,6,0)),0%,VLOOKUP(A183,'Données projet'!$A$191:$I$211,6,0)*VLOOKUP('Données projet'!$B$15,Paramètres!$A$1:$I$88,7,0))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projet'!$B$15,Paramètres!$A$1:$I$88,3,0)*0.475*44/12</f>
        <v>#N/A</v>
      </c>
      <c r="EW183" s="23" t="e">
        <f>EXP(-LN(2)/25)*EW182+(1-EXP(-LN(2)/25))/(LN(2)/25)*Calculateur!ER183*Calculateur!ET183*VLOOKUP('Données projet'!$B$15,Paramètres!$A$1:$I$88,3,0)*0.475*44/12</f>
        <v>#N/A</v>
      </c>
      <c r="EX183" s="23" t="e">
        <f>EXP(-LN(2)/2)*EX182+(1-EXP(-LN(2)/2))/(LN(2)/2)*ER183*EU183*VLOOKUP('Données projet'!$B$15,Paramètres!$A$1:$I$88,3,0)*0.475*44/12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projet'!$B$16,Paramètres!$A$1:$I$88,3,0)*VLOOKUP('Données projet'!$B$16,Paramètres!$A$1:$I$88,5,0)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projet'!$B$16,Paramètres!$A$1:$I$88,7,0))</f>
        <v>0</v>
      </c>
      <c r="FO183" s="17">
        <f>IF(ISNA(VLOOKUP(A183,'Données projet'!$A$217:$I$237,6,0)),0%,VLOOKUP(A183,'Données projet'!$A$217:$I$237,6,0)*VLOOKUP('Données projet'!$B$16,Paramètres!$A$1:$I$88,7,0))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projet'!$B$16,Paramètres!$A$1:$I$88,3,0)*0.475*44/12</f>
        <v>#N/A</v>
      </c>
      <c r="FR183" s="23" t="e">
        <f>EXP(-LN(2)/25)*FR182+(1-EXP(-LN(2)/25))/(LN(2)/25)*Calculateur!FM183*Calculateur!FO183*VLOOKUP('Données projet'!$B$16,Paramètres!$A$1:$I$88,3,0)*0.475*44/12</f>
        <v>#N/A</v>
      </c>
      <c r="FS183" s="23" t="e">
        <f>EXP(-LN(2)/2)*FS182+(1-EXP(-LN(2)/2))/(LN(2)/2)*FM183*FP183*VLOOKUP('Données projet'!$B$16,Paramètres!$A$1:$I$88,3,0)*0.475*44/12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projet'!$B$17,Paramètres!$A$1:$I$88,3,0)*VLOOKUP('Données projet'!$B$17,Paramètres!$A$1:$I$88,5,0)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projet'!$B$17,Paramètres!$A$1:$I$88,7,0))</f>
        <v>0</v>
      </c>
      <c r="GJ183" s="17">
        <f>IF(ISNA(VLOOKUP(A183,'Données projet'!$A$243:$I$263,6,0)),0%,VLOOKUP(A183,'Données projet'!$A$243:$I$263,6,0)*VLOOKUP('Données projet'!$B$17,Paramètres!$A$1:$I$88,7,0))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projet'!$B$17,Paramètres!$A$1:$I$88,3,0)*0.475*44/12</f>
        <v>#N/A</v>
      </c>
      <c r="GM183" s="23" t="e">
        <f>EXP(-LN(2)/25)*GM182+(1-EXP(-LN(2)/25))/(LN(2)/25)*Calculateur!GH183*Calculateur!GJ183*VLOOKUP('Données projet'!$B$17,Paramètres!$A$1:$I$88,3,0)*0.475*44/12</f>
        <v>#N/A</v>
      </c>
      <c r="GN183" s="23" t="e">
        <f>EXP(-LN(2)/2)*GN182+(1-EXP(-LN(2)/2))/(LN(2)/2)*GH183*GK183*VLOOKUP('Données projet'!$B$17,Paramètres!$A$1:$I$88,3,0)*0.475*44/12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projet'!$B$18,Paramètres!$A$1:$I$88,3,0)*VLOOKUP('Données projet'!$B$18,Paramètres!$A$1:$I$88,5,0)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projet'!$B$18,Paramètres!$A$1:$I$88,7,0))</f>
        <v>0</v>
      </c>
      <c r="HE183" s="17">
        <f>IF(ISNA(VLOOKUP(A183,'Données projet'!$A$269:$I$289,6,0)),0%,VLOOKUP(A183,'Données projet'!$A$269:$I$289,6,0)*VLOOKUP('Données projet'!$B$18,Paramètres!$A$1:$I$88,7,0))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projet'!$B$18,Paramètres!$A$1:$I$88,3,0)*0.475*44/12</f>
        <v>#N/A</v>
      </c>
      <c r="HH183" s="23" t="e">
        <f>EXP(-LN(2)/25)*HH182+(1-EXP(-LN(2)/25))/(LN(2)/25)*Calculateur!HC183*Calculateur!HE183*VLOOKUP('Données projet'!$B$18,Paramètres!$A$1:$I$88,3,0)*0.475*44/12</f>
        <v>#N/A</v>
      </c>
      <c r="HI183" s="23" t="e">
        <f>EXP(-LN(2)/2)*HI182+(1-EXP(-LN(2)/2))/(LN(2)/2)*HC183*HF183*VLOOKUP('Données projet'!$B$18,Paramètres!$A$1:$I$88,3,0)*0.475*44/12</f>
        <v>#N/A</v>
      </c>
      <c r="HJ183" s="24" t="e">
        <f t="shared" si="190"/>
        <v>#N/A</v>
      </c>
    </row>
    <row r="184" spans="1:218" x14ac:dyDescent="0.3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4.5474735088646412E-13</v>
      </c>
      <c r="O184" s="14">
        <f>N184*VLOOKUP('Données projet'!$B$9,Paramètres!$A$1:$I$88,3,0)*VLOOKUP('Données projet'!$B$9,Paramètres!$A$1:$I$88,5,0)</f>
        <v>2.5420376914553347E-13</v>
      </c>
      <c r="P184" s="14">
        <f t="shared" si="141"/>
        <v>3.4258699088369875E-12</v>
      </c>
      <c r="Q184" s="22">
        <f t="shared" si="162"/>
        <v>6.4094616558195571E-12</v>
      </c>
      <c r="R184" s="62">
        <f t="shared" si="109"/>
        <v>289.47336565869051</v>
      </c>
      <c r="S184" s="62">
        <f ca="1">AVERAGE(OFFSET($R$3,0,0,'Données projet'!$E$9+1,1))-AVERAGE(OFFSET($H$3,0,0,'Données projet'!$E$9+1,1))</f>
        <v>367.03450586441784</v>
      </c>
      <c r="T184" s="62">
        <f t="shared" si="142"/>
        <v>413.14502442862897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projet'!$B$9,Paramètres!$A$1:$I$88,7,0))</f>
        <v>0</v>
      </c>
      <c r="X184" s="17">
        <f>IF(ISNA(VLOOKUP(A184,'Données projet'!$A$35:$I$55,6,0)),0%,VLOOKUP(A184,'Données projet'!$A$35:$I$55,6,0)*VLOOKUP('Données projet'!$B$9,Paramètres!$A$1:$I$88,7,0))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projet'!$B$9,Paramètres!$A$1:$I$88,3,0)*0.475*44/12</f>
        <v>21.804479222872516</v>
      </c>
      <c r="AA184" s="23">
        <f>EXP(-LN(2)/25)*AA183+(1-EXP(-LN(2)/25))/(LN(2)/25)*Calculateur!V184*Calculateur!X184*VLOOKUP('Données projet'!$B$9,Paramètres!$A$1:$I$88,3,0)*0.475*44/12</f>
        <v>4.6158049519267177</v>
      </c>
      <c r="AB184" s="23">
        <f>EXP(-LN(2)/2)*AB183+(1-EXP(-LN(2)/2))/(LN(2)/2)*V184*Y184*VLOOKUP('Données projet'!$B$9,Paramètres!$A$1:$I$88,3,0)*0.475*44/12</f>
        <v>0</v>
      </c>
      <c r="AC184" s="24">
        <f t="shared" si="163"/>
        <v>26.420284174799235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projet'!$B$10,Paramètres!$A$1:$I$88,3,0)*VLOOKUP('Données projet'!$B$10,Paramètres!$A$1:$I$88,5,0)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projet'!$B$10,Paramètres!$A$1:$I$88,7,0))</f>
        <v>0</v>
      </c>
      <c r="AS184" s="17">
        <f>IF(ISNA(VLOOKUP(A184,'Données projet'!$A$61:$I$81,6,0)),0%,VLOOKUP(A184,'Données projet'!$A$61:$I$81,6,0)*VLOOKUP('Données projet'!$B$10,Paramètres!$A$1:$I$88,7,0))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projet'!$B$10,Paramètres!$A$1:$I$88,3,0)*0.475*44/12</f>
        <v>#N/A</v>
      </c>
      <c r="AV184" s="23" t="e">
        <f>EXP(-LN(2)/25)*AV183+(1-EXP(-LN(2)/25))/(LN(2)/25)*Calculateur!AQ184*Calculateur!AS184*VLOOKUP('Données projet'!$B$10,Paramètres!$A$1:$I$88,3,0)*0.475*44/12</f>
        <v>#N/A</v>
      </c>
      <c r="AW184" s="23" t="e">
        <f>EXP(-LN(2)/2)*AW183+(1-EXP(-LN(2)/2))/(LN(2)/2)*AQ184*AT184*VLOOKUP('Données projet'!$B$10,Paramètres!$A$1:$I$88,3,0)*0.475*44/12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projet'!$B$11,Paramètres!$A$1:$I$88,3,0)*VLOOKUP('Données projet'!$B$11,Paramètres!$A$1:$I$88,5,0)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projet'!$B$11,Paramètres!$A$1:$I$88,7,0))</f>
        <v>0</v>
      </c>
      <c r="BN184" s="17">
        <f>IF(ISNA(VLOOKUP(A184,'Données projet'!$A$87:$I$107,6,0)),0%,VLOOKUP(A184,'Données projet'!$A$87:$I$107,6,0)*VLOOKUP('Données projet'!$B$11,Paramètres!$A$1:$I$88,7,0))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projet'!$B$11,Paramètres!$A$1:$I$88,3,0)*0.475*44/12</f>
        <v>#N/A</v>
      </c>
      <c r="BQ184" s="23" t="e">
        <f>EXP(-LN(2)/25)*BQ183+(1-EXP(-LN(2)/25))/(LN(2)/25)*Calculateur!BL184*Calculateur!BN184*VLOOKUP('Données projet'!$B$11,Paramètres!$A$1:$I$88,3,0)*0.475*44/12</f>
        <v>#N/A</v>
      </c>
      <c r="BR184" s="23" t="e">
        <f>EXP(-LN(2)/2)*BR183+(1-EXP(-LN(2)/2))/(LN(2)/2)*BL184*BO184*VLOOKUP('Données projet'!$B$11,Paramètres!$A$1:$I$88,3,0)*0.475*44/12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projet'!$B$12,Paramètres!$A$1:$I$88,3,0)*VLOOKUP('Données projet'!$B$12,Paramètres!$A$1:$I$88,5,0)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projet'!$B$12,Paramètres!$A$1:$I$88,7,0))</f>
        <v>0</v>
      </c>
      <c r="CI184" s="17">
        <f>IF(ISNA(VLOOKUP(A184,'Données projet'!$A$113:$I$133,6,0)),0%,VLOOKUP(A184,'Données projet'!$A$113:$I$133,6,0)*VLOOKUP('Données projet'!$B$12,Paramètres!$A$1:$I$88,7,0))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projet'!$B$12,Paramètres!$A$1:$I$88,3,0)*0.475*44/12</f>
        <v>#N/A</v>
      </c>
      <c r="CL184" s="23" t="e">
        <f>EXP(-LN(2)/25)*CL183+(1-EXP(-LN(2)/25))/(LN(2)/25)*Calculateur!CG184*Calculateur!CI184*VLOOKUP('Données projet'!$B$12,Paramètres!$A$1:$I$88,3,0)*0.475*44/12</f>
        <v>#N/A</v>
      </c>
      <c r="CM184" s="23" t="e">
        <f>EXP(-LN(2)/2)*CM183+(1-EXP(-LN(2)/2))/(LN(2)/2)*CG184*CJ184*VLOOKUP('Données projet'!$B$12,Paramètres!$A$1:$I$88,3,0)*0.475*44/12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projet'!$B$13,Paramètres!$A$1:$I$88,3,0)*VLOOKUP('Données projet'!$B$13,Paramètres!$A$1:$I$88,5,0)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projet'!$B$13,Paramètres!$A$1:$I$88,7,0))</f>
        <v>0</v>
      </c>
      <c r="DD184" s="17">
        <f>IF(ISNA(VLOOKUP(A184,'Données projet'!$A$139:$I$159,6,0)),0%,VLOOKUP(A184,'Données projet'!$A$139:$I$159,6,0)*VLOOKUP('Données projet'!$B$13,Paramètres!$A$1:$I$88,7,0))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projet'!$B$13,Paramètres!$A$1:$I$88,3,0)*0.475*44/12</f>
        <v>#N/A</v>
      </c>
      <c r="DG184" s="23" t="e">
        <f>EXP(-LN(2)/25)*DG183+(1-EXP(-LN(2)/25))/(LN(2)/25)*Calculateur!DB184*Calculateur!DD184*VLOOKUP('Données projet'!$B$13,Paramètres!$A$1:$I$88,3,0)*0.475*44/12</f>
        <v>#N/A</v>
      </c>
      <c r="DH184" s="23" t="e">
        <f>EXP(-LN(2)/2)*DH183+(1-EXP(-LN(2)/2))/(LN(2)/2)*DB184*DE184*VLOOKUP('Données projet'!$B$13,Paramètres!$A$1:$I$88,3,0)*0.475*44/12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projet'!$B$14,Paramètres!$A$1:$I$88,3,0)*VLOOKUP('Données projet'!$B$14,Paramètres!$A$1:$I$88,5,0)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projet'!$B$14,Paramètres!$A$1:$I$88,7,0))</f>
        <v>0</v>
      </c>
      <c r="DY184" s="17">
        <f>IF(ISNA(VLOOKUP(A184,'Données projet'!$A$165:$I$185,6,0)),0%,VLOOKUP(A184,'Données projet'!$A$165:$I$185,6,0)*VLOOKUP('Données projet'!$B$14,Paramètres!$A$1:$I$88,7,0))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projet'!$B$14,Paramètres!$A$1:$I$88,3,0)*0.475*44/12</f>
        <v>#N/A</v>
      </c>
      <c r="EB184" s="23" t="e">
        <f>EXP(-LN(2)/25)*EB183+(1-EXP(-LN(2)/25))/(LN(2)/25)*Calculateur!DW184*Calculateur!DY184*VLOOKUP('Données projet'!$B$14,Paramètres!$A$1:$I$88,3,0)*0.475*44/12</f>
        <v>#N/A</v>
      </c>
      <c r="EC184" s="23" t="e">
        <f>EXP(-LN(2)/2)*EC183+(1-EXP(-LN(2)/2))/(LN(2)/2)*DW184*DZ184*VLOOKUP('Données projet'!$B$14,Paramètres!$A$1:$I$88,3,0)*0.475*44/12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projet'!$B$15,Paramètres!$A$1:$I$88,3,0)*VLOOKUP('Données projet'!$B$15,Paramètres!$A$1:$I$88,5,0)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projet'!$B$15,Paramètres!$A$1:$I$88,7,0))</f>
        <v>0</v>
      </c>
      <c r="ET184" s="17">
        <f>IF(ISNA(VLOOKUP(A184,'Données projet'!$A$191:$I$211,6,0)),0%,VLOOKUP(A184,'Données projet'!$A$191:$I$211,6,0)*VLOOKUP('Données projet'!$B$15,Paramètres!$A$1:$I$88,7,0))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projet'!$B$15,Paramètres!$A$1:$I$88,3,0)*0.475*44/12</f>
        <v>#N/A</v>
      </c>
      <c r="EW184" s="23" t="e">
        <f>EXP(-LN(2)/25)*EW183+(1-EXP(-LN(2)/25))/(LN(2)/25)*Calculateur!ER184*Calculateur!ET184*VLOOKUP('Données projet'!$B$15,Paramètres!$A$1:$I$88,3,0)*0.475*44/12</f>
        <v>#N/A</v>
      </c>
      <c r="EX184" s="23" t="e">
        <f>EXP(-LN(2)/2)*EX183+(1-EXP(-LN(2)/2))/(LN(2)/2)*ER184*EU184*VLOOKUP('Données projet'!$B$15,Paramètres!$A$1:$I$88,3,0)*0.475*44/12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projet'!$B$16,Paramètres!$A$1:$I$88,3,0)*VLOOKUP('Données projet'!$B$16,Paramètres!$A$1:$I$88,5,0)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projet'!$B$16,Paramètres!$A$1:$I$88,7,0))</f>
        <v>0</v>
      </c>
      <c r="FO184" s="17">
        <f>IF(ISNA(VLOOKUP(A184,'Données projet'!$A$217:$I$237,6,0)),0%,VLOOKUP(A184,'Données projet'!$A$217:$I$237,6,0)*VLOOKUP('Données projet'!$B$16,Paramètres!$A$1:$I$88,7,0))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projet'!$B$16,Paramètres!$A$1:$I$88,3,0)*0.475*44/12</f>
        <v>#N/A</v>
      </c>
      <c r="FR184" s="23" t="e">
        <f>EXP(-LN(2)/25)*FR183+(1-EXP(-LN(2)/25))/(LN(2)/25)*Calculateur!FM184*Calculateur!FO184*VLOOKUP('Données projet'!$B$16,Paramètres!$A$1:$I$88,3,0)*0.475*44/12</f>
        <v>#N/A</v>
      </c>
      <c r="FS184" s="23" t="e">
        <f>EXP(-LN(2)/2)*FS183+(1-EXP(-LN(2)/2))/(LN(2)/2)*FM184*FP184*VLOOKUP('Données projet'!$B$16,Paramètres!$A$1:$I$88,3,0)*0.475*44/12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projet'!$B$17,Paramètres!$A$1:$I$88,3,0)*VLOOKUP('Données projet'!$B$17,Paramètres!$A$1:$I$88,5,0)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projet'!$B$17,Paramètres!$A$1:$I$88,7,0))</f>
        <v>0</v>
      </c>
      <c r="GJ184" s="17">
        <f>IF(ISNA(VLOOKUP(A184,'Données projet'!$A$243:$I$263,6,0)),0%,VLOOKUP(A184,'Données projet'!$A$243:$I$263,6,0)*VLOOKUP('Données projet'!$B$17,Paramètres!$A$1:$I$88,7,0))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projet'!$B$17,Paramètres!$A$1:$I$88,3,0)*0.475*44/12</f>
        <v>#N/A</v>
      </c>
      <c r="GM184" s="23" t="e">
        <f>EXP(-LN(2)/25)*GM183+(1-EXP(-LN(2)/25))/(LN(2)/25)*Calculateur!GH184*Calculateur!GJ184*VLOOKUP('Données projet'!$B$17,Paramètres!$A$1:$I$88,3,0)*0.475*44/12</f>
        <v>#N/A</v>
      </c>
      <c r="GN184" s="23" t="e">
        <f>EXP(-LN(2)/2)*GN183+(1-EXP(-LN(2)/2))/(LN(2)/2)*GH184*GK184*VLOOKUP('Données projet'!$B$17,Paramètres!$A$1:$I$88,3,0)*0.475*44/12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projet'!$B$18,Paramètres!$A$1:$I$88,3,0)*VLOOKUP('Données projet'!$B$18,Paramètres!$A$1:$I$88,5,0)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projet'!$B$18,Paramètres!$A$1:$I$88,7,0))</f>
        <v>0</v>
      </c>
      <c r="HE184" s="17">
        <f>IF(ISNA(VLOOKUP(A184,'Données projet'!$A$269:$I$289,6,0)),0%,VLOOKUP(A184,'Données projet'!$A$269:$I$289,6,0)*VLOOKUP('Données projet'!$B$18,Paramètres!$A$1:$I$88,7,0))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projet'!$B$18,Paramètres!$A$1:$I$88,3,0)*0.475*44/12</f>
        <v>#N/A</v>
      </c>
      <c r="HH184" s="23" t="e">
        <f>EXP(-LN(2)/25)*HH183+(1-EXP(-LN(2)/25))/(LN(2)/25)*Calculateur!HC184*Calculateur!HE184*VLOOKUP('Données projet'!$B$18,Paramètres!$A$1:$I$88,3,0)*0.475*44/12</f>
        <v>#N/A</v>
      </c>
      <c r="HI184" s="23" t="e">
        <f>EXP(-LN(2)/2)*HI183+(1-EXP(-LN(2)/2))/(LN(2)/2)*HC184*HF184*VLOOKUP('Données projet'!$B$18,Paramètres!$A$1:$I$88,3,0)*0.475*44/12</f>
        <v>#N/A</v>
      </c>
      <c r="HJ184" s="24" t="e">
        <f t="shared" si="190"/>
        <v>#N/A</v>
      </c>
    </row>
    <row r="185" spans="1:218" x14ac:dyDescent="0.3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4.5474735088646412E-13</v>
      </c>
      <c r="O185" s="14">
        <f>N185*VLOOKUP('Données projet'!$B$9,Paramètres!$A$1:$I$88,3,0)*VLOOKUP('Données projet'!$B$9,Paramètres!$A$1:$I$88,5,0)</f>
        <v>2.5420376914553347E-13</v>
      </c>
      <c r="P185" s="14">
        <f t="shared" si="141"/>
        <v>3.4258699088369875E-12</v>
      </c>
      <c r="Q185" s="22">
        <f t="shared" si="162"/>
        <v>6.4094616558195571E-12</v>
      </c>
      <c r="R185" s="62">
        <f t="shared" si="109"/>
        <v>289.54032746825084</v>
      </c>
      <c r="S185" s="62">
        <f ca="1">AVERAGE(OFFSET($R$3,0,0,'Données projet'!$E$9+1,1))-AVERAGE(OFFSET($H$3,0,0,'Données projet'!$E$9+1,1))</f>
        <v>367.03450586441784</v>
      </c>
      <c r="T185" s="62">
        <f t="shared" si="142"/>
        <v>413.14502442862897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projet'!$B$9,Paramètres!$A$1:$I$88,7,0))</f>
        <v>0</v>
      </c>
      <c r="X185" s="17">
        <f>IF(ISNA(VLOOKUP(A185,'Données projet'!$A$35:$I$55,6,0)),0%,VLOOKUP(A185,'Données projet'!$A$35:$I$55,6,0)*VLOOKUP('Données projet'!$B$9,Paramètres!$A$1:$I$88,7,0))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projet'!$B$9,Paramètres!$A$1:$I$88,3,0)*0.475*44/12</f>
        <v>21.376906684731104</v>
      </c>
      <c r="AA185" s="23">
        <f>EXP(-LN(2)/25)*AA184+(1-EXP(-LN(2)/25))/(LN(2)/25)*Calculateur!V185*Calculateur!X185*VLOOKUP('Données projet'!$B$9,Paramètres!$A$1:$I$88,3,0)*0.475*44/12</f>
        <v>4.489585522781649</v>
      </c>
      <c r="AB185" s="23">
        <f>EXP(-LN(2)/2)*AB184+(1-EXP(-LN(2)/2))/(LN(2)/2)*V185*Y185*VLOOKUP('Données projet'!$B$9,Paramètres!$A$1:$I$88,3,0)*0.475*44/12</f>
        <v>0</v>
      </c>
      <c r="AC185" s="24">
        <f t="shared" si="163"/>
        <v>25.866492207512753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projet'!$B$10,Paramètres!$A$1:$I$88,3,0)*VLOOKUP('Données projet'!$B$10,Paramètres!$A$1:$I$88,5,0)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projet'!$B$10,Paramètres!$A$1:$I$88,7,0))</f>
        <v>0</v>
      </c>
      <c r="AS185" s="17">
        <f>IF(ISNA(VLOOKUP(A185,'Données projet'!$A$61:$I$81,6,0)),0%,VLOOKUP(A185,'Données projet'!$A$61:$I$81,6,0)*VLOOKUP('Données projet'!$B$10,Paramètres!$A$1:$I$88,7,0))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projet'!$B$10,Paramètres!$A$1:$I$88,3,0)*0.475*44/12</f>
        <v>#N/A</v>
      </c>
      <c r="AV185" s="23" t="e">
        <f>EXP(-LN(2)/25)*AV184+(1-EXP(-LN(2)/25))/(LN(2)/25)*Calculateur!AQ185*Calculateur!AS185*VLOOKUP('Données projet'!$B$10,Paramètres!$A$1:$I$88,3,0)*0.475*44/12</f>
        <v>#N/A</v>
      </c>
      <c r="AW185" s="23" t="e">
        <f>EXP(-LN(2)/2)*AW184+(1-EXP(-LN(2)/2))/(LN(2)/2)*AQ185*AT185*VLOOKUP('Données projet'!$B$10,Paramètres!$A$1:$I$88,3,0)*0.475*44/12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projet'!$B$11,Paramètres!$A$1:$I$88,3,0)*VLOOKUP('Données projet'!$B$11,Paramètres!$A$1:$I$88,5,0)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projet'!$B$11,Paramètres!$A$1:$I$88,7,0))</f>
        <v>0</v>
      </c>
      <c r="BN185" s="17">
        <f>IF(ISNA(VLOOKUP(A185,'Données projet'!$A$87:$I$107,6,0)),0%,VLOOKUP(A185,'Données projet'!$A$87:$I$107,6,0)*VLOOKUP('Données projet'!$B$11,Paramètres!$A$1:$I$88,7,0))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projet'!$B$11,Paramètres!$A$1:$I$88,3,0)*0.475*44/12</f>
        <v>#N/A</v>
      </c>
      <c r="BQ185" s="23" t="e">
        <f>EXP(-LN(2)/25)*BQ184+(1-EXP(-LN(2)/25))/(LN(2)/25)*Calculateur!BL185*Calculateur!BN185*VLOOKUP('Données projet'!$B$11,Paramètres!$A$1:$I$88,3,0)*0.475*44/12</f>
        <v>#N/A</v>
      </c>
      <c r="BR185" s="23" t="e">
        <f>EXP(-LN(2)/2)*BR184+(1-EXP(-LN(2)/2))/(LN(2)/2)*BL185*BO185*VLOOKUP('Données projet'!$B$11,Paramètres!$A$1:$I$88,3,0)*0.475*44/12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projet'!$B$12,Paramètres!$A$1:$I$88,3,0)*VLOOKUP('Données projet'!$B$12,Paramètres!$A$1:$I$88,5,0)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projet'!$B$12,Paramètres!$A$1:$I$88,7,0))</f>
        <v>0</v>
      </c>
      <c r="CI185" s="17">
        <f>IF(ISNA(VLOOKUP(A185,'Données projet'!$A$113:$I$133,6,0)),0%,VLOOKUP(A185,'Données projet'!$A$113:$I$133,6,0)*VLOOKUP('Données projet'!$B$12,Paramètres!$A$1:$I$88,7,0))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projet'!$B$12,Paramètres!$A$1:$I$88,3,0)*0.475*44/12</f>
        <v>#N/A</v>
      </c>
      <c r="CL185" s="23" t="e">
        <f>EXP(-LN(2)/25)*CL184+(1-EXP(-LN(2)/25))/(LN(2)/25)*Calculateur!CG185*Calculateur!CI185*VLOOKUP('Données projet'!$B$12,Paramètres!$A$1:$I$88,3,0)*0.475*44/12</f>
        <v>#N/A</v>
      </c>
      <c r="CM185" s="23" t="e">
        <f>EXP(-LN(2)/2)*CM184+(1-EXP(-LN(2)/2))/(LN(2)/2)*CG185*CJ185*VLOOKUP('Données projet'!$B$12,Paramètres!$A$1:$I$88,3,0)*0.475*44/12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projet'!$B$13,Paramètres!$A$1:$I$88,3,0)*VLOOKUP('Données projet'!$B$13,Paramètres!$A$1:$I$88,5,0)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projet'!$B$13,Paramètres!$A$1:$I$88,7,0))</f>
        <v>0</v>
      </c>
      <c r="DD185" s="17">
        <f>IF(ISNA(VLOOKUP(A185,'Données projet'!$A$139:$I$159,6,0)),0%,VLOOKUP(A185,'Données projet'!$A$139:$I$159,6,0)*VLOOKUP('Données projet'!$B$13,Paramètres!$A$1:$I$88,7,0))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projet'!$B$13,Paramètres!$A$1:$I$88,3,0)*0.475*44/12</f>
        <v>#N/A</v>
      </c>
      <c r="DG185" s="23" t="e">
        <f>EXP(-LN(2)/25)*DG184+(1-EXP(-LN(2)/25))/(LN(2)/25)*Calculateur!DB185*Calculateur!DD185*VLOOKUP('Données projet'!$B$13,Paramètres!$A$1:$I$88,3,0)*0.475*44/12</f>
        <v>#N/A</v>
      </c>
      <c r="DH185" s="23" t="e">
        <f>EXP(-LN(2)/2)*DH184+(1-EXP(-LN(2)/2))/(LN(2)/2)*DB185*DE185*VLOOKUP('Données projet'!$B$13,Paramètres!$A$1:$I$88,3,0)*0.475*44/12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projet'!$B$14,Paramètres!$A$1:$I$88,3,0)*VLOOKUP('Données projet'!$B$14,Paramètres!$A$1:$I$88,5,0)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projet'!$B$14,Paramètres!$A$1:$I$88,7,0))</f>
        <v>0</v>
      </c>
      <c r="DY185" s="17">
        <f>IF(ISNA(VLOOKUP(A185,'Données projet'!$A$165:$I$185,6,0)),0%,VLOOKUP(A185,'Données projet'!$A$165:$I$185,6,0)*VLOOKUP('Données projet'!$B$14,Paramètres!$A$1:$I$88,7,0))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projet'!$B$14,Paramètres!$A$1:$I$88,3,0)*0.475*44/12</f>
        <v>#N/A</v>
      </c>
      <c r="EB185" s="23" t="e">
        <f>EXP(-LN(2)/25)*EB184+(1-EXP(-LN(2)/25))/(LN(2)/25)*Calculateur!DW185*Calculateur!DY185*VLOOKUP('Données projet'!$B$14,Paramètres!$A$1:$I$88,3,0)*0.475*44/12</f>
        <v>#N/A</v>
      </c>
      <c r="EC185" s="23" t="e">
        <f>EXP(-LN(2)/2)*EC184+(1-EXP(-LN(2)/2))/(LN(2)/2)*DW185*DZ185*VLOOKUP('Données projet'!$B$14,Paramètres!$A$1:$I$88,3,0)*0.475*44/12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projet'!$B$15,Paramètres!$A$1:$I$88,3,0)*VLOOKUP('Données projet'!$B$15,Paramètres!$A$1:$I$88,5,0)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projet'!$B$15,Paramètres!$A$1:$I$88,7,0))</f>
        <v>0</v>
      </c>
      <c r="ET185" s="17">
        <f>IF(ISNA(VLOOKUP(A185,'Données projet'!$A$191:$I$211,6,0)),0%,VLOOKUP(A185,'Données projet'!$A$191:$I$211,6,0)*VLOOKUP('Données projet'!$B$15,Paramètres!$A$1:$I$88,7,0))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projet'!$B$15,Paramètres!$A$1:$I$88,3,0)*0.475*44/12</f>
        <v>#N/A</v>
      </c>
      <c r="EW185" s="23" t="e">
        <f>EXP(-LN(2)/25)*EW184+(1-EXP(-LN(2)/25))/(LN(2)/25)*Calculateur!ER185*Calculateur!ET185*VLOOKUP('Données projet'!$B$15,Paramètres!$A$1:$I$88,3,0)*0.475*44/12</f>
        <v>#N/A</v>
      </c>
      <c r="EX185" s="23" t="e">
        <f>EXP(-LN(2)/2)*EX184+(1-EXP(-LN(2)/2))/(LN(2)/2)*ER185*EU185*VLOOKUP('Données projet'!$B$15,Paramètres!$A$1:$I$88,3,0)*0.475*44/12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projet'!$B$16,Paramètres!$A$1:$I$88,3,0)*VLOOKUP('Données projet'!$B$16,Paramètres!$A$1:$I$88,5,0)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projet'!$B$16,Paramètres!$A$1:$I$88,7,0))</f>
        <v>0</v>
      </c>
      <c r="FO185" s="17">
        <f>IF(ISNA(VLOOKUP(A185,'Données projet'!$A$217:$I$237,6,0)),0%,VLOOKUP(A185,'Données projet'!$A$217:$I$237,6,0)*VLOOKUP('Données projet'!$B$16,Paramètres!$A$1:$I$88,7,0))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projet'!$B$16,Paramètres!$A$1:$I$88,3,0)*0.475*44/12</f>
        <v>#N/A</v>
      </c>
      <c r="FR185" s="23" t="e">
        <f>EXP(-LN(2)/25)*FR184+(1-EXP(-LN(2)/25))/(LN(2)/25)*Calculateur!FM185*Calculateur!FO185*VLOOKUP('Données projet'!$B$16,Paramètres!$A$1:$I$88,3,0)*0.475*44/12</f>
        <v>#N/A</v>
      </c>
      <c r="FS185" s="23" t="e">
        <f>EXP(-LN(2)/2)*FS184+(1-EXP(-LN(2)/2))/(LN(2)/2)*FM185*FP185*VLOOKUP('Données projet'!$B$16,Paramètres!$A$1:$I$88,3,0)*0.475*44/12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projet'!$B$17,Paramètres!$A$1:$I$88,3,0)*VLOOKUP('Données projet'!$B$17,Paramètres!$A$1:$I$88,5,0)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projet'!$B$17,Paramètres!$A$1:$I$88,7,0))</f>
        <v>0</v>
      </c>
      <c r="GJ185" s="17">
        <f>IF(ISNA(VLOOKUP(A185,'Données projet'!$A$243:$I$263,6,0)),0%,VLOOKUP(A185,'Données projet'!$A$243:$I$263,6,0)*VLOOKUP('Données projet'!$B$17,Paramètres!$A$1:$I$88,7,0))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projet'!$B$17,Paramètres!$A$1:$I$88,3,0)*0.475*44/12</f>
        <v>#N/A</v>
      </c>
      <c r="GM185" s="23" t="e">
        <f>EXP(-LN(2)/25)*GM184+(1-EXP(-LN(2)/25))/(LN(2)/25)*Calculateur!GH185*Calculateur!GJ185*VLOOKUP('Données projet'!$B$17,Paramètres!$A$1:$I$88,3,0)*0.475*44/12</f>
        <v>#N/A</v>
      </c>
      <c r="GN185" s="23" t="e">
        <f>EXP(-LN(2)/2)*GN184+(1-EXP(-LN(2)/2))/(LN(2)/2)*GH185*GK185*VLOOKUP('Données projet'!$B$17,Paramètres!$A$1:$I$88,3,0)*0.475*44/12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projet'!$B$18,Paramètres!$A$1:$I$88,3,0)*VLOOKUP('Données projet'!$B$18,Paramètres!$A$1:$I$88,5,0)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projet'!$B$18,Paramètres!$A$1:$I$88,7,0))</f>
        <v>0</v>
      </c>
      <c r="HE185" s="17">
        <f>IF(ISNA(VLOOKUP(A185,'Données projet'!$A$269:$I$289,6,0)),0%,VLOOKUP(A185,'Données projet'!$A$269:$I$289,6,0)*VLOOKUP('Données projet'!$B$18,Paramètres!$A$1:$I$88,7,0))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projet'!$B$18,Paramètres!$A$1:$I$88,3,0)*0.475*44/12</f>
        <v>#N/A</v>
      </c>
      <c r="HH185" s="23" t="e">
        <f>EXP(-LN(2)/25)*HH184+(1-EXP(-LN(2)/25))/(LN(2)/25)*Calculateur!HC185*Calculateur!HE185*VLOOKUP('Données projet'!$B$18,Paramètres!$A$1:$I$88,3,0)*0.475*44/12</f>
        <v>#N/A</v>
      </c>
      <c r="HI185" s="23" t="e">
        <f>EXP(-LN(2)/2)*HI184+(1-EXP(-LN(2)/2))/(LN(2)/2)*HC185*HF185*VLOOKUP('Données projet'!$B$18,Paramètres!$A$1:$I$88,3,0)*0.475*44/12</f>
        <v>#N/A</v>
      </c>
      <c r="HJ185" s="24" t="e">
        <f t="shared" si="190"/>
        <v>#N/A</v>
      </c>
    </row>
    <row r="186" spans="1:218" x14ac:dyDescent="0.3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4.5474735088646412E-13</v>
      </c>
      <c r="O186" s="14">
        <f>N186*VLOOKUP('Données projet'!$B$9,Paramètres!$A$1:$I$88,3,0)*VLOOKUP('Données projet'!$B$9,Paramètres!$A$1:$I$88,5,0)</f>
        <v>2.5420376914553347E-13</v>
      </c>
      <c r="P186" s="14">
        <f t="shared" si="141"/>
        <v>3.4258699088369875E-12</v>
      </c>
      <c r="Q186" s="22">
        <f t="shared" si="162"/>
        <v>6.4094616558195571E-12</v>
      </c>
      <c r="R186" s="62">
        <f t="shared" si="109"/>
        <v>289.60612764011938</v>
      </c>
      <c r="S186" s="62">
        <f ca="1">AVERAGE(OFFSET($R$3,0,0,'Données projet'!$E$9+1,1))-AVERAGE(OFFSET($H$3,0,0,'Données projet'!$E$9+1,1))</f>
        <v>367.03450586441784</v>
      </c>
      <c r="T186" s="62">
        <f t="shared" si="142"/>
        <v>413.14502442862897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projet'!$B$9,Paramètres!$A$1:$I$88,7,0))</f>
        <v>0</v>
      </c>
      <c r="X186" s="17">
        <f>IF(ISNA(VLOOKUP(A186,'Données projet'!$A$35:$I$55,6,0)),0%,VLOOKUP(A186,'Données projet'!$A$35:$I$55,6,0)*VLOOKUP('Données projet'!$B$9,Paramètres!$A$1:$I$88,7,0))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projet'!$B$9,Paramètres!$A$1:$I$88,3,0)*0.475*44/12</f>
        <v>20.957718583269148</v>
      </c>
      <c r="AA186" s="23">
        <f>EXP(-LN(2)/25)*AA185+(1-EXP(-LN(2)/25))/(LN(2)/25)*Calculateur!V186*Calculateur!X186*VLOOKUP('Données projet'!$B$9,Paramètres!$A$1:$I$88,3,0)*0.475*44/12</f>
        <v>4.3668175705641437</v>
      </c>
      <c r="AB186" s="23">
        <f>EXP(-LN(2)/2)*AB185+(1-EXP(-LN(2)/2))/(LN(2)/2)*V186*Y186*VLOOKUP('Données projet'!$B$9,Paramètres!$A$1:$I$88,3,0)*0.475*44/12</f>
        <v>0</v>
      </c>
      <c r="AC186" s="24">
        <f t="shared" si="163"/>
        <v>25.324536153833293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projet'!$B$10,Paramètres!$A$1:$I$88,3,0)*VLOOKUP('Données projet'!$B$10,Paramètres!$A$1:$I$88,5,0)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projet'!$B$10,Paramètres!$A$1:$I$88,7,0))</f>
        <v>0</v>
      </c>
      <c r="AS186" s="17">
        <f>IF(ISNA(VLOOKUP(A186,'Données projet'!$A$61:$I$81,6,0)),0%,VLOOKUP(A186,'Données projet'!$A$61:$I$81,6,0)*VLOOKUP('Données projet'!$B$10,Paramètres!$A$1:$I$88,7,0))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projet'!$B$10,Paramètres!$A$1:$I$88,3,0)*0.475*44/12</f>
        <v>#N/A</v>
      </c>
      <c r="AV186" s="23" t="e">
        <f>EXP(-LN(2)/25)*AV185+(1-EXP(-LN(2)/25))/(LN(2)/25)*Calculateur!AQ186*Calculateur!AS186*VLOOKUP('Données projet'!$B$10,Paramètres!$A$1:$I$88,3,0)*0.475*44/12</f>
        <v>#N/A</v>
      </c>
      <c r="AW186" s="23" t="e">
        <f>EXP(-LN(2)/2)*AW185+(1-EXP(-LN(2)/2))/(LN(2)/2)*AQ186*AT186*VLOOKUP('Données projet'!$B$10,Paramètres!$A$1:$I$88,3,0)*0.475*44/12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projet'!$B$11,Paramètres!$A$1:$I$88,3,0)*VLOOKUP('Données projet'!$B$11,Paramètres!$A$1:$I$88,5,0)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projet'!$B$11,Paramètres!$A$1:$I$88,7,0))</f>
        <v>0</v>
      </c>
      <c r="BN186" s="17">
        <f>IF(ISNA(VLOOKUP(A186,'Données projet'!$A$87:$I$107,6,0)),0%,VLOOKUP(A186,'Données projet'!$A$87:$I$107,6,0)*VLOOKUP('Données projet'!$B$11,Paramètres!$A$1:$I$88,7,0))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projet'!$B$11,Paramètres!$A$1:$I$88,3,0)*0.475*44/12</f>
        <v>#N/A</v>
      </c>
      <c r="BQ186" s="23" t="e">
        <f>EXP(-LN(2)/25)*BQ185+(1-EXP(-LN(2)/25))/(LN(2)/25)*Calculateur!BL186*Calculateur!BN186*VLOOKUP('Données projet'!$B$11,Paramètres!$A$1:$I$88,3,0)*0.475*44/12</f>
        <v>#N/A</v>
      </c>
      <c r="BR186" s="23" t="e">
        <f>EXP(-LN(2)/2)*BR185+(1-EXP(-LN(2)/2))/(LN(2)/2)*BL186*BO186*VLOOKUP('Données projet'!$B$11,Paramètres!$A$1:$I$88,3,0)*0.475*44/12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projet'!$B$12,Paramètres!$A$1:$I$88,3,0)*VLOOKUP('Données projet'!$B$12,Paramètres!$A$1:$I$88,5,0)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projet'!$B$12,Paramètres!$A$1:$I$88,7,0))</f>
        <v>0</v>
      </c>
      <c r="CI186" s="17">
        <f>IF(ISNA(VLOOKUP(A186,'Données projet'!$A$113:$I$133,6,0)),0%,VLOOKUP(A186,'Données projet'!$A$113:$I$133,6,0)*VLOOKUP('Données projet'!$B$12,Paramètres!$A$1:$I$88,7,0))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projet'!$B$12,Paramètres!$A$1:$I$88,3,0)*0.475*44/12</f>
        <v>#N/A</v>
      </c>
      <c r="CL186" s="23" t="e">
        <f>EXP(-LN(2)/25)*CL185+(1-EXP(-LN(2)/25))/(LN(2)/25)*Calculateur!CG186*Calculateur!CI186*VLOOKUP('Données projet'!$B$12,Paramètres!$A$1:$I$88,3,0)*0.475*44/12</f>
        <v>#N/A</v>
      </c>
      <c r="CM186" s="23" t="e">
        <f>EXP(-LN(2)/2)*CM185+(1-EXP(-LN(2)/2))/(LN(2)/2)*CG186*CJ186*VLOOKUP('Données projet'!$B$12,Paramètres!$A$1:$I$88,3,0)*0.475*44/12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projet'!$B$13,Paramètres!$A$1:$I$88,3,0)*VLOOKUP('Données projet'!$B$13,Paramètres!$A$1:$I$88,5,0)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projet'!$B$13,Paramètres!$A$1:$I$88,7,0))</f>
        <v>0</v>
      </c>
      <c r="DD186" s="17">
        <f>IF(ISNA(VLOOKUP(A186,'Données projet'!$A$139:$I$159,6,0)),0%,VLOOKUP(A186,'Données projet'!$A$139:$I$159,6,0)*VLOOKUP('Données projet'!$B$13,Paramètres!$A$1:$I$88,7,0))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projet'!$B$13,Paramètres!$A$1:$I$88,3,0)*0.475*44/12</f>
        <v>#N/A</v>
      </c>
      <c r="DG186" s="23" t="e">
        <f>EXP(-LN(2)/25)*DG185+(1-EXP(-LN(2)/25))/(LN(2)/25)*Calculateur!DB186*Calculateur!DD186*VLOOKUP('Données projet'!$B$13,Paramètres!$A$1:$I$88,3,0)*0.475*44/12</f>
        <v>#N/A</v>
      </c>
      <c r="DH186" s="23" t="e">
        <f>EXP(-LN(2)/2)*DH185+(1-EXP(-LN(2)/2))/(LN(2)/2)*DB186*DE186*VLOOKUP('Données projet'!$B$13,Paramètres!$A$1:$I$88,3,0)*0.475*44/12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projet'!$B$14,Paramètres!$A$1:$I$88,3,0)*VLOOKUP('Données projet'!$B$14,Paramètres!$A$1:$I$88,5,0)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projet'!$B$14,Paramètres!$A$1:$I$88,7,0))</f>
        <v>0</v>
      </c>
      <c r="DY186" s="17">
        <f>IF(ISNA(VLOOKUP(A186,'Données projet'!$A$165:$I$185,6,0)),0%,VLOOKUP(A186,'Données projet'!$A$165:$I$185,6,0)*VLOOKUP('Données projet'!$B$14,Paramètres!$A$1:$I$88,7,0))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projet'!$B$14,Paramètres!$A$1:$I$88,3,0)*0.475*44/12</f>
        <v>#N/A</v>
      </c>
      <c r="EB186" s="23" t="e">
        <f>EXP(-LN(2)/25)*EB185+(1-EXP(-LN(2)/25))/(LN(2)/25)*Calculateur!DW186*Calculateur!DY186*VLOOKUP('Données projet'!$B$14,Paramètres!$A$1:$I$88,3,0)*0.475*44/12</f>
        <v>#N/A</v>
      </c>
      <c r="EC186" s="23" t="e">
        <f>EXP(-LN(2)/2)*EC185+(1-EXP(-LN(2)/2))/(LN(2)/2)*DW186*DZ186*VLOOKUP('Données projet'!$B$14,Paramètres!$A$1:$I$88,3,0)*0.475*44/12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projet'!$B$15,Paramètres!$A$1:$I$88,3,0)*VLOOKUP('Données projet'!$B$15,Paramètres!$A$1:$I$88,5,0)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projet'!$B$15,Paramètres!$A$1:$I$88,7,0))</f>
        <v>0</v>
      </c>
      <c r="ET186" s="17">
        <f>IF(ISNA(VLOOKUP(A186,'Données projet'!$A$191:$I$211,6,0)),0%,VLOOKUP(A186,'Données projet'!$A$191:$I$211,6,0)*VLOOKUP('Données projet'!$B$15,Paramètres!$A$1:$I$88,7,0))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projet'!$B$15,Paramètres!$A$1:$I$88,3,0)*0.475*44/12</f>
        <v>#N/A</v>
      </c>
      <c r="EW186" s="23" t="e">
        <f>EXP(-LN(2)/25)*EW185+(1-EXP(-LN(2)/25))/(LN(2)/25)*Calculateur!ER186*Calculateur!ET186*VLOOKUP('Données projet'!$B$15,Paramètres!$A$1:$I$88,3,0)*0.475*44/12</f>
        <v>#N/A</v>
      </c>
      <c r="EX186" s="23" t="e">
        <f>EXP(-LN(2)/2)*EX185+(1-EXP(-LN(2)/2))/(LN(2)/2)*ER186*EU186*VLOOKUP('Données projet'!$B$15,Paramètres!$A$1:$I$88,3,0)*0.475*44/12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projet'!$B$16,Paramètres!$A$1:$I$88,3,0)*VLOOKUP('Données projet'!$B$16,Paramètres!$A$1:$I$88,5,0)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projet'!$B$16,Paramètres!$A$1:$I$88,7,0))</f>
        <v>0</v>
      </c>
      <c r="FO186" s="17">
        <f>IF(ISNA(VLOOKUP(A186,'Données projet'!$A$217:$I$237,6,0)),0%,VLOOKUP(A186,'Données projet'!$A$217:$I$237,6,0)*VLOOKUP('Données projet'!$B$16,Paramètres!$A$1:$I$88,7,0))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projet'!$B$16,Paramètres!$A$1:$I$88,3,0)*0.475*44/12</f>
        <v>#N/A</v>
      </c>
      <c r="FR186" s="23" t="e">
        <f>EXP(-LN(2)/25)*FR185+(1-EXP(-LN(2)/25))/(LN(2)/25)*Calculateur!FM186*Calculateur!FO186*VLOOKUP('Données projet'!$B$16,Paramètres!$A$1:$I$88,3,0)*0.475*44/12</f>
        <v>#N/A</v>
      </c>
      <c r="FS186" s="23" t="e">
        <f>EXP(-LN(2)/2)*FS185+(1-EXP(-LN(2)/2))/(LN(2)/2)*FM186*FP186*VLOOKUP('Données projet'!$B$16,Paramètres!$A$1:$I$88,3,0)*0.475*44/12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projet'!$B$17,Paramètres!$A$1:$I$88,3,0)*VLOOKUP('Données projet'!$B$17,Paramètres!$A$1:$I$88,5,0)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projet'!$B$17,Paramètres!$A$1:$I$88,7,0))</f>
        <v>0</v>
      </c>
      <c r="GJ186" s="17">
        <f>IF(ISNA(VLOOKUP(A186,'Données projet'!$A$243:$I$263,6,0)),0%,VLOOKUP(A186,'Données projet'!$A$243:$I$263,6,0)*VLOOKUP('Données projet'!$B$17,Paramètres!$A$1:$I$88,7,0))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projet'!$B$17,Paramètres!$A$1:$I$88,3,0)*0.475*44/12</f>
        <v>#N/A</v>
      </c>
      <c r="GM186" s="23" t="e">
        <f>EXP(-LN(2)/25)*GM185+(1-EXP(-LN(2)/25))/(LN(2)/25)*Calculateur!GH186*Calculateur!GJ186*VLOOKUP('Données projet'!$B$17,Paramètres!$A$1:$I$88,3,0)*0.475*44/12</f>
        <v>#N/A</v>
      </c>
      <c r="GN186" s="23" t="e">
        <f>EXP(-LN(2)/2)*GN185+(1-EXP(-LN(2)/2))/(LN(2)/2)*GH186*GK186*VLOOKUP('Données projet'!$B$17,Paramètres!$A$1:$I$88,3,0)*0.475*44/12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projet'!$B$18,Paramètres!$A$1:$I$88,3,0)*VLOOKUP('Données projet'!$B$18,Paramètres!$A$1:$I$88,5,0)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projet'!$B$18,Paramètres!$A$1:$I$88,7,0))</f>
        <v>0</v>
      </c>
      <c r="HE186" s="17">
        <f>IF(ISNA(VLOOKUP(A186,'Données projet'!$A$269:$I$289,6,0)),0%,VLOOKUP(A186,'Données projet'!$A$269:$I$289,6,0)*VLOOKUP('Données projet'!$B$18,Paramètres!$A$1:$I$88,7,0))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projet'!$B$18,Paramètres!$A$1:$I$88,3,0)*0.475*44/12</f>
        <v>#N/A</v>
      </c>
      <c r="HH186" s="23" t="e">
        <f>EXP(-LN(2)/25)*HH185+(1-EXP(-LN(2)/25))/(LN(2)/25)*Calculateur!HC186*Calculateur!HE186*VLOOKUP('Données projet'!$B$18,Paramètres!$A$1:$I$88,3,0)*0.475*44/12</f>
        <v>#N/A</v>
      </c>
      <c r="HI186" s="23" t="e">
        <f>EXP(-LN(2)/2)*HI185+(1-EXP(-LN(2)/2))/(LN(2)/2)*HC186*HF186*VLOOKUP('Données projet'!$B$18,Paramètres!$A$1:$I$88,3,0)*0.475*44/12</f>
        <v>#N/A</v>
      </c>
      <c r="HJ186" s="24" t="e">
        <f t="shared" si="190"/>
        <v>#N/A</v>
      </c>
    </row>
    <row r="187" spans="1:218" x14ac:dyDescent="0.3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4.5474735088646412E-13</v>
      </c>
      <c r="O187" s="14">
        <f>N187*VLOOKUP('Données projet'!$B$9,Paramètres!$A$1:$I$88,3,0)*VLOOKUP('Données projet'!$B$9,Paramètres!$A$1:$I$88,5,0)</f>
        <v>2.5420376914553347E-13</v>
      </c>
      <c r="P187" s="14">
        <f t="shared" si="141"/>
        <v>3.4258699088369875E-12</v>
      </c>
      <c r="Q187" s="22">
        <f t="shared" si="162"/>
        <v>6.4094616558195571E-12</v>
      </c>
      <c r="R187" s="62">
        <f t="shared" si="109"/>
        <v>289.67078632611316</v>
      </c>
      <c r="S187" s="62">
        <f ca="1">AVERAGE(OFFSET($R$3,0,0,'Données projet'!$E$9+1,1))-AVERAGE(OFFSET($H$3,0,0,'Données projet'!$E$9+1,1))</f>
        <v>367.03450586441784</v>
      </c>
      <c r="T187" s="62">
        <f t="shared" si="142"/>
        <v>413.14502442862897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projet'!$B$9,Paramètres!$A$1:$I$88,7,0))</f>
        <v>0</v>
      </c>
      <c r="X187" s="17">
        <f>IF(ISNA(VLOOKUP(A187,'Données projet'!$A$35:$I$55,6,0)),0%,VLOOKUP(A187,'Données projet'!$A$35:$I$55,6,0)*VLOOKUP('Données projet'!$B$9,Paramètres!$A$1:$I$88,7,0))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projet'!$B$9,Paramètres!$A$1:$I$88,3,0)*0.475*44/12</f>
        <v>20.546750504797366</v>
      </c>
      <c r="AA187" s="23">
        <f>EXP(-LN(2)/25)*AA186+(1-EXP(-LN(2)/25))/(LN(2)/25)*Calculateur!V187*Calculateur!X187*VLOOKUP('Données projet'!$B$9,Paramètres!$A$1:$I$88,3,0)*0.475*44/12</f>
        <v>4.2474067144561118</v>
      </c>
      <c r="AB187" s="23">
        <f>EXP(-LN(2)/2)*AB186+(1-EXP(-LN(2)/2))/(LN(2)/2)*V187*Y187*VLOOKUP('Données projet'!$B$9,Paramètres!$A$1:$I$88,3,0)*0.475*44/12</f>
        <v>0</v>
      </c>
      <c r="AC187" s="24">
        <f t="shared" si="163"/>
        <v>24.794157219253478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projet'!$B$10,Paramètres!$A$1:$I$88,3,0)*VLOOKUP('Données projet'!$B$10,Paramètres!$A$1:$I$88,5,0)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projet'!$B$10,Paramètres!$A$1:$I$88,7,0))</f>
        <v>0</v>
      </c>
      <c r="AS187" s="17">
        <f>IF(ISNA(VLOOKUP(A187,'Données projet'!$A$61:$I$81,6,0)),0%,VLOOKUP(A187,'Données projet'!$A$61:$I$81,6,0)*VLOOKUP('Données projet'!$B$10,Paramètres!$A$1:$I$88,7,0))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projet'!$B$10,Paramètres!$A$1:$I$88,3,0)*0.475*44/12</f>
        <v>#N/A</v>
      </c>
      <c r="AV187" s="23" t="e">
        <f>EXP(-LN(2)/25)*AV186+(1-EXP(-LN(2)/25))/(LN(2)/25)*Calculateur!AQ187*Calculateur!AS187*VLOOKUP('Données projet'!$B$10,Paramètres!$A$1:$I$88,3,0)*0.475*44/12</f>
        <v>#N/A</v>
      </c>
      <c r="AW187" s="23" t="e">
        <f>EXP(-LN(2)/2)*AW186+(1-EXP(-LN(2)/2))/(LN(2)/2)*AQ187*AT187*VLOOKUP('Données projet'!$B$10,Paramètres!$A$1:$I$88,3,0)*0.475*44/12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projet'!$B$11,Paramètres!$A$1:$I$88,3,0)*VLOOKUP('Données projet'!$B$11,Paramètres!$A$1:$I$88,5,0)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projet'!$B$11,Paramètres!$A$1:$I$88,7,0))</f>
        <v>0</v>
      </c>
      <c r="BN187" s="17">
        <f>IF(ISNA(VLOOKUP(A187,'Données projet'!$A$87:$I$107,6,0)),0%,VLOOKUP(A187,'Données projet'!$A$87:$I$107,6,0)*VLOOKUP('Données projet'!$B$11,Paramètres!$A$1:$I$88,7,0))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projet'!$B$11,Paramètres!$A$1:$I$88,3,0)*0.475*44/12</f>
        <v>#N/A</v>
      </c>
      <c r="BQ187" s="23" t="e">
        <f>EXP(-LN(2)/25)*BQ186+(1-EXP(-LN(2)/25))/(LN(2)/25)*Calculateur!BL187*Calculateur!BN187*VLOOKUP('Données projet'!$B$11,Paramètres!$A$1:$I$88,3,0)*0.475*44/12</f>
        <v>#N/A</v>
      </c>
      <c r="BR187" s="23" t="e">
        <f>EXP(-LN(2)/2)*BR186+(1-EXP(-LN(2)/2))/(LN(2)/2)*BL187*BO187*VLOOKUP('Données projet'!$B$11,Paramètres!$A$1:$I$88,3,0)*0.475*44/12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projet'!$B$12,Paramètres!$A$1:$I$88,3,0)*VLOOKUP('Données projet'!$B$12,Paramètres!$A$1:$I$88,5,0)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projet'!$B$12,Paramètres!$A$1:$I$88,7,0))</f>
        <v>0</v>
      </c>
      <c r="CI187" s="17">
        <f>IF(ISNA(VLOOKUP(A187,'Données projet'!$A$113:$I$133,6,0)),0%,VLOOKUP(A187,'Données projet'!$A$113:$I$133,6,0)*VLOOKUP('Données projet'!$B$12,Paramètres!$A$1:$I$88,7,0))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projet'!$B$12,Paramètres!$A$1:$I$88,3,0)*0.475*44/12</f>
        <v>#N/A</v>
      </c>
      <c r="CL187" s="23" t="e">
        <f>EXP(-LN(2)/25)*CL186+(1-EXP(-LN(2)/25))/(LN(2)/25)*Calculateur!CG187*Calculateur!CI187*VLOOKUP('Données projet'!$B$12,Paramètres!$A$1:$I$88,3,0)*0.475*44/12</f>
        <v>#N/A</v>
      </c>
      <c r="CM187" s="23" t="e">
        <f>EXP(-LN(2)/2)*CM186+(1-EXP(-LN(2)/2))/(LN(2)/2)*CG187*CJ187*VLOOKUP('Données projet'!$B$12,Paramètres!$A$1:$I$88,3,0)*0.475*44/12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projet'!$B$13,Paramètres!$A$1:$I$88,3,0)*VLOOKUP('Données projet'!$B$13,Paramètres!$A$1:$I$88,5,0)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projet'!$B$13,Paramètres!$A$1:$I$88,7,0))</f>
        <v>0</v>
      </c>
      <c r="DD187" s="17">
        <f>IF(ISNA(VLOOKUP(A187,'Données projet'!$A$139:$I$159,6,0)),0%,VLOOKUP(A187,'Données projet'!$A$139:$I$159,6,0)*VLOOKUP('Données projet'!$B$13,Paramètres!$A$1:$I$88,7,0))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projet'!$B$13,Paramètres!$A$1:$I$88,3,0)*0.475*44/12</f>
        <v>#N/A</v>
      </c>
      <c r="DG187" s="23" t="e">
        <f>EXP(-LN(2)/25)*DG186+(1-EXP(-LN(2)/25))/(LN(2)/25)*Calculateur!DB187*Calculateur!DD187*VLOOKUP('Données projet'!$B$13,Paramètres!$A$1:$I$88,3,0)*0.475*44/12</f>
        <v>#N/A</v>
      </c>
      <c r="DH187" s="23" t="e">
        <f>EXP(-LN(2)/2)*DH186+(1-EXP(-LN(2)/2))/(LN(2)/2)*DB187*DE187*VLOOKUP('Données projet'!$B$13,Paramètres!$A$1:$I$88,3,0)*0.475*44/12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projet'!$B$14,Paramètres!$A$1:$I$88,3,0)*VLOOKUP('Données projet'!$B$14,Paramètres!$A$1:$I$88,5,0)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projet'!$B$14,Paramètres!$A$1:$I$88,7,0))</f>
        <v>0</v>
      </c>
      <c r="DY187" s="17">
        <f>IF(ISNA(VLOOKUP(A187,'Données projet'!$A$165:$I$185,6,0)),0%,VLOOKUP(A187,'Données projet'!$A$165:$I$185,6,0)*VLOOKUP('Données projet'!$B$14,Paramètres!$A$1:$I$88,7,0))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projet'!$B$14,Paramètres!$A$1:$I$88,3,0)*0.475*44/12</f>
        <v>#N/A</v>
      </c>
      <c r="EB187" s="23" t="e">
        <f>EXP(-LN(2)/25)*EB186+(1-EXP(-LN(2)/25))/(LN(2)/25)*Calculateur!DW187*Calculateur!DY187*VLOOKUP('Données projet'!$B$14,Paramètres!$A$1:$I$88,3,0)*0.475*44/12</f>
        <v>#N/A</v>
      </c>
      <c r="EC187" s="23" t="e">
        <f>EXP(-LN(2)/2)*EC186+(1-EXP(-LN(2)/2))/(LN(2)/2)*DW187*DZ187*VLOOKUP('Données projet'!$B$14,Paramètres!$A$1:$I$88,3,0)*0.475*44/12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projet'!$B$15,Paramètres!$A$1:$I$88,3,0)*VLOOKUP('Données projet'!$B$15,Paramètres!$A$1:$I$88,5,0)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projet'!$B$15,Paramètres!$A$1:$I$88,7,0))</f>
        <v>0</v>
      </c>
      <c r="ET187" s="17">
        <f>IF(ISNA(VLOOKUP(A187,'Données projet'!$A$191:$I$211,6,0)),0%,VLOOKUP(A187,'Données projet'!$A$191:$I$211,6,0)*VLOOKUP('Données projet'!$B$15,Paramètres!$A$1:$I$88,7,0))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projet'!$B$15,Paramètres!$A$1:$I$88,3,0)*0.475*44/12</f>
        <v>#N/A</v>
      </c>
      <c r="EW187" s="23" t="e">
        <f>EXP(-LN(2)/25)*EW186+(1-EXP(-LN(2)/25))/(LN(2)/25)*Calculateur!ER187*Calculateur!ET187*VLOOKUP('Données projet'!$B$15,Paramètres!$A$1:$I$88,3,0)*0.475*44/12</f>
        <v>#N/A</v>
      </c>
      <c r="EX187" s="23" t="e">
        <f>EXP(-LN(2)/2)*EX186+(1-EXP(-LN(2)/2))/(LN(2)/2)*ER187*EU187*VLOOKUP('Données projet'!$B$15,Paramètres!$A$1:$I$88,3,0)*0.475*44/12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projet'!$B$16,Paramètres!$A$1:$I$88,3,0)*VLOOKUP('Données projet'!$B$16,Paramètres!$A$1:$I$88,5,0)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projet'!$B$16,Paramètres!$A$1:$I$88,7,0))</f>
        <v>0</v>
      </c>
      <c r="FO187" s="17">
        <f>IF(ISNA(VLOOKUP(A187,'Données projet'!$A$217:$I$237,6,0)),0%,VLOOKUP(A187,'Données projet'!$A$217:$I$237,6,0)*VLOOKUP('Données projet'!$B$16,Paramètres!$A$1:$I$88,7,0))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projet'!$B$16,Paramètres!$A$1:$I$88,3,0)*0.475*44/12</f>
        <v>#N/A</v>
      </c>
      <c r="FR187" s="23" t="e">
        <f>EXP(-LN(2)/25)*FR186+(1-EXP(-LN(2)/25))/(LN(2)/25)*Calculateur!FM187*Calculateur!FO187*VLOOKUP('Données projet'!$B$16,Paramètres!$A$1:$I$88,3,0)*0.475*44/12</f>
        <v>#N/A</v>
      </c>
      <c r="FS187" s="23" t="e">
        <f>EXP(-LN(2)/2)*FS186+(1-EXP(-LN(2)/2))/(LN(2)/2)*FM187*FP187*VLOOKUP('Données projet'!$B$16,Paramètres!$A$1:$I$88,3,0)*0.475*44/12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projet'!$B$17,Paramètres!$A$1:$I$88,3,0)*VLOOKUP('Données projet'!$B$17,Paramètres!$A$1:$I$88,5,0)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projet'!$B$17,Paramètres!$A$1:$I$88,7,0))</f>
        <v>0</v>
      </c>
      <c r="GJ187" s="17">
        <f>IF(ISNA(VLOOKUP(A187,'Données projet'!$A$243:$I$263,6,0)),0%,VLOOKUP(A187,'Données projet'!$A$243:$I$263,6,0)*VLOOKUP('Données projet'!$B$17,Paramètres!$A$1:$I$88,7,0))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projet'!$B$17,Paramètres!$A$1:$I$88,3,0)*0.475*44/12</f>
        <v>#N/A</v>
      </c>
      <c r="GM187" s="23" t="e">
        <f>EXP(-LN(2)/25)*GM186+(1-EXP(-LN(2)/25))/(LN(2)/25)*Calculateur!GH187*Calculateur!GJ187*VLOOKUP('Données projet'!$B$17,Paramètres!$A$1:$I$88,3,0)*0.475*44/12</f>
        <v>#N/A</v>
      </c>
      <c r="GN187" s="23" t="e">
        <f>EXP(-LN(2)/2)*GN186+(1-EXP(-LN(2)/2))/(LN(2)/2)*GH187*GK187*VLOOKUP('Données projet'!$B$17,Paramètres!$A$1:$I$88,3,0)*0.475*44/12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projet'!$B$18,Paramètres!$A$1:$I$88,3,0)*VLOOKUP('Données projet'!$B$18,Paramètres!$A$1:$I$88,5,0)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projet'!$B$18,Paramètres!$A$1:$I$88,7,0))</f>
        <v>0</v>
      </c>
      <c r="HE187" s="17">
        <f>IF(ISNA(VLOOKUP(A187,'Données projet'!$A$269:$I$289,6,0)),0%,VLOOKUP(A187,'Données projet'!$A$269:$I$289,6,0)*VLOOKUP('Données projet'!$B$18,Paramètres!$A$1:$I$88,7,0))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projet'!$B$18,Paramètres!$A$1:$I$88,3,0)*0.475*44/12</f>
        <v>#N/A</v>
      </c>
      <c r="HH187" s="23" t="e">
        <f>EXP(-LN(2)/25)*HH186+(1-EXP(-LN(2)/25))/(LN(2)/25)*Calculateur!HC187*Calculateur!HE187*VLOOKUP('Données projet'!$B$18,Paramètres!$A$1:$I$88,3,0)*0.475*44/12</f>
        <v>#N/A</v>
      </c>
      <c r="HI187" s="23" t="e">
        <f>EXP(-LN(2)/2)*HI186+(1-EXP(-LN(2)/2))/(LN(2)/2)*HC187*HF187*VLOOKUP('Données projet'!$B$18,Paramètres!$A$1:$I$88,3,0)*0.475*44/12</f>
        <v>#N/A</v>
      </c>
      <c r="HJ187" s="24" t="e">
        <f t="shared" si="190"/>
        <v>#N/A</v>
      </c>
    </row>
    <row r="188" spans="1:218" x14ac:dyDescent="0.3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4.5474735088646412E-13</v>
      </c>
      <c r="O188" s="14">
        <f>N188*VLOOKUP('Données projet'!$B$9,Paramètres!$A$1:$I$88,3,0)*VLOOKUP('Données projet'!$B$9,Paramètres!$A$1:$I$88,5,0)</f>
        <v>2.5420376914553347E-13</v>
      </c>
      <c r="P188" s="14">
        <f t="shared" si="141"/>
        <v>3.4258699088369875E-12</v>
      </c>
      <c r="Q188" s="22">
        <f t="shared" si="162"/>
        <v>6.4094616558195571E-12</v>
      </c>
      <c r="R188" s="62">
        <f t="shared" si="109"/>
        <v>289.73432332846016</v>
      </c>
      <c r="S188" s="62">
        <f ca="1">AVERAGE(OFFSET($R$3,0,0,'Données projet'!$E$9+1,1))-AVERAGE(OFFSET($H$3,0,0,'Données projet'!$E$9+1,1))</f>
        <v>367.03450586441784</v>
      </c>
      <c r="T188" s="62">
        <f t="shared" si="142"/>
        <v>413.14502442862897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projet'!$B$9,Paramètres!$A$1:$I$88,7,0))</f>
        <v>0</v>
      </c>
      <c r="X188" s="17">
        <f>IF(ISNA(VLOOKUP(A188,'Données projet'!$A$35:$I$55,6,0)),0%,VLOOKUP(A188,'Données projet'!$A$35:$I$55,6,0)*VLOOKUP('Données projet'!$B$9,Paramètres!$A$1:$I$88,7,0))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projet'!$B$9,Paramètres!$A$1:$I$88,3,0)*0.475*44/12</f>
        <v>20.143841259678638</v>
      </c>
      <c r="AA188" s="23">
        <f>EXP(-LN(2)/25)*AA187+(1-EXP(-LN(2)/25))/(LN(2)/25)*Calculateur!V188*Calculateur!X188*VLOOKUP('Données projet'!$B$9,Paramètres!$A$1:$I$88,3,0)*0.475*44/12</f>
        <v>4.1312611544878983</v>
      </c>
      <c r="AB188" s="23">
        <f>EXP(-LN(2)/2)*AB187+(1-EXP(-LN(2)/2))/(LN(2)/2)*V188*Y188*VLOOKUP('Données projet'!$B$9,Paramètres!$A$1:$I$88,3,0)*0.475*44/12</f>
        <v>0</v>
      </c>
      <c r="AC188" s="24">
        <f t="shared" si="163"/>
        <v>24.275102414166536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projet'!$B$10,Paramètres!$A$1:$I$88,3,0)*VLOOKUP('Données projet'!$B$10,Paramètres!$A$1:$I$88,5,0)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projet'!$B$10,Paramètres!$A$1:$I$88,7,0))</f>
        <v>0</v>
      </c>
      <c r="AS188" s="17">
        <f>IF(ISNA(VLOOKUP(A188,'Données projet'!$A$61:$I$81,6,0)),0%,VLOOKUP(A188,'Données projet'!$A$61:$I$81,6,0)*VLOOKUP('Données projet'!$B$10,Paramètres!$A$1:$I$88,7,0))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projet'!$B$10,Paramètres!$A$1:$I$88,3,0)*0.475*44/12</f>
        <v>#N/A</v>
      </c>
      <c r="AV188" s="23" t="e">
        <f>EXP(-LN(2)/25)*AV187+(1-EXP(-LN(2)/25))/(LN(2)/25)*Calculateur!AQ188*Calculateur!AS188*VLOOKUP('Données projet'!$B$10,Paramètres!$A$1:$I$88,3,0)*0.475*44/12</f>
        <v>#N/A</v>
      </c>
      <c r="AW188" s="23" t="e">
        <f>EXP(-LN(2)/2)*AW187+(1-EXP(-LN(2)/2))/(LN(2)/2)*AQ188*AT188*VLOOKUP('Données projet'!$B$10,Paramètres!$A$1:$I$88,3,0)*0.475*44/12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projet'!$B$11,Paramètres!$A$1:$I$88,3,0)*VLOOKUP('Données projet'!$B$11,Paramètres!$A$1:$I$88,5,0)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projet'!$B$11,Paramètres!$A$1:$I$88,7,0))</f>
        <v>0</v>
      </c>
      <c r="BN188" s="17">
        <f>IF(ISNA(VLOOKUP(A188,'Données projet'!$A$87:$I$107,6,0)),0%,VLOOKUP(A188,'Données projet'!$A$87:$I$107,6,0)*VLOOKUP('Données projet'!$B$11,Paramètres!$A$1:$I$88,7,0))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projet'!$B$11,Paramètres!$A$1:$I$88,3,0)*0.475*44/12</f>
        <v>#N/A</v>
      </c>
      <c r="BQ188" s="23" t="e">
        <f>EXP(-LN(2)/25)*BQ187+(1-EXP(-LN(2)/25))/(LN(2)/25)*Calculateur!BL188*Calculateur!BN188*VLOOKUP('Données projet'!$B$11,Paramètres!$A$1:$I$88,3,0)*0.475*44/12</f>
        <v>#N/A</v>
      </c>
      <c r="BR188" s="23" t="e">
        <f>EXP(-LN(2)/2)*BR187+(1-EXP(-LN(2)/2))/(LN(2)/2)*BL188*BO188*VLOOKUP('Données projet'!$B$11,Paramètres!$A$1:$I$88,3,0)*0.475*44/12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projet'!$B$12,Paramètres!$A$1:$I$88,3,0)*VLOOKUP('Données projet'!$B$12,Paramètres!$A$1:$I$88,5,0)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projet'!$B$12,Paramètres!$A$1:$I$88,7,0))</f>
        <v>0</v>
      </c>
      <c r="CI188" s="17">
        <f>IF(ISNA(VLOOKUP(A188,'Données projet'!$A$113:$I$133,6,0)),0%,VLOOKUP(A188,'Données projet'!$A$113:$I$133,6,0)*VLOOKUP('Données projet'!$B$12,Paramètres!$A$1:$I$88,7,0))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projet'!$B$12,Paramètres!$A$1:$I$88,3,0)*0.475*44/12</f>
        <v>#N/A</v>
      </c>
      <c r="CL188" s="23" t="e">
        <f>EXP(-LN(2)/25)*CL187+(1-EXP(-LN(2)/25))/(LN(2)/25)*Calculateur!CG188*Calculateur!CI188*VLOOKUP('Données projet'!$B$12,Paramètres!$A$1:$I$88,3,0)*0.475*44/12</f>
        <v>#N/A</v>
      </c>
      <c r="CM188" s="23" t="e">
        <f>EXP(-LN(2)/2)*CM187+(1-EXP(-LN(2)/2))/(LN(2)/2)*CG188*CJ188*VLOOKUP('Données projet'!$B$12,Paramètres!$A$1:$I$88,3,0)*0.475*44/12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projet'!$B$13,Paramètres!$A$1:$I$88,3,0)*VLOOKUP('Données projet'!$B$13,Paramètres!$A$1:$I$88,5,0)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projet'!$B$13,Paramètres!$A$1:$I$88,7,0))</f>
        <v>0</v>
      </c>
      <c r="DD188" s="17">
        <f>IF(ISNA(VLOOKUP(A188,'Données projet'!$A$139:$I$159,6,0)),0%,VLOOKUP(A188,'Données projet'!$A$139:$I$159,6,0)*VLOOKUP('Données projet'!$B$13,Paramètres!$A$1:$I$88,7,0))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projet'!$B$13,Paramètres!$A$1:$I$88,3,0)*0.475*44/12</f>
        <v>#N/A</v>
      </c>
      <c r="DG188" s="23" t="e">
        <f>EXP(-LN(2)/25)*DG187+(1-EXP(-LN(2)/25))/(LN(2)/25)*Calculateur!DB188*Calculateur!DD188*VLOOKUP('Données projet'!$B$13,Paramètres!$A$1:$I$88,3,0)*0.475*44/12</f>
        <v>#N/A</v>
      </c>
      <c r="DH188" s="23" t="e">
        <f>EXP(-LN(2)/2)*DH187+(1-EXP(-LN(2)/2))/(LN(2)/2)*DB188*DE188*VLOOKUP('Données projet'!$B$13,Paramètres!$A$1:$I$88,3,0)*0.475*44/12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projet'!$B$14,Paramètres!$A$1:$I$88,3,0)*VLOOKUP('Données projet'!$B$14,Paramètres!$A$1:$I$88,5,0)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projet'!$B$14,Paramètres!$A$1:$I$88,7,0))</f>
        <v>0</v>
      </c>
      <c r="DY188" s="17">
        <f>IF(ISNA(VLOOKUP(A188,'Données projet'!$A$165:$I$185,6,0)),0%,VLOOKUP(A188,'Données projet'!$A$165:$I$185,6,0)*VLOOKUP('Données projet'!$B$14,Paramètres!$A$1:$I$88,7,0))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projet'!$B$14,Paramètres!$A$1:$I$88,3,0)*0.475*44/12</f>
        <v>#N/A</v>
      </c>
      <c r="EB188" s="23" t="e">
        <f>EXP(-LN(2)/25)*EB187+(1-EXP(-LN(2)/25))/(LN(2)/25)*Calculateur!DW188*Calculateur!DY188*VLOOKUP('Données projet'!$B$14,Paramètres!$A$1:$I$88,3,0)*0.475*44/12</f>
        <v>#N/A</v>
      </c>
      <c r="EC188" s="23" t="e">
        <f>EXP(-LN(2)/2)*EC187+(1-EXP(-LN(2)/2))/(LN(2)/2)*DW188*DZ188*VLOOKUP('Données projet'!$B$14,Paramètres!$A$1:$I$88,3,0)*0.475*44/12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projet'!$B$15,Paramètres!$A$1:$I$88,3,0)*VLOOKUP('Données projet'!$B$15,Paramètres!$A$1:$I$88,5,0)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projet'!$B$15,Paramètres!$A$1:$I$88,7,0))</f>
        <v>0</v>
      </c>
      <c r="ET188" s="17">
        <f>IF(ISNA(VLOOKUP(A188,'Données projet'!$A$191:$I$211,6,0)),0%,VLOOKUP(A188,'Données projet'!$A$191:$I$211,6,0)*VLOOKUP('Données projet'!$B$15,Paramètres!$A$1:$I$88,7,0))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projet'!$B$15,Paramètres!$A$1:$I$88,3,0)*0.475*44/12</f>
        <v>#N/A</v>
      </c>
      <c r="EW188" s="23" t="e">
        <f>EXP(-LN(2)/25)*EW187+(1-EXP(-LN(2)/25))/(LN(2)/25)*Calculateur!ER188*Calculateur!ET188*VLOOKUP('Données projet'!$B$15,Paramètres!$A$1:$I$88,3,0)*0.475*44/12</f>
        <v>#N/A</v>
      </c>
      <c r="EX188" s="23" t="e">
        <f>EXP(-LN(2)/2)*EX187+(1-EXP(-LN(2)/2))/(LN(2)/2)*ER188*EU188*VLOOKUP('Données projet'!$B$15,Paramètres!$A$1:$I$88,3,0)*0.475*44/12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projet'!$B$16,Paramètres!$A$1:$I$88,3,0)*VLOOKUP('Données projet'!$B$16,Paramètres!$A$1:$I$88,5,0)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projet'!$B$16,Paramètres!$A$1:$I$88,7,0))</f>
        <v>0</v>
      </c>
      <c r="FO188" s="17">
        <f>IF(ISNA(VLOOKUP(A188,'Données projet'!$A$217:$I$237,6,0)),0%,VLOOKUP(A188,'Données projet'!$A$217:$I$237,6,0)*VLOOKUP('Données projet'!$B$16,Paramètres!$A$1:$I$88,7,0))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projet'!$B$16,Paramètres!$A$1:$I$88,3,0)*0.475*44/12</f>
        <v>#N/A</v>
      </c>
      <c r="FR188" s="23" t="e">
        <f>EXP(-LN(2)/25)*FR187+(1-EXP(-LN(2)/25))/(LN(2)/25)*Calculateur!FM188*Calculateur!FO188*VLOOKUP('Données projet'!$B$16,Paramètres!$A$1:$I$88,3,0)*0.475*44/12</f>
        <v>#N/A</v>
      </c>
      <c r="FS188" s="23" t="e">
        <f>EXP(-LN(2)/2)*FS187+(1-EXP(-LN(2)/2))/(LN(2)/2)*FM188*FP188*VLOOKUP('Données projet'!$B$16,Paramètres!$A$1:$I$88,3,0)*0.475*44/12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projet'!$B$17,Paramètres!$A$1:$I$88,3,0)*VLOOKUP('Données projet'!$B$17,Paramètres!$A$1:$I$88,5,0)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projet'!$B$17,Paramètres!$A$1:$I$88,7,0))</f>
        <v>0</v>
      </c>
      <c r="GJ188" s="17">
        <f>IF(ISNA(VLOOKUP(A188,'Données projet'!$A$243:$I$263,6,0)),0%,VLOOKUP(A188,'Données projet'!$A$243:$I$263,6,0)*VLOOKUP('Données projet'!$B$17,Paramètres!$A$1:$I$88,7,0))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projet'!$B$17,Paramètres!$A$1:$I$88,3,0)*0.475*44/12</f>
        <v>#N/A</v>
      </c>
      <c r="GM188" s="23" t="e">
        <f>EXP(-LN(2)/25)*GM187+(1-EXP(-LN(2)/25))/(LN(2)/25)*Calculateur!GH188*Calculateur!GJ188*VLOOKUP('Données projet'!$B$17,Paramètres!$A$1:$I$88,3,0)*0.475*44/12</f>
        <v>#N/A</v>
      </c>
      <c r="GN188" s="23" t="e">
        <f>EXP(-LN(2)/2)*GN187+(1-EXP(-LN(2)/2))/(LN(2)/2)*GH188*GK188*VLOOKUP('Données projet'!$B$17,Paramètres!$A$1:$I$88,3,0)*0.475*44/12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projet'!$B$18,Paramètres!$A$1:$I$88,3,0)*VLOOKUP('Données projet'!$B$18,Paramètres!$A$1:$I$88,5,0)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projet'!$B$18,Paramètres!$A$1:$I$88,7,0))</f>
        <v>0</v>
      </c>
      <c r="HE188" s="17">
        <f>IF(ISNA(VLOOKUP(A188,'Données projet'!$A$269:$I$289,6,0)),0%,VLOOKUP(A188,'Données projet'!$A$269:$I$289,6,0)*VLOOKUP('Données projet'!$B$18,Paramètres!$A$1:$I$88,7,0))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projet'!$B$18,Paramètres!$A$1:$I$88,3,0)*0.475*44/12</f>
        <v>#N/A</v>
      </c>
      <c r="HH188" s="23" t="e">
        <f>EXP(-LN(2)/25)*HH187+(1-EXP(-LN(2)/25))/(LN(2)/25)*Calculateur!HC188*Calculateur!HE188*VLOOKUP('Données projet'!$B$18,Paramètres!$A$1:$I$88,3,0)*0.475*44/12</f>
        <v>#N/A</v>
      </c>
      <c r="HI188" s="23" t="e">
        <f>EXP(-LN(2)/2)*HI187+(1-EXP(-LN(2)/2))/(LN(2)/2)*HC188*HF188*VLOOKUP('Données projet'!$B$18,Paramètres!$A$1:$I$88,3,0)*0.475*44/12</f>
        <v>#N/A</v>
      </c>
      <c r="HJ188" s="24" t="e">
        <f t="shared" si="190"/>
        <v>#N/A</v>
      </c>
    </row>
    <row r="189" spans="1:218" x14ac:dyDescent="0.3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4.5474735088646412E-13</v>
      </c>
      <c r="O189" s="14">
        <f>N189*VLOOKUP('Données projet'!$B$9,Paramètres!$A$1:$I$88,3,0)*VLOOKUP('Données projet'!$B$9,Paramètres!$A$1:$I$88,5,0)</f>
        <v>2.5420376914553347E-13</v>
      </c>
      <c r="P189" s="14">
        <f t="shared" si="141"/>
        <v>3.4258699088369875E-12</v>
      </c>
      <c r="Q189" s="22">
        <f t="shared" si="162"/>
        <v>6.4094616558195571E-12</v>
      </c>
      <c r="R189" s="62">
        <f t="shared" si="109"/>
        <v>289.79675810586383</v>
      </c>
      <c r="S189" s="62">
        <f ca="1">AVERAGE(OFFSET($R$3,0,0,'Données projet'!$E$9+1,1))-AVERAGE(OFFSET($H$3,0,0,'Données projet'!$E$9+1,1))</f>
        <v>367.03450586441784</v>
      </c>
      <c r="T189" s="62">
        <f t="shared" si="142"/>
        <v>413.14502442862897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projet'!$B$9,Paramètres!$A$1:$I$88,7,0))</f>
        <v>0</v>
      </c>
      <c r="X189" s="17">
        <f>IF(ISNA(VLOOKUP(A189,'Données projet'!$A$35:$I$55,6,0)),0%,VLOOKUP(A189,'Données projet'!$A$35:$I$55,6,0)*VLOOKUP('Données projet'!$B$9,Paramètres!$A$1:$I$88,7,0))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projet'!$B$9,Paramètres!$A$1:$I$88,3,0)*0.475*44/12</f>
        <v>19.748832819106315</v>
      </c>
      <c r="AA189" s="23">
        <f>EXP(-LN(2)/25)*AA188+(1-EXP(-LN(2)/25))/(LN(2)/25)*Calculateur!V189*Calculateur!X189*VLOOKUP('Données projet'!$B$9,Paramètres!$A$1:$I$88,3,0)*0.475*44/12</f>
        <v>4.0182916009648446</v>
      </c>
      <c r="AB189" s="23">
        <f>EXP(-LN(2)/2)*AB188+(1-EXP(-LN(2)/2))/(LN(2)/2)*V189*Y189*VLOOKUP('Données projet'!$B$9,Paramètres!$A$1:$I$88,3,0)*0.475*44/12</f>
        <v>0</v>
      </c>
      <c r="AC189" s="24">
        <f t="shared" si="163"/>
        <v>23.767124420071159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projet'!$B$10,Paramètres!$A$1:$I$88,3,0)*VLOOKUP('Données projet'!$B$10,Paramètres!$A$1:$I$88,5,0)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projet'!$B$10,Paramètres!$A$1:$I$88,7,0))</f>
        <v>0</v>
      </c>
      <c r="AS189" s="17">
        <f>IF(ISNA(VLOOKUP(A189,'Données projet'!$A$61:$I$81,6,0)),0%,VLOOKUP(A189,'Données projet'!$A$61:$I$81,6,0)*VLOOKUP('Données projet'!$B$10,Paramètres!$A$1:$I$88,7,0))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projet'!$B$10,Paramètres!$A$1:$I$88,3,0)*0.475*44/12</f>
        <v>#N/A</v>
      </c>
      <c r="AV189" s="23" t="e">
        <f>EXP(-LN(2)/25)*AV188+(1-EXP(-LN(2)/25))/(LN(2)/25)*Calculateur!AQ189*Calculateur!AS189*VLOOKUP('Données projet'!$B$10,Paramètres!$A$1:$I$88,3,0)*0.475*44/12</f>
        <v>#N/A</v>
      </c>
      <c r="AW189" s="23" t="e">
        <f>EXP(-LN(2)/2)*AW188+(1-EXP(-LN(2)/2))/(LN(2)/2)*AQ189*AT189*VLOOKUP('Données projet'!$B$10,Paramètres!$A$1:$I$88,3,0)*0.475*44/12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projet'!$B$11,Paramètres!$A$1:$I$88,3,0)*VLOOKUP('Données projet'!$B$11,Paramètres!$A$1:$I$88,5,0)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projet'!$B$11,Paramètres!$A$1:$I$88,7,0))</f>
        <v>0</v>
      </c>
      <c r="BN189" s="17">
        <f>IF(ISNA(VLOOKUP(A189,'Données projet'!$A$87:$I$107,6,0)),0%,VLOOKUP(A189,'Données projet'!$A$87:$I$107,6,0)*VLOOKUP('Données projet'!$B$11,Paramètres!$A$1:$I$88,7,0))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projet'!$B$11,Paramètres!$A$1:$I$88,3,0)*0.475*44/12</f>
        <v>#N/A</v>
      </c>
      <c r="BQ189" s="23" t="e">
        <f>EXP(-LN(2)/25)*BQ188+(1-EXP(-LN(2)/25))/(LN(2)/25)*Calculateur!BL189*Calculateur!BN189*VLOOKUP('Données projet'!$B$11,Paramètres!$A$1:$I$88,3,0)*0.475*44/12</f>
        <v>#N/A</v>
      </c>
      <c r="BR189" s="23" t="e">
        <f>EXP(-LN(2)/2)*BR188+(1-EXP(-LN(2)/2))/(LN(2)/2)*BL189*BO189*VLOOKUP('Données projet'!$B$11,Paramètres!$A$1:$I$88,3,0)*0.475*44/12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projet'!$B$12,Paramètres!$A$1:$I$88,3,0)*VLOOKUP('Données projet'!$B$12,Paramètres!$A$1:$I$88,5,0)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projet'!$B$12,Paramètres!$A$1:$I$88,7,0))</f>
        <v>0</v>
      </c>
      <c r="CI189" s="17">
        <f>IF(ISNA(VLOOKUP(A189,'Données projet'!$A$113:$I$133,6,0)),0%,VLOOKUP(A189,'Données projet'!$A$113:$I$133,6,0)*VLOOKUP('Données projet'!$B$12,Paramètres!$A$1:$I$88,7,0))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projet'!$B$12,Paramètres!$A$1:$I$88,3,0)*0.475*44/12</f>
        <v>#N/A</v>
      </c>
      <c r="CL189" s="23" t="e">
        <f>EXP(-LN(2)/25)*CL188+(1-EXP(-LN(2)/25))/(LN(2)/25)*Calculateur!CG189*Calculateur!CI189*VLOOKUP('Données projet'!$B$12,Paramètres!$A$1:$I$88,3,0)*0.475*44/12</f>
        <v>#N/A</v>
      </c>
      <c r="CM189" s="23" t="e">
        <f>EXP(-LN(2)/2)*CM188+(1-EXP(-LN(2)/2))/(LN(2)/2)*CG189*CJ189*VLOOKUP('Données projet'!$B$12,Paramètres!$A$1:$I$88,3,0)*0.475*44/12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projet'!$B$13,Paramètres!$A$1:$I$88,3,0)*VLOOKUP('Données projet'!$B$13,Paramètres!$A$1:$I$88,5,0)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projet'!$B$13,Paramètres!$A$1:$I$88,7,0))</f>
        <v>0</v>
      </c>
      <c r="DD189" s="17">
        <f>IF(ISNA(VLOOKUP(A189,'Données projet'!$A$139:$I$159,6,0)),0%,VLOOKUP(A189,'Données projet'!$A$139:$I$159,6,0)*VLOOKUP('Données projet'!$B$13,Paramètres!$A$1:$I$88,7,0))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projet'!$B$13,Paramètres!$A$1:$I$88,3,0)*0.475*44/12</f>
        <v>#N/A</v>
      </c>
      <c r="DG189" s="23" t="e">
        <f>EXP(-LN(2)/25)*DG188+(1-EXP(-LN(2)/25))/(LN(2)/25)*Calculateur!DB189*Calculateur!DD189*VLOOKUP('Données projet'!$B$13,Paramètres!$A$1:$I$88,3,0)*0.475*44/12</f>
        <v>#N/A</v>
      </c>
      <c r="DH189" s="23" t="e">
        <f>EXP(-LN(2)/2)*DH188+(1-EXP(-LN(2)/2))/(LN(2)/2)*DB189*DE189*VLOOKUP('Données projet'!$B$13,Paramètres!$A$1:$I$88,3,0)*0.475*44/12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projet'!$B$14,Paramètres!$A$1:$I$88,3,0)*VLOOKUP('Données projet'!$B$14,Paramètres!$A$1:$I$88,5,0)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projet'!$B$14,Paramètres!$A$1:$I$88,7,0))</f>
        <v>0</v>
      </c>
      <c r="DY189" s="17">
        <f>IF(ISNA(VLOOKUP(A189,'Données projet'!$A$165:$I$185,6,0)),0%,VLOOKUP(A189,'Données projet'!$A$165:$I$185,6,0)*VLOOKUP('Données projet'!$B$14,Paramètres!$A$1:$I$88,7,0))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projet'!$B$14,Paramètres!$A$1:$I$88,3,0)*0.475*44/12</f>
        <v>#N/A</v>
      </c>
      <c r="EB189" s="23" t="e">
        <f>EXP(-LN(2)/25)*EB188+(1-EXP(-LN(2)/25))/(LN(2)/25)*Calculateur!DW189*Calculateur!DY189*VLOOKUP('Données projet'!$B$14,Paramètres!$A$1:$I$88,3,0)*0.475*44/12</f>
        <v>#N/A</v>
      </c>
      <c r="EC189" s="23" t="e">
        <f>EXP(-LN(2)/2)*EC188+(1-EXP(-LN(2)/2))/(LN(2)/2)*DW189*DZ189*VLOOKUP('Données projet'!$B$14,Paramètres!$A$1:$I$88,3,0)*0.475*44/12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projet'!$B$15,Paramètres!$A$1:$I$88,3,0)*VLOOKUP('Données projet'!$B$15,Paramètres!$A$1:$I$88,5,0)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projet'!$B$15,Paramètres!$A$1:$I$88,7,0))</f>
        <v>0</v>
      </c>
      <c r="ET189" s="17">
        <f>IF(ISNA(VLOOKUP(A189,'Données projet'!$A$191:$I$211,6,0)),0%,VLOOKUP(A189,'Données projet'!$A$191:$I$211,6,0)*VLOOKUP('Données projet'!$B$15,Paramètres!$A$1:$I$88,7,0))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projet'!$B$15,Paramètres!$A$1:$I$88,3,0)*0.475*44/12</f>
        <v>#N/A</v>
      </c>
      <c r="EW189" s="23" t="e">
        <f>EXP(-LN(2)/25)*EW188+(1-EXP(-LN(2)/25))/(LN(2)/25)*Calculateur!ER189*Calculateur!ET189*VLOOKUP('Données projet'!$B$15,Paramètres!$A$1:$I$88,3,0)*0.475*44/12</f>
        <v>#N/A</v>
      </c>
      <c r="EX189" s="23" t="e">
        <f>EXP(-LN(2)/2)*EX188+(1-EXP(-LN(2)/2))/(LN(2)/2)*ER189*EU189*VLOOKUP('Données projet'!$B$15,Paramètres!$A$1:$I$88,3,0)*0.475*44/12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projet'!$B$16,Paramètres!$A$1:$I$88,3,0)*VLOOKUP('Données projet'!$B$16,Paramètres!$A$1:$I$88,5,0)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projet'!$B$16,Paramètres!$A$1:$I$88,7,0))</f>
        <v>0</v>
      </c>
      <c r="FO189" s="17">
        <f>IF(ISNA(VLOOKUP(A189,'Données projet'!$A$217:$I$237,6,0)),0%,VLOOKUP(A189,'Données projet'!$A$217:$I$237,6,0)*VLOOKUP('Données projet'!$B$16,Paramètres!$A$1:$I$88,7,0))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projet'!$B$16,Paramètres!$A$1:$I$88,3,0)*0.475*44/12</f>
        <v>#N/A</v>
      </c>
      <c r="FR189" s="23" t="e">
        <f>EXP(-LN(2)/25)*FR188+(1-EXP(-LN(2)/25))/(LN(2)/25)*Calculateur!FM189*Calculateur!FO189*VLOOKUP('Données projet'!$B$16,Paramètres!$A$1:$I$88,3,0)*0.475*44/12</f>
        <v>#N/A</v>
      </c>
      <c r="FS189" s="23" t="e">
        <f>EXP(-LN(2)/2)*FS188+(1-EXP(-LN(2)/2))/(LN(2)/2)*FM189*FP189*VLOOKUP('Données projet'!$B$16,Paramètres!$A$1:$I$88,3,0)*0.475*44/12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projet'!$B$17,Paramètres!$A$1:$I$88,3,0)*VLOOKUP('Données projet'!$B$17,Paramètres!$A$1:$I$88,5,0)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projet'!$B$17,Paramètres!$A$1:$I$88,7,0))</f>
        <v>0</v>
      </c>
      <c r="GJ189" s="17">
        <f>IF(ISNA(VLOOKUP(A189,'Données projet'!$A$243:$I$263,6,0)),0%,VLOOKUP(A189,'Données projet'!$A$243:$I$263,6,0)*VLOOKUP('Données projet'!$B$17,Paramètres!$A$1:$I$88,7,0))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projet'!$B$17,Paramètres!$A$1:$I$88,3,0)*0.475*44/12</f>
        <v>#N/A</v>
      </c>
      <c r="GM189" s="23" t="e">
        <f>EXP(-LN(2)/25)*GM188+(1-EXP(-LN(2)/25))/(LN(2)/25)*Calculateur!GH189*Calculateur!GJ189*VLOOKUP('Données projet'!$B$17,Paramètres!$A$1:$I$88,3,0)*0.475*44/12</f>
        <v>#N/A</v>
      </c>
      <c r="GN189" s="23" t="e">
        <f>EXP(-LN(2)/2)*GN188+(1-EXP(-LN(2)/2))/(LN(2)/2)*GH189*GK189*VLOOKUP('Données projet'!$B$17,Paramètres!$A$1:$I$88,3,0)*0.475*44/12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projet'!$B$18,Paramètres!$A$1:$I$88,3,0)*VLOOKUP('Données projet'!$B$18,Paramètres!$A$1:$I$88,5,0)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projet'!$B$18,Paramètres!$A$1:$I$88,7,0))</f>
        <v>0</v>
      </c>
      <c r="HE189" s="17">
        <f>IF(ISNA(VLOOKUP(A189,'Données projet'!$A$269:$I$289,6,0)),0%,VLOOKUP(A189,'Données projet'!$A$269:$I$289,6,0)*VLOOKUP('Données projet'!$B$18,Paramètres!$A$1:$I$88,7,0))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projet'!$B$18,Paramètres!$A$1:$I$88,3,0)*0.475*44/12</f>
        <v>#N/A</v>
      </c>
      <c r="HH189" s="23" t="e">
        <f>EXP(-LN(2)/25)*HH188+(1-EXP(-LN(2)/25))/(LN(2)/25)*Calculateur!HC189*Calculateur!HE189*VLOOKUP('Données projet'!$B$18,Paramètres!$A$1:$I$88,3,0)*0.475*44/12</f>
        <v>#N/A</v>
      </c>
      <c r="HI189" s="23" t="e">
        <f>EXP(-LN(2)/2)*HI188+(1-EXP(-LN(2)/2))/(LN(2)/2)*HC189*HF189*VLOOKUP('Données projet'!$B$18,Paramètres!$A$1:$I$88,3,0)*0.475*44/12</f>
        <v>#N/A</v>
      </c>
      <c r="HJ189" s="24" t="e">
        <f t="shared" si="190"/>
        <v>#N/A</v>
      </c>
    </row>
    <row r="190" spans="1:218" x14ac:dyDescent="0.3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4.5474735088646412E-13</v>
      </c>
      <c r="O190" s="14">
        <f>N190*VLOOKUP('Données projet'!$B$9,Paramètres!$A$1:$I$88,3,0)*VLOOKUP('Données projet'!$B$9,Paramètres!$A$1:$I$88,5,0)</f>
        <v>2.5420376914553347E-13</v>
      </c>
      <c r="P190" s="14">
        <f t="shared" si="141"/>
        <v>3.4258699088369875E-12</v>
      </c>
      <c r="Q190" s="22">
        <f t="shared" si="162"/>
        <v>6.4094616558195571E-12</v>
      </c>
      <c r="R190" s="62">
        <f t="shared" si="109"/>
        <v>289.85810977946284</v>
      </c>
      <c r="S190" s="62">
        <f ca="1">AVERAGE(OFFSET($R$3,0,0,'Données projet'!$E$9+1,1))-AVERAGE(OFFSET($H$3,0,0,'Données projet'!$E$9+1,1))</f>
        <v>367.03450586441784</v>
      </c>
      <c r="T190" s="62">
        <f t="shared" si="142"/>
        <v>413.14502442862897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projet'!$B$9,Paramètres!$A$1:$I$88,7,0))</f>
        <v>0</v>
      </c>
      <c r="X190" s="17">
        <f>IF(ISNA(VLOOKUP(A190,'Données projet'!$A$35:$I$55,6,0)),0%,VLOOKUP(A190,'Données projet'!$A$35:$I$55,6,0)*VLOOKUP('Données projet'!$B$9,Paramètres!$A$1:$I$88,7,0))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projet'!$B$9,Paramètres!$A$1:$I$88,3,0)*0.475*44/12</f>
        <v>19.361570253122256</v>
      </c>
      <c r="AA190" s="23">
        <f>EXP(-LN(2)/25)*AA189+(1-EXP(-LN(2)/25))/(LN(2)/25)*Calculateur!V190*Calculateur!X190*VLOOKUP('Données projet'!$B$9,Paramètres!$A$1:$I$88,3,0)*0.475*44/12</f>
        <v>3.9084112058236897</v>
      </c>
      <c r="AB190" s="23">
        <f>EXP(-LN(2)/2)*AB189+(1-EXP(-LN(2)/2))/(LN(2)/2)*V190*Y190*VLOOKUP('Données projet'!$B$9,Paramètres!$A$1:$I$88,3,0)*0.475*44/12</f>
        <v>0</v>
      </c>
      <c r="AC190" s="24">
        <f t="shared" si="163"/>
        <v>23.269981458945946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projet'!$B$10,Paramètres!$A$1:$I$88,3,0)*VLOOKUP('Données projet'!$B$10,Paramètres!$A$1:$I$88,5,0)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projet'!$B$10,Paramètres!$A$1:$I$88,7,0))</f>
        <v>0</v>
      </c>
      <c r="AS190" s="17">
        <f>IF(ISNA(VLOOKUP(A190,'Données projet'!$A$61:$I$81,6,0)),0%,VLOOKUP(A190,'Données projet'!$A$61:$I$81,6,0)*VLOOKUP('Données projet'!$B$10,Paramètres!$A$1:$I$88,7,0))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projet'!$B$10,Paramètres!$A$1:$I$88,3,0)*0.475*44/12</f>
        <v>#N/A</v>
      </c>
      <c r="AV190" s="23" t="e">
        <f>EXP(-LN(2)/25)*AV189+(1-EXP(-LN(2)/25))/(LN(2)/25)*Calculateur!AQ190*Calculateur!AS190*VLOOKUP('Données projet'!$B$10,Paramètres!$A$1:$I$88,3,0)*0.475*44/12</f>
        <v>#N/A</v>
      </c>
      <c r="AW190" s="23" t="e">
        <f>EXP(-LN(2)/2)*AW189+(1-EXP(-LN(2)/2))/(LN(2)/2)*AQ190*AT190*VLOOKUP('Données projet'!$B$10,Paramètres!$A$1:$I$88,3,0)*0.475*44/12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projet'!$B$11,Paramètres!$A$1:$I$88,3,0)*VLOOKUP('Données projet'!$B$11,Paramètres!$A$1:$I$88,5,0)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projet'!$B$11,Paramètres!$A$1:$I$88,7,0))</f>
        <v>0</v>
      </c>
      <c r="BN190" s="17">
        <f>IF(ISNA(VLOOKUP(A190,'Données projet'!$A$87:$I$107,6,0)),0%,VLOOKUP(A190,'Données projet'!$A$87:$I$107,6,0)*VLOOKUP('Données projet'!$B$11,Paramètres!$A$1:$I$88,7,0))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projet'!$B$11,Paramètres!$A$1:$I$88,3,0)*0.475*44/12</f>
        <v>#N/A</v>
      </c>
      <c r="BQ190" s="23" t="e">
        <f>EXP(-LN(2)/25)*BQ189+(1-EXP(-LN(2)/25))/(LN(2)/25)*Calculateur!BL190*Calculateur!BN190*VLOOKUP('Données projet'!$B$11,Paramètres!$A$1:$I$88,3,0)*0.475*44/12</f>
        <v>#N/A</v>
      </c>
      <c r="BR190" s="23" t="e">
        <f>EXP(-LN(2)/2)*BR189+(1-EXP(-LN(2)/2))/(LN(2)/2)*BL190*BO190*VLOOKUP('Données projet'!$B$11,Paramètres!$A$1:$I$88,3,0)*0.475*44/12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projet'!$B$12,Paramètres!$A$1:$I$88,3,0)*VLOOKUP('Données projet'!$B$12,Paramètres!$A$1:$I$88,5,0)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projet'!$B$12,Paramètres!$A$1:$I$88,7,0))</f>
        <v>0</v>
      </c>
      <c r="CI190" s="17">
        <f>IF(ISNA(VLOOKUP(A190,'Données projet'!$A$113:$I$133,6,0)),0%,VLOOKUP(A190,'Données projet'!$A$113:$I$133,6,0)*VLOOKUP('Données projet'!$B$12,Paramètres!$A$1:$I$88,7,0))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projet'!$B$12,Paramètres!$A$1:$I$88,3,0)*0.475*44/12</f>
        <v>#N/A</v>
      </c>
      <c r="CL190" s="23" t="e">
        <f>EXP(-LN(2)/25)*CL189+(1-EXP(-LN(2)/25))/(LN(2)/25)*Calculateur!CG190*Calculateur!CI190*VLOOKUP('Données projet'!$B$12,Paramètres!$A$1:$I$88,3,0)*0.475*44/12</f>
        <v>#N/A</v>
      </c>
      <c r="CM190" s="23" t="e">
        <f>EXP(-LN(2)/2)*CM189+(1-EXP(-LN(2)/2))/(LN(2)/2)*CG190*CJ190*VLOOKUP('Données projet'!$B$12,Paramètres!$A$1:$I$88,3,0)*0.475*44/12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projet'!$B$13,Paramètres!$A$1:$I$88,3,0)*VLOOKUP('Données projet'!$B$13,Paramètres!$A$1:$I$88,5,0)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projet'!$B$13,Paramètres!$A$1:$I$88,7,0))</f>
        <v>0</v>
      </c>
      <c r="DD190" s="17">
        <f>IF(ISNA(VLOOKUP(A190,'Données projet'!$A$139:$I$159,6,0)),0%,VLOOKUP(A190,'Données projet'!$A$139:$I$159,6,0)*VLOOKUP('Données projet'!$B$13,Paramètres!$A$1:$I$88,7,0))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projet'!$B$13,Paramètres!$A$1:$I$88,3,0)*0.475*44/12</f>
        <v>#N/A</v>
      </c>
      <c r="DG190" s="23" t="e">
        <f>EXP(-LN(2)/25)*DG189+(1-EXP(-LN(2)/25))/(LN(2)/25)*Calculateur!DB190*Calculateur!DD190*VLOOKUP('Données projet'!$B$13,Paramètres!$A$1:$I$88,3,0)*0.475*44/12</f>
        <v>#N/A</v>
      </c>
      <c r="DH190" s="23" t="e">
        <f>EXP(-LN(2)/2)*DH189+(1-EXP(-LN(2)/2))/(LN(2)/2)*DB190*DE190*VLOOKUP('Données projet'!$B$13,Paramètres!$A$1:$I$88,3,0)*0.475*44/12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projet'!$B$14,Paramètres!$A$1:$I$88,3,0)*VLOOKUP('Données projet'!$B$14,Paramètres!$A$1:$I$88,5,0)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projet'!$B$14,Paramètres!$A$1:$I$88,7,0))</f>
        <v>0</v>
      </c>
      <c r="DY190" s="17">
        <f>IF(ISNA(VLOOKUP(A190,'Données projet'!$A$165:$I$185,6,0)),0%,VLOOKUP(A190,'Données projet'!$A$165:$I$185,6,0)*VLOOKUP('Données projet'!$B$14,Paramètres!$A$1:$I$88,7,0))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projet'!$B$14,Paramètres!$A$1:$I$88,3,0)*0.475*44/12</f>
        <v>#N/A</v>
      </c>
      <c r="EB190" s="23" t="e">
        <f>EXP(-LN(2)/25)*EB189+(1-EXP(-LN(2)/25))/(LN(2)/25)*Calculateur!DW190*Calculateur!DY190*VLOOKUP('Données projet'!$B$14,Paramètres!$A$1:$I$88,3,0)*0.475*44/12</f>
        <v>#N/A</v>
      </c>
      <c r="EC190" s="23" t="e">
        <f>EXP(-LN(2)/2)*EC189+(1-EXP(-LN(2)/2))/(LN(2)/2)*DW190*DZ190*VLOOKUP('Données projet'!$B$14,Paramètres!$A$1:$I$88,3,0)*0.475*44/12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projet'!$B$15,Paramètres!$A$1:$I$88,3,0)*VLOOKUP('Données projet'!$B$15,Paramètres!$A$1:$I$88,5,0)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projet'!$B$15,Paramètres!$A$1:$I$88,7,0))</f>
        <v>0</v>
      </c>
      <c r="ET190" s="17">
        <f>IF(ISNA(VLOOKUP(A190,'Données projet'!$A$191:$I$211,6,0)),0%,VLOOKUP(A190,'Données projet'!$A$191:$I$211,6,0)*VLOOKUP('Données projet'!$B$15,Paramètres!$A$1:$I$88,7,0))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projet'!$B$15,Paramètres!$A$1:$I$88,3,0)*0.475*44/12</f>
        <v>#N/A</v>
      </c>
      <c r="EW190" s="23" t="e">
        <f>EXP(-LN(2)/25)*EW189+(1-EXP(-LN(2)/25))/(LN(2)/25)*Calculateur!ER190*Calculateur!ET190*VLOOKUP('Données projet'!$B$15,Paramètres!$A$1:$I$88,3,0)*0.475*44/12</f>
        <v>#N/A</v>
      </c>
      <c r="EX190" s="23" t="e">
        <f>EXP(-LN(2)/2)*EX189+(1-EXP(-LN(2)/2))/(LN(2)/2)*ER190*EU190*VLOOKUP('Données projet'!$B$15,Paramètres!$A$1:$I$88,3,0)*0.475*44/12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projet'!$B$16,Paramètres!$A$1:$I$88,3,0)*VLOOKUP('Données projet'!$B$16,Paramètres!$A$1:$I$88,5,0)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projet'!$B$16,Paramètres!$A$1:$I$88,7,0))</f>
        <v>0</v>
      </c>
      <c r="FO190" s="17">
        <f>IF(ISNA(VLOOKUP(A190,'Données projet'!$A$217:$I$237,6,0)),0%,VLOOKUP(A190,'Données projet'!$A$217:$I$237,6,0)*VLOOKUP('Données projet'!$B$16,Paramètres!$A$1:$I$88,7,0))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projet'!$B$16,Paramètres!$A$1:$I$88,3,0)*0.475*44/12</f>
        <v>#N/A</v>
      </c>
      <c r="FR190" s="23" t="e">
        <f>EXP(-LN(2)/25)*FR189+(1-EXP(-LN(2)/25))/(LN(2)/25)*Calculateur!FM190*Calculateur!FO190*VLOOKUP('Données projet'!$B$16,Paramètres!$A$1:$I$88,3,0)*0.475*44/12</f>
        <v>#N/A</v>
      </c>
      <c r="FS190" s="23" t="e">
        <f>EXP(-LN(2)/2)*FS189+(1-EXP(-LN(2)/2))/(LN(2)/2)*FM190*FP190*VLOOKUP('Données projet'!$B$16,Paramètres!$A$1:$I$88,3,0)*0.475*44/12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projet'!$B$17,Paramètres!$A$1:$I$88,3,0)*VLOOKUP('Données projet'!$B$17,Paramètres!$A$1:$I$88,5,0)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projet'!$B$17,Paramètres!$A$1:$I$88,7,0))</f>
        <v>0</v>
      </c>
      <c r="GJ190" s="17">
        <f>IF(ISNA(VLOOKUP(A190,'Données projet'!$A$243:$I$263,6,0)),0%,VLOOKUP(A190,'Données projet'!$A$243:$I$263,6,0)*VLOOKUP('Données projet'!$B$17,Paramètres!$A$1:$I$88,7,0))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projet'!$B$17,Paramètres!$A$1:$I$88,3,0)*0.475*44/12</f>
        <v>#N/A</v>
      </c>
      <c r="GM190" s="23" t="e">
        <f>EXP(-LN(2)/25)*GM189+(1-EXP(-LN(2)/25))/(LN(2)/25)*Calculateur!GH190*Calculateur!GJ190*VLOOKUP('Données projet'!$B$17,Paramètres!$A$1:$I$88,3,0)*0.475*44/12</f>
        <v>#N/A</v>
      </c>
      <c r="GN190" s="23" t="e">
        <f>EXP(-LN(2)/2)*GN189+(1-EXP(-LN(2)/2))/(LN(2)/2)*GH190*GK190*VLOOKUP('Données projet'!$B$17,Paramètres!$A$1:$I$88,3,0)*0.475*44/12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projet'!$B$18,Paramètres!$A$1:$I$88,3,0)*VLOOKUP('Données projet'!$B$18,Paramètres!$A$1:$I$88,5,0)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projet'!$B$18,Paramètres!$A$1:$I$88,7,0))</f>
        <v>0</v>
      </c>
      <c r="HE190" s="17">
        <f>IF(ISNA(VLOOKUP(A190,'Données projet'!$A$269:$I$289,6,0)),0%,VLOOKUP(A190,'Données projet'!$A$269:$I$289,6,0)*VLOOKUP('Données projet'!$B$18,Paramètres!$A$1:$I$88,7,0))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projet'!$B$18,Paramètres!$A$1:$I$88,3,0)*0.475*44/12</f>
        <v>#N/A</v>
      </c>
      <c r="HH190" s="23" t="e">
        <f>EXP(-LN(2)/25)*HH189+(1-EXP(-LN(2)/25))/(LN(2)/25)*Calculateur!HC190*Calculateur!HE190*VLOOKUP('Données projet'!$B$18,Paramètres!$A$1:$I$88,3,0)*0.475*44/12</f>
        <v>#N/A</v>
      </c>
      <c r="HI190" s="23" t="e">
        <f>EXP(-LN(2)/2)*HI189+(1-EXP(-LN(2)/2))/(LN(2)/2)*HC190*HF190*VLOOKUP('Données projet'!$B$18,Paramètres!$A$1:$I$88,3,0)*0.475*44/12</f>
        <v>#N/A</v>
      </c>
      <c r="HJ190" s="24" t="e">
        <f t="shared" si="190"/>
        <v>#N/A</v>
      </c>
    </row>
    <row r="191" spans="1:218" x14ac:dyDescent="0.3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4.5474735088646412E-13</v>
      </c>
      <c r="O191" s="14">
        <f>N191*VLOOKUP('Données projet'!$B$9,Paramètres!$A$1:$I$88,3,0)*VLOOKUP('Données projet'!$B$9,Paramètres!$A$1:$I$88,5,0)</f>
        <v>2.5420376914553347E-13</v>
      </c>
      <c r="P191" s="14">
        <f t="shared" si="141"/>
        <v>3.4258699088369875E-12</v>
      </c>
      <c r="Q191" s="22">
        <f t="shared" si="162"/>
        <v>6.4094616558195571E-12</v>
      </c>
      <c r="R191" s="62">
        <f t="shared" si="109"/>
        <v>289.91839713868666</v>
      </c>
      <c r="S191" s="62">
        <f ca="1">AVERAGE(OFFSET($R$3,0,0,'Données projet'!$E$9+1,1))-AVERAGE(OFFSET($H$3,0,0,'Données projet'!$E$9+1,1))</f>
        <v>367.03450586441784</v>
      </c>
      <c r="T191" s="62">
        <f t="shared" si="142"/>
        <v>413.14502442862897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projet'!$B$9,Paramètres!$A$1:$I$88,7,0))</f>
        <v>0</v>
      </c>
      <c r="X191" s="17">
        <f>IF(ISNA(VLOOKUP(A191,'Données projet'!$A$35:$I$55,6,0)),0%,VLOOKUP(A191,'Données projet'!$A$35:$I$55,6,0)*VLOOKUP('Données projet'!$B$9,Paramètres!$A$1:$I$88,7,0))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projet'!$B$9,Paramètres!$A$1:$I$88,3,0)*0.475*44/12</f>
        <v>18.981901669850302</v>
      </c>
      <c r="AA191" s="23">
        <f>EXP(-LN(2)/25)*AA190+(1-EXP(-LN(2)/25))/(LN(2)/25)*Calculateur!V191*Calculateur!X191*VLOOKUP('Données projet'!$B$9,Paramètres!$A$1:$I$88,3,0)*0.475*44/12</f>
        <v>3.8015354958660286</v>
      </c>
      <c r="AB191" s="23">
        <f>EXP(-LN(2)/2)*AB190+(1-EXP(-LN(2)/2))/(LN(2)/2)*V191*Y191*VLOOKUP('Données projet'!$B$9,Paramètres!$A$1:$I$88,3,0)*0.475*44/12</f>
        <v>0</v>
      </c>
      <c r="AC191" s="24">
        <f t="shared" si="163"/>
        <v>22.783437165716329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projet'!$B$10,Paramètres!$A$1:$I$88,3,0)*VLOOKUP('Données projet'!$B$10,Paramètres!$A$1:$I$88,5,0)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projet'!$B$10,Paramètres!$A$1:$I$88,7,0))</f>
        <v>0</v>
      </c>
      <c r="AS191" s="17">
        <f>IF(ISNA(VLOOKUP(A191,'Données projet'!$A$61:$I$81,6,0)),0%,VLOOKUP(A191,'Données projet'!$A$61:$I$81,6,0)*VLOOKUP('Données projet'!$B$10,Paramètres!$A$1:$I$88,7,0))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projet'!$B$10,Paramètres!$A$1:$I$88,3,0)*0.475*44/12</f>
        <v>#N/A</v>
      </c>
      <c r="AV191" s="23" t="e">
        <f>EXP(-LN(2)/25)*AV190+(1-EXP(-LN(2)/25))/(LN(2)/25)*Calculateur!AQ191*Calculateur!AS191*VLOOKUP('Données projet'!$B$10,Paramètres!$A$1:$I$88,3,0)*0.475*44/12</f>
        <v>#N/A</v>
      </c>
      <c r="AW191" s="23" t="e">
        <f>EXP(-LN(2)/2)*AW190+(1-EXP(-LN(2)/2))/(LN(2)/2)*AQ191*AT191*VLOOKUP('Données projet'!$B$10,Paramètres!$A$1:$I$88,3,0)*0.475*44/12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projet'!$B$11,Paramètres!$A$1:$I$88,3,0)*VLOOKUP('Données projet'!$B$11,Paramètres!$A$1:$I$88,5,0)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projet'!$B$11,Paramètres!$A$1:$I$88,7,0))</f>
        <v>0</v>
      </c>
      <c r="BN191" s="17">
        <f>IF(ISNA(VLOOKUP(A191,'Données projet'!$A$87:$I$107,6,0)),0%,VLOOKUP(A191,'Données projet'!$A$87:$I$107,6,0)*VLOOKUP('Données projet'!$B$11,Paramètres!$A$1:$I$88,7,0))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projet'!$B$11,Paramètres!$A$1:$I$88,3,0)*0.475*44/12</f>
        <v>#N/A</v>
      </c>
      <c r="BQ191" s="23" t="e">
        <f>EXP(-LN(2)/25)*BQ190+(1-EXP(-LN(2)/25))/(LN(2)/25)*Calculateur!BL191*Calculateur!BN191*VLOOKUP('Données projet'!$B$11,Paramètres!$A$1:$I$88,3,0)*0.475*44/12</f>
        <v>#N/A</v>
      </c>
      <c r="BR191" s="23" t="e">
        <f>EXP(-LN(2)/2)*BR190+(1-EXP(-LN(2)/2))/(LN(2)/2)*BL191*BO191*VLOOKUP('Données projet'!$B$11,Paramètres!$A$1:$I$88,3,0)*0.475*44/12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projet'!$B$12,Paramètres!$A$1:$I$88,3,0)*VLOOKUP('Données projet'!$B$12,Paramètres!$A$1:$I$88,5,0)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projet'!$B$12,Paramètres!$A$1:$I$88,7,0))</f>
        <v>0</v>
      </c>
      <c r="CI191" s="17">
        <f>IF(ISNA(VLOOKUP(A191,'Données projet'!$A$113:$I$133,6,0)),0%,VLOOKUP(A191,'Données projet'!$A$113:$I$133,6,0)*VLOOKUP('Données projet'!$B$12,Paramètres!$A$1:$I$88,7,0))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projet'!$B$12,Paramètres!$A$1:$I$88,3,0)*0.475*44/12</f>
        <v>#N/A</v>
      </c>
      <c r="CL191" s="23" t="e">
        <f>EXP(-LN(2)/25)*CL190+(1-EXP(-LN(2)/25))/(LN(2)/25)*Calculateur!CG191*Calculateur!CI191*VLOOKUP('Données projet'!$B$12,Paramètres!$A$1:$I$88,3,0)*0.475*44/12</f>
        <v>#N/A</v>
      </c>
      <c r="CM191" s="23" t="e">
        <f>EXP(-LN(2)/2)*CM190+(1-EXP(-LN(2)/2))/(LN(2)/2)*CG191*CJ191*VLOOKUP('Données projet'!$B$12,Paramètres!$A$1:$I$88,3,0)*0.475*44/12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projet'!$B$13,Paramètres!$A$1:$I$88,3,0)*VLOOKUP('Données projet'!$B$13,Paramètres!$A$1:$I$88,5,0)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projet'!$B$13,Paramètres!$A$1:$I$88,7,0))</f>
        <v>0</v>
      </c>
      <c r="DD191" s="17">
        <f>IF(ISNA(VLOOKUP(A191,'Données projet'!$A$139:$I$159,6,0)),0%,VLOOKUP(A191,'Données projet'!$A$139:$I$159,6,0)*VLOOKUP('Données projet'!$B$13,Paramètres!$A$1:$I$88,7,0))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projet'!$B$13,Paramètres!$A$1:$I$88,3,0)*0.475*44/12</f>
        <v>#N/A</v>
      </c>
      <c r="DG191" s="23" t="e">
        <f>EXP(-LN(2)/25)*DG190+(1-EXP(-LN(2)/25))/(LN(2)/25)*Calculateur!DB191*Calculateur!DD191*VLOOKUP('Données projet'!$B$13,Paramètres!$A$1:$I$88,3,0)*0.475*44/12</f>
        <v>#N/A</v>
      </c>
      <c r="DH191" s="23" t="e">
        <f>EXP(-LN(2)/2)*DH190+(1-EXP(-LN(2)/2))/(LN(2)/2)*DB191*DE191*VLOOKUP('Données projet'!$B$13,Paramètres!$A$1:$I$88,3,0)*0.475*44/12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projet'!$B$14,Paramètres!$A$1:$I$88,3,0)*VLOOKUP('Données projet'!$B$14,Paramètres!$A$1:$I$88,5,0)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projet'!$B$14,Paramètres!$A$1:$I$88,7,0))</f>
        <v>0</v>
      </c>
      <c r="DY191" s="17">
        <f>IF(ISNA(VLOOKUP(A191,'Données projet'!$A$165:$I$185,6,0)),0%,VLOOKUP(A191,'Données projet'!$A$165:$I$185,6,0)*VLOOKUP('Données projet'!$B$14,Paramètres!$A$1:$I$88,7,0))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projet'!$B$14,Paramètres!$A$1:$I$88,3,0)*0.475*44/12</f>
        <v>#N/A</v>
      </c>
      <c r="EB191" s="23" t="e">
        <f>EXP(-LN(2)/25)*EB190+(1-EXP(-LN(2)/25))/(LN(2)/25)*Calculateur!DW191*Calculateur!DY191*VLOOKUP('Données projet'!$B$14,Paramètres!$A$1:$I$88,3,0)*0.475*44/12</f>
        <v>#N/A</v>
      </c>
      <c r="EC191" s="23" t="e">
        <f>EXP(-LN(2)/2)*EC190+(1-EXP(-LN(2)/2))/(LN(2)/2)*DW191*DZ191*VLOOKUP('Données projet'!$B$14,Paramètres!$A$1:$I$88,3,0)*0.475*44/12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projet'!$B$15,Paramètres!$A$1:$I$88,3,0)*VLOOKUP('Données projet'!$B$15,Paramètres!$A$1:$I$88,5,0)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projet'!$B$15,Paramètres!$A$1:$I$88,7,0))</f>
        <v>0</v>
      </c>
      <c r="ET191" s="17">
        <f>IF(ISNA(VLOOKUP(A191,'Données projet'!$A$191:$I$211,6,0)),0%,VLOOKUP(A191,'Données projet'!$A$191:$I$211,6,0)*VLOOKUP('Données projet'!$B$15,Paramètres!$A$1:$I$88,7,0))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projet'!$B$15,Paramètres!$A$1:$I$88,3,0)*0.475*44/12</f>
        <v>#N/A</v>
      </c>
      <c r="EW191" s="23" t="e">
        <f>EXP(-LN(2)/25)*EW190+(1-EXP(-LN(2)/25))/(LN(2)/25)*Calculateur!ER191*Calculateur!ET191*VLOOKUP('Données projet'!$B$15,Paramètres!$A$1:$I$88,3,0)*0.475*44/12</f>
        <v>#N/A</v>
      </c>
      <c r="EX191" s="23" t="e">
        <f>EXP(-LN(2)/2)*EX190+(1-EXP(-LN(2)/2))/(LN(2)/2)*ER191*EU191*VLOOKUP('Données projet'!$B$15,Paramètres!$A$1:$I$88,3,0)*0.475*44/12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projet'!$B$16,Paramètres!$A$1:$I$88,3,0)*VLOOKUP('Données projet'!$B$16,Paramètres!$A$1:$I$88,5,0)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projet'!$B$16,Paramètres!$A$1:$I$88,7,0))</f>
        <v>0</v>
      </c>
      <c r="FO191" s="17">
        <f>IF(ISNA(VLOOKUP(A191,'Données projet'!$A$217:$I$237,6,0)),0%,VLOOKUP(A191,'Données projet'!$A$217:$I$237,6,0)*VLOOKUP('Données projet'!$B$16,Paramètres!$A$1:$I$88,7,0))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projet'!$B$16,Paramètres!$A$1:$I$88,3,0)*0.475*44/12</f>
        <v>#N/A</v>
      </c>
      <c r="FR191" s="23" t="e">
        <f>EXP(-LN(2)/25)*FR190+(1-EXP(-LN(2)/25))/(LN(2)/25)*Calculateur!FM191*Calculateur!FO191*VLOOKUP('Données projet'!$B$16,Paramètres!$A$1:$I$88,3,0)*0.475*44/12</f>
        <v>#N/A</v>
      </c>
      <c r="FS191" s="23" t="e">
        <f>EXP(-LN(2)/2)*FS190+(1-EXP(-LN(2)/2))/(LN(2)/2)*FM191*FP191*VLOOKUP('Données projet'!$B$16,Paramètres!$A$1:$I$88,3,0)*0.475*44/12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projet'!$B$17,Paramètres!$A$1:$I$88,3,0)*VLOOKUP('Données projet'!$B$17,Paramètres!$A$1:$I$88,5,0)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projet'!$B$17,Paramètres!$A$1:$I$88,7,0))</f>
        <v>0</v>
      </c>
      <c r="GJ191" s="17">
        <f>IF(ISNA(VLOOKUP(A191,'Données projet'!$A$243:$I$263,6,0)),0%,VLOOKUP(A191,'Données projet'!$A$243:$I$263,6,0)*VLOOKUP('Données projet'!$B$17,Paramètres!$A$1:$I$88,7,0))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projet'!$B$17,Paramètres!$A$1:$I$88,3,0)*0.475*44/12</f>
        <v>#N/A</v>
      </c>
      <c r="GM191" s="23" t="e">
        <f>EXP(-LN(2)/25)*GM190+(1-EXP(-LN(2)/25))/(LN(2)/25)*Calculateur!GH191*Calculateur!GJ191*VLOOKUP('Données projet'!$B$17,Paramètres!$A$1:$I$88,3,0)*0.475*44/12</f>
        <v>#N/A</v>
      </c>
      <c r="GN191" s="23" t="e">
        <f>EXP(-LN(2)/2)*GN190+(1-EXP(-LN(2)/2))/(LN(2)/2)*GH191*GK191*VLOOKUP('Données projet'!$B$17,Paramètres!$A$1:$I$88,3,0)*0.475*44/12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projet'!$B$18,Paramètres!$A$1:$I$88,3,0)*VLOOKUP('Données projet'!$B$18,Paramètres!$A$1:$I$88,5,0)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projet'!$B$18,Paramètres!$A$1:$I$88,7,0))</f>
        <v>0</v>
      </c>
      <c r="HE191" s="17">
        <f>IF(ISNA(VLOOKUP(A191,'Données projet'!$A$269:$I$289,6,0)),0%,VLOOKUP(A191,'Données projet'!$A$269:$I$289,6,0)*VLOOKUP('Données projet'!$B$18,Paramètres!$A$1:$I$88,7,0))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projet'!$B$18,Paramètres!$A$1:$I$88,3,0)*0.475*44/12</f>
        <v>#N/A</v>
      </c>
      <c r="HH191" s="23" t="e">
        <f>EXP(-LN(2)/25)*HH190+(1-EXP(-LN(2)/25))/(LN(2)/25)*Calculateur!HC191*Calculateur!HE191*VLOOKUP('Données projet'!$B$18,Paramètres!$A$1:$I$88,3,0)*0.475*44/12</f>
        <v>#N/A</v>
      </c>
      <c r="HI191" s="23" t="e">
        <f>EXP(-LN(2)/2)*HI190+(1-EXP(-LN(2)/2))/(LN(2)/2)*HC191*HF191*VLOOKUP('Données projet'!$B$18,Paramètres!$A$1:$I$88,3,0)*0.475*44/12</f>
        <v>#N/A</v>
      </c>
      <c r="HJ191" s="24" t="e">
        <f t="shared" si="190"/>
        <v>#N/A</v>
      </c>
    </row>
    <row r="192" spans="1:218" x14ac:dyDescent="0.3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4.5474735088646412E-13</v>
      </c>
      <c r="O192" s="14">
        <f>N192*VLOOKUP('Données projet'!$B$9,Paramètres!$A$1:$I$88,3,0)*VLOOKUP('Données projet'!$B$9,Paramètres!$A$1:$I$88,5,0)</f>
        <v>2.5420376914553347E-13</v>
      </c>
      <c r="P192" s="14">
        <f t="shared" si="141"/>
        <v>3.4258699088369875E-12</v>
      </c>
      <c r="Q192" s="22">
        <f t="shared" si="162"/>
        <v>6.4094616558195571E-12</v>
      </c>
      <c r="R192" s="62">
        <f t="shared" si="109"/>
        <v>289.97763864701028</v>
      </c>
      <c r="S192" s="62">
        <f ca="1">AVERAGE(OFFSET($R$3,0,0,'Données projet'!$E$9+1,1))-AVERAGE(OFFSET($H$3,0,0,'Données projet'!$E$9+1,1))</f>
        <v>367.03450586441784</v>
      </c>
      <c r="T192" s="62">
        <f t="shared" si="142"/>
        <v>413.14502442862897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projet'!$B$9,Paramètres!$A$1:$I$88,7,0))</f>
        <v>0</v>
      </c>
      <c r="X192" s="17">
        <f>IF(ISNA(VLOOKUP(A192,'Données projet'!$A$35:$I$55,6,0)),0%,VLOOKUP(A192,'Données projet'!$A$35:$I$55,6,0)*VLOOKUP('Données projet'!$B$9,Paramètres!$A$1:$I$88,7,0))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projet'!$B$9,Paramètres!$A$1:$I$88,3,0)*0.475*44/12</f>
        <v>18.60967815592134</v>
      </c>
      <c r="AA192" s="23">
        <f>EXP(-LN(2)/25)*AA191+(1-EXP(-LN(2)/25))/(LN(2)/25)*Calculateur!V192*Calculateur!X192*VLOOKUP('Données projet'!$B$9,Paramètres!$A$1:$I$88,3,0)*0.475*44/12</f>
        <v>3.697582307817509</v>
      </c>
      <c r="AB192" s="23">
        <f>EXP(-LN(2)/2)*AB191+(1-EXP(-LN(2)/2))/(LN(2)/2)*V192*Y192*VLOOKUP('Données projet'!$B$9,Paramètres!$A$1:$I$88,3,0)*0.475*44/12</f>
        <v>0</v>
      </c>
      <c r="AC192" s="24">
        <f t="shared" si="163"/>
        <v>22.307260463738849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projet'!$B$10,Paramètres!$A$1:$I$88,3,0)*VLOOKUP('Données projet'!$B$10,Paramètres!$A$1:$I$88,5,0)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projet'!$B$10,Paramètres!$A$1:$I$88,7,0))</f>
        <v>0</v>
      </c>
      <c r="AS192" s="17">
        <f>IF(ISNA(VLOOKUP(A192,'Données projet'!$A$61:$I$81,6,0)),0%,VLOOKUP(A192,'Données projet'!$A$61:$I$81,6,0)*VLOOKUP('Données projet'!$B$10,Paramètres!$A$1:$I$88,7,0))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projet'!$B$10,Paramètres!$A$1:$I$88,3,0)*0.475*44/12</f>
        <v>#N/A</v>
      </c>
      <c r="AV192" s="23" t="e">
        <f>EXP(-LN(2)/25)*AV191+(1-EXP(-LN(2)/25))/(LN(2)/25)*Calculateur!AQ192*Calculateur!AS192*VLOOKUP('Données projet'!$B$10,Paramètres!$A$1:$I$88,3,0)*0.475*44/12</f>
        <v>#N/A</v>
      </c>
      <c r="AW192" s="23" t="e">
        <f>EXP(-LN(2)/2)*AW191+(1-EXP(-LN(2)/2))/(LN(2)/2)*AQ192*AT192*VLOOKUP('Données projet'!$B$10,Paramètres!$A$1:$I$88,3,0)*0.475*44/12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projet'!$B$11,Paramètres!$A$1:$I$88,3,0)*VLOOKUP('Données projet'!$B$11,Paramètres!$A$1:$I$88,5,0)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projet'!$B$11,Paramètres!$A$1:$I$88,7,0))</f>
        <v>0</v>
      </c>
      <c r="BN192" s="17">
        <f>IF(ISNA(VLOOKUP(A192,'Données projet'!$A$87:$I$107,6,0)),0%,VLOOKUP(A192,'Données projet'!$A$87:$I$107,6,0)*VLOOKUP('Données projet'!$B$11,Paramètres!$A$1:$I$88,7,0))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projet'!$B$11,Paramètres!$A$1:$I$88,3,0)*0.475*44/12</f>
        <v>#N/A</v>
      </c>
      <c r="BQ192" s="23" t="e">
        <f>EXP(-LN(2)/25)*BQ191+(1-EXP(-LN(2)/25))/(LN(2)/25)*Calculateur!BL192*Calculateur!BN192*VLOOKUP('Données projet'!$B$11,Paramètres!$A$1:$I$88,3,0)*0.475*44/12</f>
        <v>#N/A</v>
      </c>
      <c r="BR192" s="23" t="e">
        <f>EXP(-LN(2)/2)*BR191+(1-EXP(-LN(2)/2))/(LN(2)/2)*BL192*BO192*VLOOKUP('Données projet'!$B$11,Paramètres!$A$1:$I$88,3,0)*0.475*44/12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projet'!$B$12,Paramètres!$A$1:$I$88,3,0)*VLOOKUP('Données projet'!$B$12,Paramètres!$A$1:$I$88,5,0)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projet'!$B$12,Paramètres!$A$1:$I$88,7,0))</f>
        <v>0</v>
      </c>
      <c r="CI192" s="17">
        <f>IF(ISNA(VLOOKUP(A192,'Données projet'!$A$113:$I$133,6,0)),0%,VLOOKUP(A192,'Données projet'!$A$113:$I$133,6,0)*VLOOKUP('Données projet'!$B$12,Paramètres!$A$1:$I$88,7,0))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projet'!$B$12,Paramètres!$A$1:$I$88,3,0)*0.475*44/12</f>
        <v>#N/A</v>
      </c>
      <c r="CL192" s="23" t="e">
        <f>EXP(-LN(2)/25)*CL191+(1-EXP(-LN(2)/25))/(LN(2)/25)*Calculateur!CG192*Calculateur!CI192*VLOOKUP('Données projet'!$B$12,Paramètres!$A$1:$I$88,3,0)*0.475*44/12</f>
        <v>#N/A</v>
      </c>
      <c r="CM192" s="23" t="e">
        <f>EXP(-LN(2)/2)*CM191+(1-EXP(-LN(2)/2))/(LN(2)/2)*CG192*CJ192*VLOOKUP('Données projet'!$B$12,Paramètres!$A$1:$I$88,3,0)*0.475*44/12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projet'!$B$13,Paramètres!$A$1:$I$88,3,0)*VLOOKUP('Données projet'!$B$13,Paramètres!$A$1:$I$88,5,0)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projet'!$B$13,Paramètres!$A$1:$I$88,7,0))</f>
        <v>0</v>
      </c>
      <c r="DD192" s="17">
        <f>IF(ISNA(VLOOKUP(A192,'Données projet'!$A$139:$I$159,6,0)),0%,VLOOKUP(A192,'Données projet'!$A$139:$I$159,6,0)*VLOOKUP('Données projet'!$B$13,Paramètres!$A$1:$I$88,7,0))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projet'!$B$13,Paramètres!$A$1:$I$88,3,0)*0.475*44/12</f>
        <v>#N/A</v>
      </c>
      <c r="DG192" s="23" t="e">
        <f>EXP(-LN(2)/25)*DG191+(1-EXP(-LN(2)/25))/(LN(2)/25)*Calculateur!DB192*Calculateur!DD192*VLOOKUP('Données projet'!$B$13,Paramètres!$A$1:$I$88,3,0)*0.475*44/12</f>
        <v>#N/A</v>
      </c>
      <c r="DH192" s="23" t="e">
        <f>EXP(-LN(2)/2)*DH191+(1-EXP(-LN(2)/2))/(LN(2)/2)*DB192*DE192*VLOOKUP('Données projet'!$B$13,Paramètres!$A$1:$I$88,3,0)*0.475*44/12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projet'!$B$14,Paramètres!$A$1:$I$88,3,0)*VLOOKUP('Données projet'!$B$14,Paramètres!$A$1:$I$88,5,0)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projet'!$B$14,Paramètres!$A$1:$I$88,7,0))</f>
        <v>0</v>
      </c>
      <c r="DY192" s="17">
        <f>IF(ISNA(VLOOKUP(A192,'Données projet'!$A$165:$I$185,6,0)),0%,VLOOKUP(A192,'Données projet'!$A$165:$I$185,6,0)*VLOOKUP('Données projet'!$B$14,Paramètres!$A$1:$I$88,7,0))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projet'!$B$14,Paramètres!$A$1:$I$88,3,0)*0.475*44/12</f>
        <v>#N/A</v>
      </c>
      <c r="EB192" s="23" t="e">
        <f>EXP(-LN(2)/25)*EB191+(1-EXP(-LN(2)/25))/(LN(2)/25)*Calculateur!DW192*Calculateur!DY192*VLOOKUP('Données projet'!$B$14,Paramètres!$A$1:$I$88,3,0)*0.475*44/12</f>
        <v>#N/A</v>
      </c>
      <c r="EC192" s="23" t="e">
        <f>EXP(-LN(2)/2)*EC191+(1-EXP(-LN(2)/2))/(LN(2)/2)*DW192*DZ192*VLOOKUP('Données projet'!$B$14,Paramètres!$A$1:$I$88,3,0)*0.475*44/12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projet'!$B$15,Paramètres!$A$1:$I$88,3,0)*VLOOKUP('Données projet'!$B$15,Paramètres!$A$1:$I$88,5,0)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projet'!$B$15,Paramètres!$A$1:$I$88,7,0))</f>
        <v>0</v>
      </c>
      <c r="ET192" s="17">
        <f>IF(ISNA(VLOOKUP(A192,'Données projet'!$A$191:$I$211,6,0)),0%,VLOOKUP(A192,'Données projet'!$A$191:$I$211,6,0)*VLOOKUP('Données projet'!$B$15,Paramètres!$A$1:$I$88,7,0))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projet'!$B$15,Paramètres!$A$1:$I$88,3,0)*0.475*44/12</f>
        <v>#N/A</v>
      </c>
      <c r="EW192" s="23" t="e">
        <f>EXP(-LN(2)/25)*EW191+(1-EXP(-LN(2)/25))/(LN(2)/25)*Calculateur!ER192*Calculateur!ET192*VLOOKUP('Données projet'!$B$15,Paramètres!$A$1:$I$88,3,0)*0.475*44/12</f>
        <v>#N/A</v>
      </c>
      <c r="EX192" s="23" t="e">
        <f>EXP(-LN(2)/2)*EX191+(1-EXP(-LN(2)/2))/(LN(2)/2)*ER192*EU192*VLOOKUP('Données projet'!$B$15,Paramètres!$A$1:$I$88,3,0)*0.475*44/12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projet'!$B$16,Paramètres!$A$1:$I$88,3,0)*VLOOKUP('Données projet'!$B$16,Paramètres!$A$1:$I$88,5,0)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projet'!$B$16,Paramètres!$A$1:$I$88,7,0))</f>
        <v>0</v>
      </c>
      <c r="FO192" s="17">
        <f>IF(ISNA(VLOOKUP(A192,'Données projet'!$A$217:$I$237,6,0)),0%,VLOOKUP(A192,'Données projet'!$A$217:$I$237,6,0)*VLOOKUP('Données projet'!$B$16,Paramètres!$A$1:$I$88,7,0))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projet'!$B$16,Paramètres!$A$1:$I$88,3,0)*0.475*44/12</f>
        <v>#N/A</v>
      </c>
      <c r="FR192" s="23" t="e">
        <f>EXP(-LN(2)/25)*FR191+(1-EXP(-LN(2)/25))/(LN(2)/25)*Calculateur!FM192*Calculateur!FO192*VLOOKUP('Données projet'!$B$16,Paramètres!$A$1:$I$88,3,0)*0.475*44/12</f>
        <v>#N/A</v>
      </c>
      <c r="FS192" s="23" t="e">
        <f>EXP(-LN(2)/2)*FS191+(1-EXP(-LN(2)/2))/(LN(2)/2)*FM192*FP192*VLOOKUP('Données projet'!$B$16,Paramètres!$A$1:$I$88,3,0)*0.475*44/12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projet'!$B$17,Paramètres!$A$1:$I$88,3,0)*VLOOKUP('Données projet'!$B$17,Paramètres!$A$1:$I$88,5,0)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projet'!$B$17,Paramètres!$A$1:$I$88,7,0))</f>
        <v>0</v>
      </c>
      <c r="GJ192" s="17">
        <f>IF(ISNA(VLOOKUP(A192,'Données projet'!$A$243:$I$263,6,0)),0%,VLOOKUP(A192,'Données projet'!$A$243:$I$263,6,0)*VLOOKUP('Données projet'!$B$17,Paramètres!$A$1:$I$88,7,0))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projet'!$B$17,Paramètres!$A$1:$I$88,3,0)*0.475*44/12</f>
        <v>#N/A</v>
      </c>
      <c r="GM192" s="23" t="e">
        <f>EXP(-LN(2)/25)*GM191+(1-EXP(-LN(2)/25))/(LN(2)/25)*Calculateur!GH192*Calculateur!GJ192*VLOOKUP('Données projet'!$B$17,Paramètres!$A$1:$I$88,3,0)*0.475*44/12</f>
        <v>#N/A</v>
      </c>
      <c r="GN192" s="23" t="e">
        <f>EXP(-LN(2)/2)*GN191+(1-EXP(-LN(2)/2))/(LN(2)/2)*GH192*GK192*VLOOKUP('Données projet'!$B$17,Paramètres!$A$1:$I$88,3,0)*0.475*44/12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projet'!$B$18,Paramètres!$A$1:$I$88,3,0)*VLOOKUP('Données projet'!$B$18,Paramètres!$A$1:$I$88,5,0)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projet'!$B$18,Paramètres!$A$1:$I$88,7,0))</f>
        <v>0</v>
      </c>
      <c r="HE192" s="17">
        <f>IF(ISNA(VLOOKUP(A192,'Données projet'!$A$269:$I$289,6,0)),0%,VLOOKUP(A192,'Données projet'!$A$269:$I$289,6,0)*VLOOKUP('Données projet'!$B$18,Paramètres!$A$1:$I$88,7,0))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projet'!$B$18,Paramètres!$A$1:$I$88,3,0)*0.475*44/12</f>
        <v>#N/A</v>
      </c>
      <c r="HH192" s="23" t="e">
        <f>EXP(-LN(2)/25)*HH191+(1-EXP(-LN(2)/25))/(LN(2)/25)*Calculateur!HC192*Calculateur!HE192*VLOOKUP('Données projet'!$B$18,Paramètres!$A$1:$I$88,3,0)*0.475*44/12</f>
        <v>#N/A</v>
      </c>
      <c r="HI192" s="23" t="e">
        <f>EXP(-LN(2)/2)*HI191+(1-EXP(-LN(2)/2))/(LN(2)/2)*HC192*HF192*VLOOKUP('Données projet'!$B$18,Paramètres!$A$1:$I$88,3,0)*0.475*44/12</f>
        <v>#N/A</v>
      </c>
      <c r="HJ192" s="24" t="e">
        <f t="shared" si="190"/>
        <v>#N/A</v>
      </c>
    </row>
    <row r="193" spans="1:218" x14ac:dyDescent="0.3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4.5474735088646412E-13</v>
      </c>
      <c r="O193" s="14">
        <f>N193*VLOOKUP('Données projet'!$B$9,Paramètres!$A$1:$I$88,3,0)*VLOOKUP('Données projet'!$B$9,Paramètres!$A$1:$I$88,5,0)</f>
        <v>2.5420376914553347E-13</v>
      </c>
      <c r="P193" s="14">
        <f t="shared" si="141"/>
        <v>3.4258699088369875E-12</v>
      </c>
      <c r="Q193" s="22">
        <f t="shared" si="162"/>
        <v>6.4094616558195571E-12</v>
      </c>
      <c r="R193" s="62">
        <f t="shared" si="109"/>
        <v>290.0358524476087</v>
      </c>
      <c r="S193" s="62">
        <f ca="1">AVERAGE(OFFSET($R$3,0,0,'Données projet'!$E$9+1,1))-AVERAGE(OFFSET($H$3,0,0,'Données projet'!$E$9+1,1))</f>
        <v>367.03450586441784</v>
      </c>
      <c r="T193" s="62">
        <f t="shared" si="142"/>
        <v>413.14502442862897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projet'!$B$9,Paramètres!$A$1:$I$88,7,0))</f>
        <v>0</v>
      </c>
      <c r="X193" s="17">
        <f>IF(ISNA(VLOOKUP(A193,'Données projet'!$A$35:$I$55,6,0)),0%,VLOOKUP(A193,'Données projet'!$A$35:$I$55,6,0)*VLOOKUP('Données projet'!$B$9,Paramètres!$A$1:$I$88,7,0))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projet'!$B$9,Paramètres!$A$1:$I$88,3,0)*0.475*44/12</f>
        <v>18.244753718066601</v>
      </c>
      <c r="AA193" s="23">
        <f>EXP(-LN(2)/25)*AA192+(1-EXP(-LN(2)/25))/(LN(2)/25)*Calculateur!V193*Calculateur!X193*VLOOKUP('Données projet'!$B$9,Paramètres!$A$1:$I$88,3,0)*0.475*44/12</f>
        <v>3.5964717251628366</v>
      </c>
      <c r="AB193" s="23">
        <f>EXP(-LN(2)/2)*AB192+(1-EXP(-LN(2)/2))/(LN(2)/2)*V193*Y193*VLOOKUP('Données projet'!$B$9,Paramètres!$A$1:$I$88,3,0)*0.475*44/12</f>
        <v>0</v>
      </c>
      <c r="AC193" s="24">
        <f t="shared" si="163"/>
        <v>21.841225443229437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projet'!$B$10,Paramètres!$A$1:$I$88,3,0)*VLOOKUP('Données projet'!$B$10,Paramètres!$A$1:$I$88,5,0)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projet'!$B$10,Paramètres!$A$1:$I$88,7,0))</f>
        <v>0</v>
      </c>
      <c r="AS193" s="17">
        <f>IF(ISNA(VLOOKUP(A193,'Données projet'!$A$61:$I$81,6,0)),0%,VLOOKUP(A193,'Données projet'!$A$61:$I$81,6,0)*VLOOKUP('Données projet'!$B$10,Paramètres!$A$1:$I$88,7,0))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projet'!$B$10,Paramètres!$A$1:$I$88,3,0)*0.475*44/12</f>
        <v>#N/A</v>
      </c>
      <c r="AV193" s="23" t="e">
        <f>EXP(-LN(2)/25)*AV192+(1-EXP(-LN(2)/25))/(LN(2)/25)*Calculateur!AQ193*Calculateur!AS193*VLOOKUP('Données projet'!$B$10,Paramètres!$A$1:$I$88,3,0)*0.475*44/12</f>
        <v>#N/A</v>
      </c>
      <c r="AW193" s="23" t="e">
        <f>EXP(-LN(2)/2)*AW192+(1-EXP(-LN(2)/2))/(LN(2)/2)*AQ193*AT193*VLOOKUP('Données projet'!$B$10,Paramètres!$A$1:$I$88,3,0)*0.475*44/12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projet'!$B$11,Paramètres!$A$1:$I$88,3,0)*VLOOKUP('Données projet'!$B$11,Paramètres!$A$1:$I$88,5,0)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projet'!$B$11,Paramètres!$A$1:$I$88,7,0))</f>
        <v>0</v>
      </c>
      <c r="BN193" s="17">
        <f>IF(ISNA(VLOOKUP(A193,'Données projet'!$A$87:$I$107,6,0)),0%,VLOOKUP(A193,'Données projet'!$A$87:$I$107,6,0)*VLOOKUP('Données projet'!$B$11,Paramètres!$A$1:$I$88,7,0))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projet'!$B$11,Paramètres!$A$1:$I$88,3,0)*0.475*44/12</f>
        <v>#N/A</v>
      </c>
      <c r="BQ193" s="23" t="e">
        <f>EXP(-LN(2)/25)*BQ192+(1-EXP(-LN(2)/25))/(LN(2)/25)*Calculateur!BL193*Calculateur!BN193*VLOOKUP('Données projet'!$B$11,Paramètres!$A$1:$I$88,3,0)*0.475*44/12</f>
        <v>#N/A</v>
      </c>
      <c r="BR193" s="23" t="e">
        <f>EXP(-LN(2)/2)*BR192+(1-EXP(-LN(2)/2))/(LN(2)/2)*BL193*BO193*VLOOKUP('Données projet'!$B$11,Paramètres!$A$1:$I$88,3,0)*0.475*44/12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projet'!$B$12,Paramètres!$A$1:$I$88,3,0)*VLOOKUP('Données projet'!$B$12,Paramètres!$A$1:$I$88,5,0)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projet'!$B$12,Paramètres!$A$1:$I$88,7,0))</f>
        <v>0</v>
      </c>
      <c r="CI193" s="17">
        <f>IF(ISNA(VLOOKUP(A193,'Données projet'!$A$113:$I$133,6,0)),0%,VLOOKUP(A193,'Données projet'!$A$113:$I$133,6,0)*VLOOKUP('Données projet'!$B$12,Paramètres!$A$1:$I$88,7,0))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projet'!$B$12,Paramètres!$A$1:$I$88,3,0)*0.475*44/12</f>
        <v>#N/A</v>
      </c>
      <c r="CL193" s="23" t="e">
        <f>EXP(-LN(2)/25)*CL192+(1-EXP(-LN(2)/25))/(LN(2)/25)*Calculateur!CG193*Calculateur!CI193*VLOOKUP('Données projet'!$B$12,Paramètres!$A$1:$I$88,3,0)*0.475*44/12</f>
        <v>#N/A</v>
      </c>
      <c r="CM193" s="23" t="e">
        <f>EXP(-LN(2)/2)*CM192+(1-EXP(-LN(2)/2))/(LN(2)/2)*CG193*CJ193*VLOOKUP('Données projet'!$B$12,Paramètres!$A$1:$I$88,3,0)*0.475*44/12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projet'!$B$13,Paramètres!$A$1:$I$88,3,0)*VLOOKUP('Données projet'!$B$13,Paramètres!$A$1:$I$88,5,0)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projet'!$B$13,Paramètres!$A$1:$I$88,7,0))</f>
        <v>0</v>
      </c>
      <c r="DD193" s="17">
        <f>IF(ISNA(VLOOKUP(A193,'Données projet'!$A$139:$I$159,6,0)),0%,VLOOKUP(A193,'Données projet'!$A$139:$I$159,6,0)*VLOOKUP('Données projet'!$B$13,Paramètres!$A$1:$I$88,7,0))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projet'!$B$13,Paramètres!$A$1:$I$88,3,0)*0.475*44/12</f>
        <v>#N/A</v>
      </c>
      <c r="DG193" s="23" t="e">
        <f>EXP(-LN(2)/25)*DG192+(1-EXP(-LN(2)/25))/(LN(2)/25)*Calculateur!DB193*Calculateur!DD193*VLOOKUP('Données projet'!$B$13,Paramètres!$A$1:$I$88,3,0)*0.475*44/12</f>
        <v>#N/A</v>
      </c>
      <c r="DH193" s="23" t="e">
        <f>EXP(-LN(2)/2)*DH192+(1-EXP(-LN(2)/2))/(LN(2)/2)*DB193*DE193*VLOOKUP('Données projet'!$B$13,Paramètres!$A$1:$I$88,3,0)*0.475*44/12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projet'!$B$14,Paramètres!$A$1:$I$88,3,0)*VLOOKUP('Données projet'!$B$14,Paramètres!$A$1:$I$88,5,0)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projet'!$B$14,Paramètres!$A$1:$I$88,7,0))</f>
        <v>0</v>
      </c>
      <c r="DY193" s="17">
        <f>IF(ISNA(VLOOKUP(A193,'Données projet'!$A$165:$I$185,6,0)),0%,VLOOKUP(A193,'Données projet'!$A$165:$I$185,6,0)*VLOOKUP('Données projet'!$B$14,Paramètres!$A$1:$I$88,7,0))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projet'!$B$14,Paramètres!$A$1:$I$88,3,0)*0.475*44/12</f>
        <v>#N/A</v>
      </c>
      <c r="EB193" s="23" t="e">
        <f>EXP(-LN(2)/25)*EB192+(1-EXP(-LN(2)/25))/(LN(2)/25)*Calculateur!DW193*Calculateur!DY193*VLOOKUP('Données projet'!$B$14,Paramètres!$A$1:$I$88,3,0)*0.475*44/12</f>
        <v>#N/A</v>
      </c>
      <c r="EC193" s="23" t="e">
        <f>EXP(-LN(2)/2)*EC192+(1-EXP(-LN(2)/2))/(LN(2)/2)*DW193*DZ193*VLOOKUP('Données projet'!$B$14,Paramètres!$A$1:$I$88,3,0)*0.475*44/12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projet'!$B$15,Paramètres!$A$1:$I$88,3,0)*VLOOKUP('Données projet'!$B$15,Paramètres!$A$1:$I$88,5,0)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projet'!$B$15,Paramètres!$A$1:$I$88,7,0))</f>
        <v>0</v>
      </c>
      <c r="ET193" s="17">
        <f>IF(ISNA(VLOOKUP(A193,'Données projet'!$A$191:$I$211,6,0)),0%,VLOOKUP(A193,'Données projet'!$A$191:$I$211,6,0)*VLOOKUP('Données projet'!$B$15,Paramètres!$A$1:$I$88,7,0))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projet'!$B$15,Paramètres!$A$1:$I$88,3,0)*0.475*44/12</f>
        <v>#N/A</v>
      </c>
      <c r="EW193" s="23" t="e">
        <f>EXP(-LN(2)/25)*EW192+(1-EXP(-LN(2)/25))/(LN(2)/25)*Calculateur!ER193*Calculateur!ET193*VLOOKUP('Données projet'!$B$15,Paramètres!$A$1:$I$88,3,0)*0.475*44/12</f>
        <v>#N/A</v>
      </c>
      <c r="EX193" s="23" t="e">
        <f>EXP(-LN(2)/2)*EX192+(1-EXP(-LN(2)/2))/(LN(2)/2)*ER193*EU193*VLOOKUP('Données projet'!$B$15,Paramètres!$A$1:$I$88,3,0)*0.475*44/12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projet'!$B$16,Paramètres!$A$1:$I$88,3,0)*VLOOKUP('Données projet'!$B$16,Paramètres!$A$1:$I$88,5,0)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projet'!$B$16,Paramètres!$A$1:$I$88,7,0))</f>
        <v>0</v>
      </c>
      <c r="FO193" s="17">
        <f>IF(ISNA(VLOOKUP(A193,'Données projet'!$A$217:$I$237,6,0)),0%,VLOOKUP(A193,'Données projet'!$A$217:$I$237,6,0)*VLOOKUP('Données projet'!$B$16,Paramètres!$A$1:$I$88,7,0))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projet'!$B$16,Paramètres!$A$1:$I$88,3,0)*0.475*44/12</f>
        <v>#N/A</v>
      </c>
      <c r="FR193" s="23" t="e">
        <f>EXP(-LN(2)/25)*FR192+(1-EXP(-LN(2)/25))/(LN(2)/25)*Calculateur!FM193*Calculateur!FO193*VLOOKUP('Données projet'!$B$16,Paramètres!$A$1:$I$88,3,0)*0.475*44/12</f>
        <v>#N/A</v>
      </c>
      <c r="FS193" s="23" t="e">
        <f>EXP(-LN(2)/2)*FS192+(1-EXP(-LN(2)/2))/(LN(2)/2)*FM193*FP193*VLOOKUP('Données projet'!$B$16,Paramètres!$A$1:$I$88,3,0)*0.475*44/12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projet'!$B$17,Paramètres!$A$1:$I$88,3,0)*VLOOKUP('Données projet'!$B$17,Paramètres!$A$1:$I$88,5,0)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projet'!$B$17,Paramètres!$A$1:$I$88,7,0))</f>
        <v>0</v>
      </c>
      <c r="GJ193" s="17">
        <f>IF(ISNA(VLOOKUP(A193,'Données projet'!$A$243:$I$263,6,0)),0%,VLOOKUP(A193,'Données projet'!$A$243:$I$263,6,0)*VLOOKUP('Données projet'!$B$17,Paramètres!$A$1:$I$88,7,0))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projet'!$B$17,Paramètres!$A$1:$I$88,3,0)*0.475*44/12</f>
        <v>#N/A</v>
      </c>
      <c r="GM193" s="23" t="e">
        <f>EXP(-LN(2)/25)*GM192+(1-EXP(-LN(2)/25))/(LN(2)/25)*Calculateur!GH193*Calculateur!GJ193*VLOOKUP('Données projet'!$B$17,Paramètres!$A$1:$I$88,3,0)*0.475*44/12</f>
        <v>#N/A</v>
      </c>
      <c r="GN193" s="23" t="e">
        <f>EXP(-LN(2)/2)*GN192+(1-EXP(-LN(2)/2))/(LN(2)/2)*GH193*GK193*VLOOKUP('Données projet'!$B$17,Paramètres!$A$1:$I$88,3,0)*0.475*44/12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projet'!$B$18,Paramètres!$A$1:$I$88,3,0)*VLOOKUP('Données projet'!$B$18,Paramètres!$A$1:$I$88,5,0)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projet'!$B$18,Paramètres!$A$1:$I$88,7,0))</f>
        <v>0</v>
      </c>
      <c r="HE193" s="17">
        <f>IF(ISNA(VLOOKUP(A193,'Données projet'!$A$269:$I$289,6,0)),0%,VLOOKUP(A193,'Données projet'!$A$269:$I$289,6,0)*VLOOKUP('Données projet'!$B$18,Paramètres!$A$1:$I$88,7,0))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projet'!$B$18,Paramètres!$A$1:$I$88,3,0)*0.475*44/12</f>
        <v>#N/A</v>
      </c>
      <c r="HH193" s="23" t="e">
        <f>EXP(-LN(2)/25)*HH192+(1-EXP(-LN(2)/25))/(LN(2)/25)*Calculateur!HC193*Calculateur!HE193*VLOOKUP('Données projet'!$B$18,Paramètres!$A$1:$I$88,3,0)*0.475*44/12</f>
        <v>#N/A</v>
      </c>
      <c r="HI193" s="23" t="e">
        <f>EXP(-LN(2)/2)*HI192+(1-EXP(-LN(2)/2))/(LN(2)/2)*HC193*HF193*VLOOKUP('Données projet'!$B$18,Paramètres!$A$1:$I$88,3,0)*0.475*44/12</f>
        <v>#N/A</v>
      </c>
      <c r="HJ193" s="24" t="e">
        <f t="shared" si="190"/>
        <v>#N/A</v>
      </c>
    </row>
    <row r="194" spans="1:218" x14ac:dyDescent="0.3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4.5474735088646412E-13</v>
      </c>
      <c r="O194" s="14">
        <f>N194*VLOOKUP('Données projet'!$B$9,Paramètres!$A$1:$I$88,3,0)*VLOOKUP('Données projet'!$B$9,Paramètres!$A$1:$I$88,5,0)</f>
        <v>2.5420376914553347E-13</v>
      </c>
      <c r="P194" s="14">
        <f t="shared" si="141"/>
        <v>3.4258699088369875E-12</v>
      </c>
      <c r="Q194" s="22">
        <f t="shared" si="162"/>
        <v>6.4094616558195571E-12</v>
      </c>
      <c r="R194" s="62">
        <f t="shared" si="109"/>
        <v>290.09305636891327</v>
      </c>
      <c r="S194" s="62">
        <f ca="1">AVERAGE(OFFSET($R$3,0,0,'Données projet'!$E$9+1,1))-AVERAGE(OFFSET($H$3,0,0,'Données projet'!$E$9+1,1))</f>
        <v>367.03450586441784</v>
      </c>
      <c r="T194" s="62">
        <f t="shared" si="142"/>
        <v>413.14502442862897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projet'!$B$9,Paramètres!$A$1:$I$88,7,0))</f>
        <v>0</v>
      </c>
      <c r="X194" s="17">
        <f>IF(ISNA(VLOOKUP(A194,'Données projet'!$A$35:$I$55,6,0)),0%,VLOOKUP(A194,'Données projet'!$A$35:$I$55,6,0)*VLOOKUP('Données projet'!$B$9,Paramètres!$A$1:$I$88,7,0))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projet'!$B$9,Paramètres!$A$1:$I$88,3,0)*0.475*44/12</f>
        <v>17.886985225856264</v>
      </c>
      <c r="AA194" s="23">
        <f>EXP(-LN(2)/25)*AA193+(1-EXP(-LN(2)/25))/(LN(2)/25)*Calculateur!V194*Calculateur!X194*VLOOKUP('Données projet'!$B$9,Paramètres!$A$1:$I$88,3,0)*0.475*44/12</f>
        <v>3.4981260167080306</v>
      </c>
      <c r="AB194" s="23">
        <f>EXP(-LN(2)/2)*AB193+(1-EXP(-LN(2)/2))/(LN(2)/2)*V194*Y194*VLOOKUP('Données projet'!$B$9,Paramètres!$A$1:$I$88,3,0)*0.475*44/12</f>
        <v>0</v>
      </c>
      <c r="AC194" s="24">
        <f t="shared" si="163"/>
        <v>21.385111242564296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projet'!$B$10,Paramètres!$A$1:$I$88,3,0)*VLOOKUP('Données projet'!$B$10,Paramètres!$A$1:$I$88,5,0)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projet'!$B$10,Paramètres!$A$1:$I$88,7,0))</f>
        <v>0</v>
      </c>
      <c r="AS194" s="17">
        <f>IF(ISNA(VLOOKUP(A194,'Données projet'!$A$61:$I$81,6,0)),0%,VLOOKUP(A194,'Données projet'!$A$61:$I$81,6,0)*VLOOKUP('Données projet'!$B$10,Paramètres!$A$1:$I$88,7,0))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projet'!$B$10,Paramètres!$A$1:$I$88,3,0)*0.475*44/12</f>
        <v>#N/A</v>
      </c>
      <c r="AV194" s="23" t="e">
        <f>EXP(-LN(2)/25)*AV193+(1-EXP(-LN(2)/25))/(LN(2)/25)*Calculateur!AQ194*Calculateur!AS194*VLOOKUP('Données projet'!$B$10,Paramètres!$A$1:$I$88,3,0)*0.475*44/12</f>
        <v>#N/A</v>
      </c>
      <c r="AW194" s="23" t="e">
        <f>EXP(-LN(2)/2)*AW193+(1-EXP(-LN(2)/2))/(LN(2)/2)*AQ194*AT194*VLOOKUP('Données projet'!$B$10,Paramètres!$A$1:$I$88,3,0)*0.475*44/12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projet'!$B$11,Paramètres!$A$1:$I$88,3,0)*VLOOKUP('Données projet'!$B$11,Paramètres!$A$1:$I$88,5,0)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projet'!$B$11,Paramètres!$A$1:$I$88,7,0))</f>
        <v>0</v>
      </c>
      <c r="BN194" s="17">
        <f>IF(ISNA(VLOOKUP(A194,'Données projet'!$A$87:$I$107,6,0)),0%,VLOOKUP(A194,'Données projet'!$A$87:$I$107,6,0)*VLOOKUP('Données projet'!$B$11,Paramètres!$A$1:$I$88,7,0))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projet'!$B$11,Paramètres!$A$1:$I$88,3,0)*0.475*44/12</f>
        <v>#N/A</v>
      </c>
      <c r="BQ194" s="23" t="e">
        <f>EXP(-LN(2)/25)*BQ193+(1-EXP(-LN(2)/25))/(LN(2)/25)*Calculateur!BL194*Calculateur!BN194*VLOOKUP('Données projet'!$B$11,Paramètres!$A$1:$I$88,3,0)*0.475*44/12</f>
        <v>#N/A</v>
      </c>
      <c r="BR194" s="23" t="e">
        <f>EXP(-LN(2)/2)*BR193+(1-EXP(-LN(2)/2))/(LN(2)/2)*BL194*BO194*VLOOKUP('Données projet'!$B$11,Paramètres!$A$1:$I$88,3,0)*0.475*44/12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projet'!$B$12,Paramètres!$A$1:$I$88,3,0)*VLOOKUP('Données projet'!$B$12,Paramètres!$A$1:$I$88,5,0)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projet'!$B$12,Paramètres!$A$1:$I$88,7,0))</f>
        <v>0</v>
      </c>
      <c r="CI194" s="17">
        <f>IF(ISNA(VLOOKUP(A194,'Données projet'!$A$113:$I$133,6,0)),0%,VLOOKUP(A194,'Données projet'!$A$113:$I$133,6,0)*VLOOKUP('Données projet'!$B$12,Paramètres!$A$1:$I$88,7,0))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projet'!$B$12,Paramètres!$A$1:$I$88,3,0)*0.475*44/12</f>
        <v>#N/A</v>
      </c>
      <c r="CL194" s="23" t="e">
        <f>EXP(-LN(2)/25)*CL193+(1-EXP(-LN(2)/25))/(LN(2)/25)*Calculateur!CG194*Calculateur!CI194*VLOOKUP('Données projet'!$B$12,Paramètres!$A$1:$I$88,3,0)*0.475*44/12</f>
        <v>#N/A</v>
      </c>
      <c r="CM194" s="23" t="e">
        <f>EXP(-LN(2)/2)*CM193+(1-EXP(-LN(2)/2))/(LN(2)/2)*CG194*CJ194*VLOOKUP('Données projet'!$B$12,Paramètres!$A$1:$I$88,3,0)*0.475*44/12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projet'!$B$13,Paramètres!$A$1:$I$88,3,0)*VLOOKUP('Données projet'!$B$13,Paramètres!$A$1:$I$88,5,0)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projet'!$B$13,Paramètres!$A$1:$I$88,7,0))</f>
        <v>0</v>
      </c>
      <c r="DD194" s="17">
        <f>IF(ISNA(VLOOKUP(A194,'Données projet'!$A$139:$I$159,6,0)),0%,VLOOKUP(A194,'Données projet'!$A$139:$I$159,6,0)*VLOOKUP('Données projet'!$B$13,Paramètres!$A$1:$I$88,7,0))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projet'!$B$13,Paramètres!$A$1:$I$88,3,0)*0.475*44/12</f>
        <v>#N/A</v>
      </c>
      <c r="DG194" s="23" t="e">
        <f>EXP(-LN(2)/25)*DG193+(1-EXP(-LN(2)/25))/(LN(2)/25)*Calculateur!DB194*Calculateur!DD194*VLOOKUP('Données projet'!$B$13,Paramètres!$A$1:$I$88,3,0)*0.475*44/12</f>
        <v>#N/A</v>
      </c>
      <c r="DH194" s="23" t="e">
        <f>EXP(-LN(2)/2)*DH193+(1-EXP(-LN(2)/2))/(LN(2)/2)*DB194*DE194*VLOOKUP('Données projet'!$B$13,Paramètres!$A$1:$I$88,3,0)*0.475*44/12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projet'!$B$14,Paramètres!$A$1:$I$88,3,0)*VLOOKUP('Données projet'!$B$14,Paramètres!$A$1:$I$88,5,0)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projet'!$B$14,Paramètres!$A$1:$I$88,7,0))</f>
        <v>0</v>
      </c>
      <c r="DY194" s="17">
        <f>IF(ISNA(VLOOKUP(A194,'Données projet'!$A$165:$I$185,6,0)),0%,VLOOKUP(A194,'Données projet'!$A$165:$I$185,6,0)*VLOOKUP('Données projet'!$B$14,Paramètres!$A$1:$I$88,7,0))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projet'!$B$14,Paramètres!$A$1:$I$88,3,0)*0.475*44/12</f>
        <v>#N/A</v>
      </c>
      <c r="EB194" s="23" t="e">
        <f>EXP(-LN(2)/25)*EB193+(1-EXP(-LN(2)/25))/(LN(2)/25)*Calculateur!DW194*Calculateur!DY194*VLOOKUP('Données projet'!$B$14,Paramètres!$A$1:$I$88,3,0)*0.475*44/12</f>
        <v>#N/A</v>
      </c>
      <c r="EC194" s="23" t="e">
        <f>EXP(-LN(2)/2)*EC193+(1-EXP(-LN(2)/2))/(LN(2)/2)*DW194*DZ194*VLOOKUP('Données projet'!$B$14,Paramètres!$A$1:$I$88,3,0)*0.475*44/12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projet'!$B$15,Paramètres!$A$1:$I$88,3,0)*VLOOKUP('Données projet'!$B$15,Paramètres!$A$1:$I$88,5,0)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projet'!$B$15,Paramètres!$A$1:$I$88,7,0))</f>
        <v>0</v>
      </c>
      <c r="ET194" s="17">
        <f>IF(ISNA(VLOOKUP(A194,'Données projet'!$A$191:$I$211,6,0)),0%,VLOOKUP(A194,'Données projet'!$A$191:$I$211,6,0)*VLOOKUP('Données projet'!$B$15,Paramètres!$A$1:$I$88,7,0))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projet'!$B$15,Paramètres!$A$1:$I$88,3,0)*0.475*44/12</f>
        <v>#N/A</v>
      </c>
      <c r="EW194" s="23" t="e">
        <f>EXP(-LN(2)/25)*EW193+(1-EXP(-LN(2)/25))/(LN(2)/25)*Calculateur!ER194*Calculateur!ET194*VLOOKUP('Données projet'!$B$15,Paramètres!$A$1:$I$88,3,0)*0.475*44/12</f>
        <v>#N/A</v>
      </c>
      <c r="EX194" s="23" t="e">
        <f>EXP(-LN(2)/2)*EX193+(1-EXP(-LN(2)/2))/(LN(2)/2)*ER194*EU194*VLOOKUP('Données projet'!$B$15,Paramètres!$A$1:$I$88,3,0)*0.475*44/12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projet'!$B$16,Paramètres!$A$1:$I$88,3,0)*VLOOKUP('Données projet'!$B$16,Paramètres!$A$1:$I$88,5,0)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projet'!$B$16,Paramètres!$A$1:$I$88,7,0))</f>
        <v>0</v>
      </c>
      <c r="FO194" s="17">
        <f>IF(ISNA(VLOOKUP(A194,'Données projet'!$A$217:$I$237,6,0)),0%,VLOOKUP(A194,'Données projet'!$A$217:$I$237,6,0)*VLOOKUP('Données projet'!$B$16,Paramètres!$A$1:$I$88,7,0))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projet'!$B$16,Paramètres!$A$1:$I$88,3,0)*0.475*44/12</f>
        <v>#N/A</v>
      </c>
      <c r="FR194" s="23" t="e">
        <f>EXP(-LN(2)/25)*FR193+(1-EXP(-LN(2)/25))/(LN(2)/25)*Calculateur!FM194*Calculateur!FO194*VLOOKUP('Données projet'!$B$16,Paramètres!$A$1:$I$88,3,0)*0.475*44/12</f>
        <v>#N/A</v>
      </c>
      <c r="FS194" s="23" t="e">
        <f>EXP(-LN(2)/2)*FS193+(1-EXP(-LN(2)/2))/(LN(2)/2)*FM194*FP194*VLOOKUP('Données projet'!$B$16,Paramètres!$A$1:$I$88,3,0)*0.475*44/12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projet'!$B$17,Paramètres!$A$1:$I$88,3,0)*VLOOKUP('Données projet'!$B$17,Paramètres!$A$1:$I$88,5,0)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projet'!$B$17,Paramètres!$A$1:$I$88,7,0))</f>
        <v>0</v>
      </c>
      <c r="GJ194" s="17">
        <f>IF(ISNA(VLOOKUP(A194,'Données projet'!$A$243:$I$263,6,0)),0%,VLOOKUP(A194,'Données projet'!$A$243:$I$263,6,0)*VLOOKUP('Données projet'!$B$17,Paramètres!$A$1:$I$88,7,0))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projet'!$B$17,Paramètres!$A$1:$I$88,3,0)*0.475*44/12</f>
        <v>#N/A</v>
      </c>
      <c r="GM194" s="23" t="e">
        <f>EXP(-LN(2)/25)*GM193+(1-EXP(-LN(2)/25))/(LN(2)/25)*Calculateur!GH194*Calculateur!GJ194*VLOOKUP('Données projet'!$B$17,Paramètres!$A$1:$I$88,3,0)*0.475*44/12</f>
        <v>#N/A</v>
      </c>
      <c r="GN194" s="23" t="e">
        <f>EXP(-LN(2)/2)*GN193+(1-EXP(-LN(2)/2))/(LN(2)/2)*GH194*GK194*VLOOKUP('Données projet'!$B$17,Paramètres!$A$1:$I$88,3,0)*0.475*44/12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projet'!$B$18,Paramètres!$A$1:$I$88,3,0)*VLOOKUP('Données projet'!$B$18,Paramètres!$A$1:$I$88,5,0)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projet'!$B$18,Paramètres!$A$1:$I$88,7,0))</f>
        <v>0</v>
      </c>
      <c r="HE194" s="17">
        <f>IF(ISNA(VLOOKUP(A194,'Données projet'!$A$269:$I$289,6,0)),0%,VLOOKUP(A194,'Données projet'!$A$269:$I$289,6,0)*VLOOKUP('Données projet'!$B$18,Paramètres!$A$1:$I$88,7,0))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projet'!$B$18,Paramètres!$A$1:$I$88,3,0)*0.475*44/12</f>
        <v>#N/A</v>
      </c>
      <c r="HH194" s="23" t="e">
        <f>EXP(-LN(2)/25)*HH193+(1-EXP(-LN(2)/25))/(LN(2)/25)*Calculateur!HC194*Calculateur!HE194*VLOOKUP('Données projet'!$B$18,Paramètres!$A$1:$I$88,3,0)*0.475*44/12</f>
        <v>#N/A</v>
      </c>
      <c r="HI194" s="23" t="e">
        <f>EXP(-LN(2)/2)*HI193+(1-EXP(-LN(2)/2))/(LN(2)/2)*HC194*HF194*VLOOKUP('Données projet'!$B$18,Paramètres!$A$1:$I$88,3,0)*0.475*44/12</f>
        <v>#N/A</v>
      </c>
      <c r="HJ194" s="24" t="e">
        <f t="shared" si="190"/>
        <v>#N/A</v>
      </c>
    </row>
    <row r="195" spans="1:218" x14ac:dyDescent="0.3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4.5474735088646412E-13</v>
      </c>
      <c r="O195" s="14">
        <f>N195*VLOOKUP('Données projet'!$B$9,Paramètres!$A$1:$I$88,3,0)*VLOOKUP('Données projet'!$B$9,Paramètres!$A$1:$I$88,5,0)</f>
        <v>2.5420376914553347E-13</v>
      </c>
      <c r="P195" s="14">
        <f t="shared" si="141"/>
        <v>3.4258699088369875E-12</v>
      </c>
      <c r="Q195" s="22">
        <f t="shared" si="162"/>
        <v>6.4094616558195571E-12</v>
      </c>
      <c r="R195" s="62">
        <f t="shared" ref="R195:R203" si="191">Q195+(I195+J195)*44/12</f>
        <v>290.14926793007209</v>
      </c>
      <c r="S195" s="62">
        <f ca="1">AVERAGE(OFFSET($R$3,0,0,'Données projet'!$E$9+1,1))-AVERAGE(OFFSET($H$3,0,0,'Données projet'!$E$9+1,1))</f>
        <v>367.03450586441784</v>
      </c>
      <c r="T195" s="62">
        <f t="shared" si="142"/>
        <v>413.14502442862897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projet'!$B$9,Paramètres!$A$1:$I$88,7,0))</f>
        <v>0</v>
      </c>
      <c r="X195" s="17">
        <f>IF(ISNA(VLOOKUP(A195,'Données projet'!$A$35:$I$55,6,0)),0%,VLOOKUP(A195,'Données projet'!$A$35:$I$55,6,0)*VLOOKUP('Données projet'!$B$9,Paramètres!$A$1:$I$88,7,0))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projet'!$B$9,Paramètres!$A$1:$I$88,3,0)*0.475*44/12</f>
        <v>17.536232355560941</v>
      </c>
      <c r="AA195" s="23">
        <f>EXP(-LN(2)/25)*AA194+(1-EXP(-LN(2)/25))/(LN(2)/25)*Calculateur!V195*Calculateur!X195*VLOOKUP('Données projet'!$B$9,Paramètres!$A$1:$I$88,3,0)*0.475*44/12</f>
        <v>3.4024695768226971</v>
      </c>
      <c r="AB195" s="23">
        <f>EXP(-LN(2)/2)*AB194+(1-EXP(-LN(2)/2))/(LN(2)/2)*V195*Y195*VLOOKUP('Données projet'!$B$9,Paramètres!$A$1:$I$88,3,0)*0.475*44/12</f>
        <v>0</v>
      </c>
      <c r="AC195" s="24">
        <f t="shared" si="163"/>
        <v>20.938701932383637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projet'!$B$10,Paramètres!$A$1:$I$88,3,0)*VLOOKUP('Données projet'!$B$10,Paramètres!$A$1:$I$88,5,0)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projet'!$B$10,Paramètres!$A$1:$I$88,7,0))</f>
        <v>0</v>
      </c>
      <c r="AS195" s="17">
        <f>IF(ISNA(VLOOKUP(A195,'Données projet'!$A$61:$I$81,6,0)),0%,VLOOKUP(A195,'Données projet'!$A$61:$I$81,6,0)*VLOOKUP('Données projet'!$B$10,Paramètres!$A$1:$I$88,7,0))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projet'!$B$10,Paramètres!$A$1:$I$88,3,0)*0.475*44/12</f>
        <v>#N/A</v>
      </c>
      <c r="AV195" s="23" t="e">
        <f>EXP(-LN(2)/25)*AV194+(1-EXP(-LN(2)/25))/(LN(2)/25)*Calculateur!AQ195*Calculateur!AS195*VLOOKUP('Données projet'!$B$10,Paramètres!$A$1:$I$88,3,0)*0.475*44/12</f>
        <v>#N/A</v>
      </c>
      <c r="AW195" s="23" t="e">
        <f>EXP(-LN(2)/2)*AW194+(1-EXP(-LN(2)/2))/(LN(2)/2)*AQ195*AT195*VLOOKUP('Données projet'!$B$10,Paramètres!$A$1:$I$88,3,0)*0.475*44/12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projet'!$B$11,Paramètres!$A$1:$I$88,3,0)*VLOOKUP('Données projet'!$B$11,Paramètres!$A$1:$I$88,5,0)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projet'!$B$11,Paramètres!$A$1:$I$88,7,0))</f>
        <v>0</v>
      </c>
      <c r="BN195" s="17">
        <f>IF(ISNA(VLOOKUP(A195,'Données projet'!$A$87:$I$107,6,0)),0%,VLOOKUP(A195,'Données projet'!$A$87:$I$107,6,0)*VLOOKUP('Données projet'!$B$11,Paramètres!$A$1:$I$88,7,0))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projet'!$B$11,Paramètres!$A$1:$I$88,3,0)*0.475*44/12</f>
        <v>#N/A</v>
      </c>
      <c r="BQ195" s="23" t="e">
        <f>EXP(-LN(2)/25)*BQ194+(1-EXP(-LN(2)/25))/(LN(2)/25)*Calculateur!BL195*Calculateur!BN195*VLOOKUP('Données projet'!$B$11,Paramètres!$A$1:$I$88,3,0)*0.475*44/12</f>
        <v>#N/A</v>
      </c>
      <c r="BR195" s="23" t="e">
        <f>EXP(-LN(2)/2)*BR194+(1-EXP(-LN(2)/2))/(LN(2)/2)*BL195*BO195*VLOOKUP('Données projet'!$B$11,Paramètres!$A$1:$I$88,3,0)*0.475*44/12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projet'!$B$12,Paramètres!$A$1:$I$88,3,0)*VLOOKUP('Données projet'!$B$12,Paramètres!$A$1:$I$88,5,0)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projet'!$B$12,Paramètres!$A$1:$I$88,7,0))</f>
        <v>0</v>
      </c>
      <c r="CI195" s="17">
        <f>IF(ISNA(VLOOKUP(A195,'Données projet'!$A$113:$I$133,6,0)),0%,VLOOKUP(A195,'Données projet'!$A$113:$I$133,6,0)*VLOOKUP('Données projet'!$B$12,Paramètres!$A$1:$I$88,7,0))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projet'!$B$12,Paramètres!$A$1:$I$88,3,0)*0.475*44/12</f>
        <v>#N/A</v>
      </c>
      <c r="CL195" s="23" t="e">
        <f>EXP(-LN(2)/25)*CL194+(1-EXP(-LN(2)/25))/(LN(2)/25)*Calculateur!CG195*Calculateur!CI195*VLOOKUP('Données projet'!$B$12,Paramètres!$A$1:$I$88,3,0)*0.475*44/12</f>
        <v>#N/A</v>
      </c>
      <c r="CM195" s="23" t="e">
        <f>EXP(-LN(2)/2)*CM194+(1-EXP(-LN(2)/2))/(LN(2)/2)*CG195*CJ195*VLOOKUP('Données projet'!$B$12,Paramètres!$A$1:$I$88,3,0)*0.475*44/12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projet'!$B$13,Paramètres!$A$1:$I$88,3,0)*VLOOKUP('Données projet'!$B$13,Paramètres!$A$1:$I$88,5,0)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projet'!$B$13,Paramètres!$A$1:$I$88,7,0))</f>
        <v>0</v>
      </c>
      <c r="DD195" s="17">
        <f>IF(ISNA(VLOOKUP(A195,'Données projet'!$A$139:$I$159,6,0)),0%,VLOOKUP(A195,'Données projet'!$A$139:$I$159,6,0)*VLOOKUP('Données projet'!$B$13,Paramètres!$A$1:$I$88,7,0))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projet'!$B$13,Paramètres!$A$1:$I$88,3,0)*0.475*44/12</f>
        <v>#N/A</v>
      </c>
      <c r="DG195" s="23" t="e">
        <f>EXP(-LN(2)/25)*DG194+(1-EXP(-LN(2)/25))/(LN(2)/25)*Calculateur!DB195*Calculateur!DD195*VLOOKUP('Données projet'!$B$13,Paramètres!$A$1:$I$88,3,0)*0.475*44/12</f>
        <v>#N/A</v>
      </c>
      <c r="DH195" s="23" t="e">
        <f>EXP(-LN(2)/2)*DH194+(1-EXP(-LN(2)/2))/(LN(2)/2)*DB195*DE195*VLOOKUP('Données projet'!$B$13,Paramètres!$A$1:$I$88,3,0)*0.475*44/12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projet'!$B$14,Paramètres!$A$1:$I$88,3,0)*VLOOKUP('Données projet'!$B$14,Paramètres!$A$1:$I$88,5,0)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projet'!$B$14,Paramètres!$A$1:$I$88,7,0))</f>
        <v>0</v>
      </c>
      <c r="DY195" s="17">
        <f>IF(ISNA(VLOOKUP(A195,'Données projet'!$A$165:$I$185,6,0)),0%,VLOOKUP(A195,'Données projet'!$A$165:$I$185,6,0)*VLOOKUP('Données projet'!$B$14,Paramètres!$A$1:$I$88,7,0))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projet'!$B$14,Paramètres!$A$1:$I$88,3,0)*0.475*44/12</f>
        <v>#N/A</v>
      </c>
      <c r="EB195" s="23" t="e">
        <f>EXP(-LN(2)/25)*EB194+(1-EXP(-LN(2)/25))/(LN(2)/25)*Calculateur!DW195*Calculateur!DY195*VLOOKUP('Données projet'!$B$14,Paramètres!$A$1:$I$88,3,0)*0.475*44/12</f>
        <v>#N/A</v>
      </c>
      <c r="EC195" s="23" t="e">
        <f>EXP(-LN(2)/2)*EC194+(1-EXP(-LN(2)/2))/(LN(2)/2)*DW195*DZ195*VLOOKUP('Données projet'!$B$14,Paramètres!$A$1:$I$88,3,0)*0.475*44/12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projet'!$B$15,Paramètres!$A$1:$I$88,3,0)*VLOOKUP('Données projet'!$B$15,Paramètres!$A$1:$I$88,5,0)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projet'!$B$15,Paramètres!$A$1:$I$88,7,0))</f>
        <v>0</v>
      </c>
      <c r="ET195" s="17">
        <f>IF(ISNA(VLOOKUP(A195,'Données projet'!$A$191:$I$211,6,0)),0%,VLOOKUP(A195,'Données projet'!$A$191:$I$211,6,0)*VLOOKUP('Données projet'!$B$15,Paramètres!$A$1:$I$88,7,0))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projet'!$B$15,Paramètres!$A$1:$I$88,3,0)*0.475*44/12</f>
        <v>#N/A</v>
      </c>
      <c r="EW195" s="23" t="e">
        <f>EXP(-LN(2)/25)*EW194+(1-EXP(-LN(2)/25))/(LN(2)/25)*Calculateur!ER195*Calculateur!ET195*VLOOKUP('Données projet'!$B$15,Paramètres!$A$1:$I$88,3,0)*0.475*44/12</f>
        <v>#N/A</v>
      </c>
      <c r="EX195" s="23" t="e">
        <f>EXP(-LN(2)/2)*EX194+(1-EXP(-LN(2)/2))/(LN(2)/2)*ER195*EU195*VLOOKUP('Données projet'!$B$15,Paramètres!$A$1:$I$88,3,0)*0.475*44/12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projet'!$B$16,Paramètres!$A$1:$I$88,3,0)*VLOOKUP('Données projet'!$B$16,Paramètres!$A$1:$I$88,5,0)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projet'!$B$16,Paramètres!$A$1:$I$88,7,0))</f>
        <v>0</v>
      </c>
      <c r="FO195" s="17">
        <f>IF(ISNA(VLOOKUP(A195,'Données projet'!$A$217:$I$237,6,0)),0%,VLOOKUP(A195,'Données projet'!$A$217:$I$237,6,0)*VLOOKUP('Données projet'!$B$16,Paramètres!$A$1:$I$88,7,0))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projet'!$B$16,Paramètres!$A$1:$I$88,3,0)*0.475*44/12</f>
        <v>#N/A</v>
      </c>
      <c r="FR195" s="23" t="e">
        <f>EXP(-LN(2)/25)*FR194+(1-EXP(-LN(2)/25))/(LN(2)/25)*Calculateur!FM195*Calculateur!FO195*VLOOKUP('Données projet'!$B$16,Paramètres!$A$1:$I$88,3,0)*0.475*44/12</f>
        <v>#N/A</v>
      </c>
      <c r="FS195" s="23" t="e">
        <f>EXP(-LN(2)/2)*FS194+(1-EXP(-LN(2)/2))/(LN(2)/2)*FM195*FP195*VLOOKUP('Données projet'!$B$16,Paramètres!$A$1:$I$88,3,0)*0.475*44/12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projet'!$B$17,Paramètres!$A$1:$I$88,3,0)*VLOOKUP('Données projet'!$B$17,Paramètres!$A$1:$I$88,5,0)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projet'!$B$17,Paramètres!$A$1:$I$88,7,0))</f>
        <v>0</v>
      </c>
      <c r="GJ195" s="17">
        <f>IF(ISNA(VLOOKUP(A195,'Données projet'!$A$243:$I$263,6,0)),0%,VLOOKUP(A195,'Données projet'!$A$243:$I$263,6,0)*VLOOKUP('Données projet'!$B$17,Paramètres!$A$1:$I$88,7,0))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projet'!$B$17,Paramètres!$A$1:$I$88,3,0)*0.475*44/12</f>
        <v>#N/A</v>
      </c>
      <c r="GM195" s="23" t="e">
        <f>EXP(-LN(2)/25)*GM194+(1-EXP(-LN(2)/25))/(LN(2)/25)*Calculateur!GH195*Calculateur!GJ195*VLOOKUP('Données projet'!$B$17,Paramètres!$A$1:$I$88,3,0)*0.475*44/12</f>
        <v>#N/A</v>
      </c>
      <c r="GN195" s="23" t="e">
        <f>EXP(-LN(2)/2)*GN194+(1-EXP(-LN(2)/2))/(LN(2)/2)*GH195*GK195*VLOOKUP('Données projet'!$B$17,Paramètres!$A$1:$I$88,3,0)*0.475*44/12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projet'!$B$18,Paramètres!$A$1:$I$88,3,0)*VLOOKUP('Données projet'!$B$18,Paramètres!$A$1:$I$88,5,0)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projet'!$B$18,Paramètres!$A$1:$I$88,7,0))</f>
        <v>0</v>
      </c>
      <c r="HE195" s="17">
        <f>IF(ISNA(VLOOKUP(A195,'Données projet'!$A$269:$I$289,6,0)),0%,VLOOKUP(A195,'Données projet'!$A$269:$I$289,6,0)*VLOOKUP('Données projet'!$B$18,Paramètres!$A$1:$I$88,7,0))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projet'!$B$18,Paramètres!$A$1:$I$88,3,0)*0.475*44/12</f>
        <v>#N/A</v>
      </c>
      <c r="HH195" s="23" t="e">
        <f>EXP(-LN(2)/25)*HH194+(1-EXP(-LN(2)/25))/(LN(2)/25)*Calculateur!HC195*Calculateur!HE195*VLOOKUP('Données projet'!$B$18,Paramètres!$A$1:$I$88,3,0)*0.475*44/12</f>
        <v>#N/A</v>
      </c>
      <c r="HI195" s="23" t="e">
        <f>EXP(-LN(2)/2)*HI194+(1-EXP(-LN(2)/2))/(LN(2)/2)*HC195*HF195*VLOOKUP('Données projet'!$B$18,Paramètres!$A$1:$I$88,3,0)*0.475*44/12</f>
        <v>#N/A</v>
      </c>
      <c r="HJ195" s="24" t="e">
        <f t="shared" si="190"/>
        <v>#N/A</v>
      </c>
    </row>
    <row r="196" spans="1:218" x14ac:dyDescent="0.3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4.5474735088646412E-13</v>
      </c>
      <c r="O196" s="14">
        <f>N196*VLOOKUP('Données projet'!$B$9,Paramètres!$A$1:$I$88,3,0)*VLOOKUP('Données projet'!$B$9,Paramètres!$A$1:$I$88,5,0)</f>
        <v>2.5420376914553347E-13</v>
      </c>
      <c r="P196" s="14">
        <f t="shared" si="141"/>
        <v>3.4258699088369875E-12</v>
      </c>
      <c r="Q196" s="22">
        <f t="shared" si="162"/>
        <v>6.4094616558195571E-12</v>
      </c>
      <c r="R196" s="62">
        <f t="shared" si="191"/>
        <v>290.20450434631493</v>
      </c>
      <c r="S196" s="62">
        <f ca="1">AVERAGE(OFFSET($R$3,0,0,'Données projet'!$E$9+1,1))-AVERAGE(OFFSET($H$3,0,0,'Données projet'!$E$9+1,1))</f>
        <v>367.03450586441784</v>
      </c>
      <c r="T196" s="62">
        <f t="shared" si="142"/>
        <v>413.14502442862897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projet'!$B$9,Paramètres!$A$1:$I$88,7,0))</f>
        <v>0</v>
      </c>
      <c r="X196" s="17">
        <f>IF(ISNA(VLOOKUP(A196,'Données projet'!$A$35:$I$55,6,0)),0%,VLOOKUP(A196,'Données projet'!$A$35:$I$55,6,0)*VLOOKUP('Données projet'!$B$9,Paramètres!$A$1:$I$88,7,0))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projet'!$B$9,Paramètres!$A$1:$I$88,3,0)*0.475*44/12</f>
        <v>17.192357535113981</v>
      </c>
      <c r="AA196" s="23">
        <f>EXP(-LN(2)/25)*AA195+(1-EXP(-LN(2)/25))/(LN(2)/25)*Calculateur!V196*Calculateur!X196*VLOOKUP('Données projet'!$B$9,Paramètres!$A$1:$I$88,3,0)*0.475*44/12</f>
        <v>3.3094288673163819</v>
      </c>
      <c r="AB196" s="23">
        <f>EXP(-LN(2)/2)*AB195+(1-EXP(-LN(2)/2))/(LN(2)/2)*V196*Y196*VLOOKUP('Données projet'!$B$9,Paramètres!$A$1:$I$88,3,0)*0.475*44/12</f>
        <v>0</v>
      </c>
      <c r="AC196" s="24">
        <f t="shared" si="163"/>
        <v>20.501786402430362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projet'!$B$10,Paramètres!$A$1:$I$88,3,0)*VLOOKUP('Données projet'!$B$10,Paramètres!$A$1:$I$88,5,0)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projet'!$B$10,Paramètres!$A$1:$I$88,7,0))</f>
        <v>0</v>
      </c>
      <c r="AS196" s="17">
        <f>IF(ISNA(VLOOKUP(A196,'Données projet'!$A$61:$I$81,6,0)),0%,VLOOKUP(A196,'Données projet'!$A$61:$I$81,6,0)*VLOOKUP('Données projet'!$B$10,Paramètres!$A$1:$I$88,7,0))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projet'!$B$10,Paramètres!$A$1:$I$88,3,0)*0.475*44/12</f>
        <v>#N/A</v>
      </c>
      <c r="AV196" s="23" t="e">
        <f>EXP(-LN(2)/25)*AV195+(1-EXP(-LN(2)/25))/(LN(2)/25)*Calculateur!AQ196*Calculateur!AS196*VLOOKUP('Données projet'!$B$10,Paramètres!$A$1:$I$88,3,0)*0.475*44/12</f>
        <v>#N/A</v>
      </c>
      <c r="AW196" s="23" t="e">
        <f>EXP(-LN(2)/2)*AW195+(1-EXP(-LN(2)/2))/(LN(2)/2)*AQ196*AT196*VLOOKUP('Données projet'!$B$10,Paramètres!$A$1:$I$88,3,0)*0.475*44/12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projet'!$B$11,Paramètres!$A$1:$I$88,3,0)*VLOOKUP('Données projet'!$B$11,Paramètres!$A$1:$I$88,5,0)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projet'!$B$11,Paramètres!$A$1:$I$88,7,0))</f>
        <v>0</v>
      </c>
      <c r="BN196" s="17">
        <f>IF(ISNA(VLOOKUP(A196,'Données projet'!$A$87:$I$107,6,0)),0%,VLOOKUP(A196,'Données projet'!$A$87:$I$107,6,0)*VLOOKUP('Données projet'!$B$11,Paramètres!$A$1:$I$88,7,0))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projet'!$B$11,Paramètres!$A$1:$I$88,3,0)*0.475*44/12</f>
        <v>#N/A</v>
      </c>
      <c r="BQ196" s="23" t="e">
        <f>EXP(-LN(2)/25)*BQ195+(1-EXP(-LN(2)/25))/(LN(2)/25)*Calculateur!BL196*Calculateur!BN196*VLOOKUP('Données projet'!$B$11,Paramètres!$A$1:$I$88,3,0)*0.475*44/12</f>
        <v>#N/A</v>
      </c>
      <c r="BR196" s="23" t="e">
        <f>EXP(-LN(2)/2)*BR195+(1-EXP(-LN(2)/2))/(LN(2)/2)*BL196*BO196*VLOOKUP('Données projet'!$B$11,Paramètres!$A$1:$I$88,3,0)*0.475*44/12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projet'!$B$12,Paramètres!$A$1:$I$88,3,0)*VLOOKUP('Données projet'!$B$12,Paramètres!$A$1:$I$88,5,0)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projet'!$B$12,Paramètres!$A$1:$I$88,7,0))</f>
        <v>0</v>
      </c>
      <c r="CI196" s="17">
        <f>IF(ISNA(VLOOKUP(A196,'Données projet'!$A$113:$I$133,6,0)),0%,VLOOKUP(A196,'Données projet'!$A$113:$I$133,6,0)*VLOOKUP('Données projet'!$B$12,Paramètres!$A$1:$I$88,7,0))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projet'!$B$12,Paramètres!$A$1:$I$88,3,0)*0.475*44/12</f>
        <v>#N/A</v>
      </c>
      <c r="CL196" s="23" t="e">
        <f>EXP(-LN(2)/25)*CL195+(1-EXP(-LN(2)/25))/(LN(2)/25)*Calculateur!CG196*Calculateur!CI196*VLOOKUP('Données projet'!$B$12,Paramètres!$A$1:$I$88,3,0)*0.475*44/12</f>
        <v>#N/A</v>
      </c>
      <c r="CM196" s="23" t="e">
        <f>EXP(-LN(2)/2)*CM195+(1-EXP(-LN(2)/2))/(LN(2)/2)*CG196*CJ196*VLOOKUP('Données projet'!$B$12,Paramètres!$A$1:$I$88,3,0)*0.475*44/12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projet'!$B$13,Paramètres!$A$1:$I$88,3,0)*VLOOKUP('Données projet'!$B$13,Paramètres!$A$1:$I$88,5,0)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projet'!$B$13,Paramètres!$A$1:$I$88,7,0))</f>
        <v>0</v>
      </c>
      <c r="DD196" s="17">
        <f>IF(ISNA(VLOOKUP(A196,'Données projet'!$A$139:$I$159,6,0)),0%,VLOOKUP(A196,'Données projet'!$A$139:$I$159,6,0)*VLOOKUP('Données projet'!$B$13,Paramètres!$A$1:$I$88,7,0))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projet'!$B$13,Paramètres!$A$1:$I$88,3,0)*0.475*44/12</f>
        <v>#N/A</v>
      </c>
      <c r="DG196" s="23" t="e">
        <f>EXP(-LN(2)/25)*DG195+(1-EXP(-LN(2)/25))/(LN(2)/25)*Calculateur!DB196*Calculateur!DD196*VLOOKUP('Données projet'!$B$13,Paramètres!$A$1:$I$88,3,0)*0.475*44/12</f>
        <v>#N/A</v>
      </c>
      <c r="DH196" s="23" t="e">
        <f>EXP(-LN(2)/2)*DH195+(1-EXP(-LN(2)/2))/(LN(2)/2)*DB196*DE196*VLOOKUP('Données projet'!$B$13,Paramètres!$A$1:$I$88,3,0)*0.475*44/12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projet'!$B$14,Paramètres!$A$1:$I$88,3,0)*VLOOKUP('Données projet'!$B$14,Paramètres!$A$1:$I$88,5,0)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projet'!$B$14,Paramètres!$A$1:$I$88,7,0))</f>
        <v>0</v>
      </c>
      <c r="DY196" s="17">
        <f>IF(ISNA(VLOOKUP(A196,'Données projet'!$A$165:$I$185,6,0)),0%,VLOOKUP(A196,'Données projet'!$A$165:$I$185,6,0)*VLOOKUP('Données projet'!$B$14,Paramètres!$A$1:$I$88,7,0))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projet'!$B$14,Paramètres!$A$1:$I$88,3,0)*0.475*44/12</f>
        <v>#N/A</v>
      </c>
      <c r="EB196" s="23" t="e">
        <f>EXP(-LN(2)/25)*EB195+(1-EXP(-LN(2)/25))/(LN(2)/25)*Calculateur!DW196*Calculateur!DY196*VLOOKUP('Données projet'!$B$14,Paramètres!$A$1:$I$88,3,0)*0.475*44/12</f>
        <v>#N/A</v>
      </c>
      <c r="EC196" s="23" t="e">
        <f>EXP(-LN(2)/2)*EC195+(1-EXP(-LN(2)/2))/(LN(2)/2)*DW196*DZ196*VLOOKUP('Données projet'!$B$14,Paramètres!$A$1:$I$88,3,0)*0.475*44/12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projet'!$B$15,Paramètres!$A$1:$I$88,3,0)*VLOOKUP('Données projet'!$B$15,Paramètres!$A$1:$I$88,5,0)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projet'!$B$15,Paramètres!$A$1:$I$88,7,0))</f>
        <v>0</v>
      </c>
      <c r="ET196" s="17">
        <f>IF(ISNA(VLOOKUP(A196,'Données projet'!$A$191:$I$211,6,0)),0%,VLOOKUP(A196,'Données projet'!$A$191:$I$211,6,0)*VLOOKUP('Données projet'!$B$15,Paramètres!$A$1:$I$88,7,0))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projet'!$B$15,Paramètres!$A$1:$I$88,3,0)*0.475*44/12</f>
        <v>#N/A</v>
      </c>
      <c r="EW196" s="23" t="e">
        <f>EXP(-LN(2)/25)*EW195+(1-EXP(-LN(2)/25))/(LN(2)/25)*Calculateur!ER196*Calculateur!ET196*VLOOKUP('Données projet'!$B$15,Paramètres!$A$1:$I$88,3,0)*0.475*44/12</f>
        <v>#N/A</v>
      </c>
      <c r="EX196" s="23" t="e">
        <f>EXP(-LN(2)/2)*EX195+(1-EXP(-LN(2)/2))/(LN(2)/2)*ER196*EU196*VLOOKUP('Données projet'!$B$15,Paramètres!$A$1:$I$88,3,0)*0.475*44/12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projet'!$B$16,Paramètres!$A$1:$I$88,3,0)*VLOOKUP('Données projet'!$B$16,Paramètres!$A$1:$I$88,5,0)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projet'!$B$16,Paramètres!$A$1:$I$88,7,0))</f>
        <v>0</v>
      </c>
      <c r="FO196" s="17">
        <f>IF(ISNA(VLOOKUP(A196,'Données projet'!$A$217:$I$237,6,0)),0%,VLOOKUP(A196,'Données projet'!$A$217:$I$237,6,0)*VLOOKUP('Données projet'!$B$16,Paramètres!$A$1:$I$88,7,0))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projet'!$B$16,Paramètres!$A$1:$I$88,3,0)*0.475*44/12</f>
        <v>#N/A</v>
      </c>
      <c r="FR196" s="23" t="e">
        <f>EXP(-LN(2)/25)*FR195+(1-EXP(-LN(2)/25))/(LN(2)/25)*Calculateur!FM196*Calculateur!FO196*VLOOKUP('Données projet'!$B$16,Paramètres!$A$1:$I$88,3,0)*0.475*44/12</f>
        <v>#N/A</v>
      </c>
      <c r="FS196" s="23" t="e">
        <f>EXP(-LN(2)/2)*FS195+(1-EXP(-LN(2)/2))/(LN(2)/2)*FM196*FP196*VLOOKUP('Données projet'!$B$16,Paramètres!$A$1:$I$88,3,0)*0.475*44/12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projet'!$B$17,Paramètres!$A$1:$I$88,3,0)*VLOOKUP('Données projet'!$B$17,Paramètres!$A$1:$I$88,5,0)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projet'!$B$17,Paramètres!$A$1:$I$88,7,0))</f>
        <v>0</v>
      </c>
      <c r="GJ196" s="17">
        <f>IF(ISNA(VLOOKUP(A196,'Données projet'!$A$243:$I$263,6,0)),0%,VLOOKUP(A196,'Données projet'!$A$243:$I$263,6,0)*VLOOKUP('Données projet'!$B$17,Paramètres!$A$1:$I$88,7,0))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projet'!$B$17,Paramètres!$A$1:$I$88,3,0)*0.475*44/12</f>
        <v>#N/A</v>
      </c>
      <c r="GM196" s="23" t="e">
        <f>EXP(-LN(2)/25)*GM195+(1-EXP(-LN(2)/25))/(LN(2)/25)*Calculateur!GH196*Calculateur!GJ196*VLOOKUP('Données projet'!$B$17,Paramètres!$A$1:$I$88,3,0)*0.475*44/12</f>
        <v>#N/A</v>
      </c>
      <c r="GN196" s="23" t="e">
        <f>EXP(-LN(2)/2)*GN195+(1-EXP(-LN(2)/2))/(LN(2)/2)*GH196*GK196*VLOOKUP('Données projet'!$B$17,Paramètres!$A$1:$I$88,3,0)*0.475*44/12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projet'!$B$18,Paramètres!$A$1:$I$88,3,0)*VLOOKUP('Données projet'!$B$18,Paramètres!$A$1:$I$88,5,0)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projet'!$B$18,Paramètres!$A$1:$I$88,7,0))</f>
        <v>0</v>
      </c>
      <c r="HE196" s="17">
        <f>IF(ISNA(VLOOKUP(A196,'Données projet'!$A$269:$I$289,6,0)),0%,VLOOKUP(A196,'Données projet'!$A$269:$I$289,6,0)*VLOOKUP('Données projet'!$B$18,Paramètres!$A$1:$I$88,7,0))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projet'!$B$18,Paramètres!$A$1:$I$88,3,0)*0.475*44/12</f>
        <v>#N/A</v>
      </c>
      <c r="HH196" s="23" t="e">
        <f>EXP(-LN(2)/25)*HH195+(1-EXP(-LN(2)/25))/(LN(2)/25)*Calculateur!HC196*Calculateur!HE196*VLOOKUP('Données projet'!$B$18,Paramètres!$A$1:$I$88,3,0)*0.475*44/12</f>
        <v>#N/A</v>
      </c>
      <c r="HI196" s="23" t="e">
        <f>EXP(-LN(2)/2)*HI195+(1-EXP(-LN(2)/2))/(LN(2)/2)*HC196*HF196*VLOOKUP('Données projet'!$B$18,Paramètres!$A$1:$I$88,3,0)*0.475*44/12</f>
        <v>#N/A</v>
      </c>
      <c r="HJ196" s="24" t="e">
        <f t="shared" si="190"/>
        <v>#N/A</v>
      </c>
    </row>
    <row r="197" spans="1:218" x14ac:dyDescent="0.3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4.5474735088646412E-13</v>
      </c>
      <c r="O197" s="14">
        <f>N197*VLOOKUP('Données projet'!$B$9,Paramètres!$A$1:$I$88,3,0)*VLOOKUP('Données projet'!$B$9,Paramètres!$A$1:$I$88,5,0)</f>
        <v>2.5420376914553347E-13</v>
      </c>
      <c r="P197" s="14">
        <f t="shared" ref="P197:P203" si="203">EXP(-1.0587+0.8836*LN(O197)+0.284)</f>
        <v>3.4258699088369875E-12</v>
      </c>
      <c r="Q197" s="22">
        <f t="shared" si="162"/>
        <v>6.4094616558195571E-12</v>
      </c>
      <c r="R197" s="62">
        <f t="shared" si="191"/>
        <v>290.25878253422616</v>
      </c>
      <c r="S197" s="62">
        <f ca="1">AVERAGE(OFFSET($R$3,0,0,'Données projet'!$E$9+1,1))-AVERAGE(OFFSET($H$3,0,0,'Données projet'!$E$9+1,1))</f>
        <v>367.03450586441784</v>
      </c>
      <c r="T197" s="62">
        <f t="shared" ref="T197:T203" si="204">$T$3</f>
        <v>413.14502442862897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projet'!$B$9,Paramètres!$A$1:$I$88,7,0))</f>
        <v>0</v>
      </c>
      <c r="X197" s="17">
        <f>IF(ISNA(VLOOKUP(A197,'Données projet'!$A$35:$I$55,6,0)),0%,VLOOKUP(A197,'Données projet'!$A$35:$I$55,6,0)*VLOOKUP('Données projet'!$B$9,Paramètres!$A$1:$I$88,7,0))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projet'!$B$9,Paramètres!$A$1:$I$88,3,0)*0.475*44/12</f>
        <v>16.855225890153054</v>
      </c>
      <c r="AA197" s="23">
        <f>EXP(-LN(2)/25)*AA196+(1-EXP(-LN(2)/25))/(LN(2)/25)*Calculateur!V197*Calculateur!X197*VLOOKUP('Données projet'!$B$9,Paramètres!$A$1:$I$88,3,0)*0.475*44/12</f>
        <v>3.218932360904315</v>
      </c>
      <c r="AB197" s="23">
        <f>EXP(-LN(2)/2)*AB196+(1-EXP(-LN(2)/2))/(LN(2)/2)*V197*Y197*VLOOKUP('Données projet'!$B$9,Paramètres!$A$1:$I$88,3,0)*0.475*44/12</f>
        <v>0</v>
      </c>
      <c r="AC197" s="24">
        <f t="shared" si="163"/>
        <v>20.074158251057369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projet'!$B$10,Paramètres!$A$1:$I$88,3,0)*VLOOKUP('Données projet'!$B$10,Paramètres!$A$1:$I$88,5,0)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projet'!$B$10,Paramètres!$A$1:$I$88,7,0))</f>
        <v>0</v>
      </c>
      <c r="AS197" s="17">
        <f>IF(ISNA(VLOOKUP(A197,'Données projet'!$A$61:$I$81,6,0)),0%,VLOOKUP(A197,'Données projet'!$A$61:$I$81,6,0)*VLOOKUP('Données projet'!$B$10,Paramètres!$A$1:$I$88,7,0))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projet'!$B$10,Paramètres!$A$1:$I$88,3,0)*0.475*44/12</f>
        <v>#N/A</v>
      </c>
      <c r="AV197" s="23" t="e">
        <f>EXP(-LN(2)/25)*AV196+(1-EXP(-LN(2)/25))/(LN(2)/25)*Calculateur!AQ197*Calculateur!AS197*VLOOKUP('Données projet'!$B$10,Paramètres!$A$1:$I$88,3,0)*0.475*44/12</f>
        <v>#N/A</v>
      </c>
      <c r="AW197" s="23" t="e">
        <f>EXP(-LN(2)/2)*AW196+(1-EXP(-LN(2)/2))/(LN(2)/2)*AQ197*AT197*VLOOKUP('Données projet'!$B$10,Paramètres!$A$1:$I$88,3,0)*0.475*44/12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projet'!$B$11,Paramètres!$A$1:$I$88,3,0)*VLOOKUP('Données projet'!$B$11,Paramètres!$A$1:$I$88,5,0)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projet'!$B$11,Paramètres!$A$1:$I$88,7,0))</f>
        <v>0</v>
      </c>
      <c r="BN197" s="17">
        <f>IF(ISNA(VLOOKUP(A197,'Données projet'!$A$87:$I$107,6,0)),0%,VLOOKUP(A197,'Données projet'!$A$87:$I$107,6,0)*VLOOKUP('Données projet'!$B$11,Paramètres!$A$1:$I$88,7,0))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projet'!$B$11,Paramètres!$A$1:$I$88,3,0)*0.475*44/12</f>
        <v>#N/A</v>
      </c>
      <c r="BQ197" s="23" t="e">
        <f>EXP(-LN(2)/25)*BQ196+(1-EXP(-LN(2)/25))/(LN(2)/25)*Calculateur!BL197*Calculateur!BN197*VLOOKUP('Données projet'!$B$11,Paramètres!$A$1:$I$88,3,0)*0.475*44/12</f>
        <v>#N/A</v>
      </c>
      <c r="BR197" s="23" t="e">
        <f>EXP(-LN(2)/2)*BR196+(1-EXP(-LN(2)/2))/(LN(2)/2)*BL197*BO197*VLOOKUP('Données projet'!$B$11,Paramètres!$A$1:$I$88,3,0)*0.475*44/12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projet'!$B$12,Paramètres!$A$1:$I$88,3,0)*VLOOKUP('Données projet'!$B$12,Paramètres!$A$1:$I$88,5,0)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projet'!$B$12,Paramètres!$A$1:$I$88,7,0))</f>
        <v>0</v>
      </c>
      <c r="CI197" s="17">
        <f>IF(ISNA(VLOOKUP(A197,'Données projet'!$A$113:$I$133,6,0)),0%,VLOOKUP(A197,'Données projet'!$A$113:$I$133,6,0)*VLOOKUP('Données projet'!$B$12,Paramètres!$A$1:$I$88,7,0))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projet'!$B$12,Paramètres!$A$1:$I$88,3,0)*0.475*44/12</f>
        <v>#N/A</v>
      </c>
      <c r="CL197" s="23" t="e">
        <f>EXP(-LN(2)/25)*CL196+(1-EXP(-LN(2)/25))/(LN(2)/25)*Calculateur!CG197*Calculateur!CI197*VLOOKUP('Données projet'!$B$12,Paramètres!$A$1:$I$88,3,0)*0.475*44/12</f>
        <v>#N/A</v>
      </c>
      <c r="CM197" s="23" t="e">
        <f>EXP(-LN(2)/2)*CM196+(1-EXP(-LN(2)/2))/(LN(2)/2)*CG197*CJ197*VLOOKUP('Données projet'!$B$12,Paramètres!$A$1:$I$88,3,0)*0.475*44/12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projet'!$B$13,Paramètres!$A$1:$I$88,3,0)*VLOOKUP('Données projet'!$B$13,Paramètres!$A$1:$I$88,5,0)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projet'!$B$13,Paramètres!$A$1:$I$88,7,0))</f>
        <v>0</v>
      </c>
      <c r="DD197" s="17">
        <f>IF(ISNA(VLOOKUP(A197,'Données projet'!$A$139:$I$159,6,0)),0%,VLOOKUP(A197,'Données projet'!$A$139:$I$159,6,0)*VLOOKUP('Données projet'!$B$13,Paramètres!$A$1:$I$88,7,0))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projet'!$B$13,Paramètres!$A$1:$I$88,3,0)*0.475*44/12</f>
        <v>#N/A</v>
      </c>
      <c r="DG197" s="23" t="e">
        <f>EXP(-LN(2)/25)*DG196+(1-EXP(-LN(2)/25))/(LN(2)/25)*Calculateur!DB197*Calculateur!DD197*VLOOKUP('Données projet'!$B$13,Paramètres!$A$1:$I$88,3,0)*0.475*44/12</f>
        <v>#N/A</v>
      </c>
      <c r="DH197" s="23" t="e">
        <f>EXP(-LN(2)/2)*DH196+(1-EXP(-LN(2)/2))/(LN(2)/2)*DB197*DE197*VLOOKUP('Données projet'!$B$13,Paramètres!$A$1:$I$88,3,0)*0.475*44/12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projet'!$B$14,Paramètres!$A$1:$I$88,3,0)*VLOOKUP('Données projet'!$B$14,Paramètres!$A$1:$I$88,5,0)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projet'!$B$14,Paramètres!$A$1:$I$88,7,0))</f>
        <v>0</v>
      </c>
      <c r="DY197" s="17">
        <f>IF(ISNA(VLOOKUP(A197,'Données projet'!$A$165:$I$185,6,0)),0%,VLOOKUP(A197,'Données projet'!$A$165:$I$185,6,0)*VLOOKUP('Données projet'!$B$14,Paramètres!$A$1:$I$88,7,0))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projet'!$B$14,Paramètres!$A$1:$I$88,3,0)*0.475*44/12</f>
        <v>#N/A</v>
      </c>
      <c r="EB197" s="23" t="e">
        <f>EXP(-LN(2)/25)*EB196+(1-EXP(-LN(2)/25))/(LN(2)/25)*Calculateur!DW197*Calculateur!DY197*VLOOKUP('Données projet'!$B$14,Paramètres!$A$1:$I$88,3,0)*0.475*44/12</f>
        <v>#N/A</v>
      </c>
      <c r="EC197" s="23" t="e">
        <f>EXP(-LN(2)/2)*EC196+(1-EXP(-LN(2)/2))/(LN(2)/2)*DW197*DZ197*VLOOKUP('Données projet'!$B$14,Paramètres!$A$1:$I$88,3,0)*0.475*44/12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projet'!$B$15,Paramètres!$A$1:$I$88,3,0)*VLOOKUP('Données projet'!$B$15,Paramètres!$A$1:$I$88,5,0)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projet'!$B$15,Paramètres!$A$1:$I$88,7,0))</f>
        <v>0</v>
      </c>
      <c r="ET197" s="17">
        <f>IF(ISNA(VLOOKUP(A197,'Données projet'!$A$191:$I$211,6,0)),0%,VLOOKUP(A197,'Données projet'!$A$191:$I$211,6,0)*VLOOKUP('Données projet'!$B$15,Paramètres!$A$1:$I$88,7,0))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projet'!$B$15,Paramètres!$A$1:$I$88,3,0)*0.475*44/12</f>
        <v>#N/A</v>
      </c>
      <c r="EW197" s="23" t="e">
        <f>EXP(-LN(2)/25)*EW196+(1-EXP(-LN(2)/25))/(LN(2)/25)*Calculateur!ER197*Calculateur!ET197*VLOOKUP('Données projet'!$B$15,Paramètres!$A$1:$I$88,3,0)*0.475*44/12</f>
        <v>#N/A</v>
      </c>
      <c r="EX197" s="23" t="e">
        <f>EXP(-LN(2)/2)*EX196+(1-EXP(-LN(2)/2))/(LN(2)/2)*ER197*EU197*VLOOKUP('Données projet'!$B$15,Paramètres!$A$1:$I$88,3,0)*0.475*44/12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projet'!$B$16,Paramètres!$A$1:$I$88,3,0)*VLOOKUP('Données projet'!$B$16,Paramètres!$A$1:$I$88,5,0)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projet'!$B$16,Paramètres!$A$1:$I$88,7,0))</f>
        <v>0</v>
      </c>
      <c r="FO197" s="17">
        <f>IF(ISNA(VLOOKUP(A197,'Données projet'!$A$217:$I$237,6,0)),0%,VLOOKUP(A197,'Données projet'!$A$217:$I$237,6,0)*VLOOKUP('Données projet'!$B$16,Paramètres!$A$1:$I$88,7,0))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projet'!$B$16,Paramètres!$A$1:$I$88,3,0)*0.475*44/12</f>
        <v>#N/A</v>
      </c>
      <c r="FR197" s="23" t="e">
        <f>EXP(-LN(2)/25)*FR196+(1-EXP(-LN(2)/25))/(LN(2)/25)*Calculateur!FM197*Calculateur!FO197*VLOOKUP('Données projet'!$B$16,Paramètres!$A$1:$I$88,3,0)*0.475*44/12</f>
        <v>#N/A</v>
      </c>
      <c r="FS197" s="23" t="e">
        <f>EXP(-LN(2)/2)*FS196+(1-EXP(-LN(2)/2))/(LN(2)/2)*FM197*FP197*VLOOKUP('Données projet'!$B$16,Paramètres!$A$1:$I$88,3,0)*0.475*44/12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projet'!$B$17,Paramètres!$A$1:$I$88,3,0)*VLOOKUP('Données projet'!$B$17,Paramètres!$A$1:$I$88,5,0)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projet'!$B$17,Paramètres!$A$1:$I$88,7,0))</f>
        <v>0</v>
      </c>
      <c r="GJ197" s="17">
        <f>IF(ISNA(VLOOKUP(A197,'Données projet'!$A$243:$I$263,6,0)),0%,VLOOKUP(A197,'Données projet'!$A$243:$I$263,6,0)*VLOOKUP('Données projet'!$B$17,Paramètres!$A$1:$I$88,7,0))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projet'!$B$17,Paramètres!$A$1:$I$88,3,0)*0.475*44/12</f>
        <v>#N/A</v>
      </c>
      <c r="GM197" s="23" t="e">
        <f>EXP(-LN(2)/25)*GM196+(1-EXP(-LN(2)/25))/(LN(2)/25)*Calculateur!GH197*Calculateur!GJ197*VLOOKUP('Données projet'!$B$17,Paramètres!$A$1:$I$88,3,0)*0.475*44/12</f>
        <v>#N/A</v>
      </c>
      <c r="GN197" s="23" t="e">
        <f>EXP(-LN(2)/2)*GN196+(1-EXP(-LN(2)/2))/(LN(2)/2)*GH197*GK197*VLOOKUP('Données projet'!$B$17,Paramètres!$A$1:$I$88,3,0)*0.475*44/12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projet'!$B$18,Paramètres!$A$1:$I$88,3,0)*VLOOKUP('Données projet'!$B$18,Paramètres!$A$1:$I$88,5,0)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projet'!$B$18,Paramètres!$A$1:$I$88,7,0))</f>
        <v>0</v>
      </c>
      <c r="HE197" s="17">
        <f>IF(ISNA(VLOOKUP(A197,'Données projet'!$A$269:$I$289,6,0)),0%,VLOOKUP(A197,'Données projet'!$A$269:$I$289,6,0)*VLOOKUP('Données projet'!$B$18,Paramètres!$A$1:$I$88,7,0))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projet'!$B$18,Paramètres!$A$1:$I$88,3,0)*0.475*44/12</f>
        <v>#N/A</v>
      </c>
      <c r="HH197" s="23" t="e">
        <f>EXP(-LN(2)/25)*HH196+(1-EXP(-LN(2)/25))/(LN(2)/25)*Calculateur!HC197*Calculateur!HE197*VLOOKUP('Données projet'!$B$18,Paramètres!$A$1:$I$88,3,0)*0.475*44/12</f>
        <v>#N/A</v>
      </c>
      <c r="HI197" s="23" t="e">
        <f>EXP(-LN(2)/2)*HI196+(1-EXP(-LN(2)/2))/(LN(2)/2)*HC197*HF197*VLOOKUP('Données projet'!$B$18,Paramètres!$A$1:$I$88,3,0)*0.475*44/12</f>
        <v>#N/A</v>
      </c>
      <c r="HJ197" s="24" t="e">
        <f t="shared" si="190"/>
        <v>#N/A</v>
      </c>
    </row>
    <row r="198" spans="1:218" x14ac:dyDescent="0.3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4.5474735088646412E-13</v>
      </c>
      <c r="O198" s="14">
        <f>N198*VLOOKUP('Données projet'!$B$9,Paramètres!$A$1:$I$88,3,0)*VLOOKUP('Données projet'!$B$9,Paramètres!$A$1:$I$88,5,0)</f>
        <v>2.5420376914553347E-13</v>
      </c>
      <c r="P198" s="14">
        <f t="shared" si="203"/>
        <v>3.4258699088369875E-12</v>
      </c>
      <c r="Q198" s="22">
        <f t="shared" si="162"/>
        <v>6.4094616558195571E-12</v>
      </c>
      <c r="R198" s="62">
        <f t="shared" si="191"/>
        <v>290.31211911692492</v>
      </c>
      <c r="S198" s="62">
        <f ca="1">AVERAGE(OFFSET($R$3,0,0,'Données projet'!$E$9+1,1))-AVERAGE(OFFSET($H$3,0,0,'Données projet'!$E$9+1,1))</f>
        <v>367.03450586441784</v>
      </c>
      <c r="T198" s="62">
        <f t="shared" si="204"/>
        <v>413.14502442862897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projet'!$B$9,Paramètres!$A$1:$I$88,7,0))</f>
        <v>0</v>
      </c>
      <c r="X198" s="17">
        <f>IF(ISNA(VLOOKUP(A198,'Données projet'!$A$35:$I$55,6,0)),0%,VLOOKUP(A198,'Données projet'!$A$35:$I$55,6,0)*VLOOKUP('Données projet'!$B$9,Paramètres!$A$1:$I$88,7,0))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projet'!$B$9,Paramètres!$A$1:$I$88,3,0)*0.475*44/12</f>
        <v>16.524705191119814</v>
      </c>
      <c r="AA198" s="23">
        <f>EXP(-LN(2)/25)*AA197+(1-EXP(-LN(2)/25))/(LN(2)/25)*Calculateur!V198*Calculateur!X198*VLOOKUP('Données projet'!$B$9,Paramètres!$A$1:$I$88,3,0)*0.475*44/12</f>
        <v>3.1309104862190904</v>
      </c>
      <c r="AB198" s="23">
        <f>EXP(-LN(2)/2)*AB197+(1-EXP(-LN(2)/2))/(LN(2)/2)*V198*Y198*VLOOKUP('Données projet'!$B$9,Paramètres!$A$1:$I$88,3,0)*0.475*44/12</f>
        <v>0</v>
      </c>
      <c r="AC198" s="24">
        <f t="shared" si="163"/>
        <v>19.655615677338904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projet'!$B$10,Paramètres!$A$1:$I$88,3,0)*VLOOKUP('Données projet'!$B$10,Paramètres!$A$1:$I$88,5,0)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projet'!$B$10,Paramètres!$A$1:$I$88,7,0))</f>
        <v>0</v>
      </c>
      <c r="AS198" s="17">
        <f>IF(ISNA(VLOOKUP(A198,'Données projet'!$A$61:$I$81,6,0)),0%,VLOOKUP(A198,'Données projet'!$A$61:$I$81,6,0)*VLOOKUP('Données projet'!$B$10,Paramètres!$A$1:$I$88,7,0))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projet'!$B$10,Paramètres!$A$1:$I$88,3,0)*0.475*44/12</f>
        <v>#N/A</v>
      </c>
      <c r="AV198" s="23" t="e">
        <f>EXP(-LN(2)/25)*AV197+(1-EXP(-LN(2)/25))/(LN(2)/25)*Calculateur!AQ198*Calculateur!AS198*VLOOKUP('Données projet'!$B$10,Paramètres!$A$1:$I$88,3,0)*0.475*44/12</f>
        <v>#N/A</v>
      </c>
      <c r="AW198" s="23" t="e">
        <f>EXP(-LN(2)/2)*AW197+(1-EXP(-LN(2)/2))/(LN(2)/2)*AQ198*AT198*VLOOKUP('Données projet'!$B$10,Paramètres!$A$1:$I$88,3,0)*0.475*44/12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projet'!$B$11,Paramètres!$A$1:$I$88,3,0)*VLOOKUP('Données projet'!$B$11,Paramètres!$A$1:$I$88,5,0)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projet'!$B$11,Paramètres!$A$1:$I$88,7,0))</f>
        <v>0</v>
      </c>
      <c r="BN198" s="17">
        <f>IF(ISNA(VLOOKUP(A198,'Données projet'!$A$87:$I$107,6,0)),0%,VLOOKUP(A198,'Données projet'!$A$87:$I$107,6,0)*VLOOKUP('Données projet'!$B$11,Paramètres!$A$1:$I$88,7,0))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projet'!$B$11,Paramètres!$A$1:$I$88,3,0)*0.475*44/12</f>
        <v>#N/A</v>
      </c>
      <c r="BQ198" s="23" t="e">
        <f>EXP(-LN(2)/25)*BQ197+(1-EXP(-LN(2)/25))/(LN(2)/25)*Calculateur!BL198*Calculateur!BN198*VLOOKUP('Données projet'!$B$11,Paramètres!$A$1:$I$88,3,0)*0.475*44/12</f>
        <v>#N/A</v>
      </c>
      <c r="BR198" s="23" t="e">
        <f>EXP(-LN(2)/2)*BR197+(1-EXP(-LN(2)/2))/(LN(2)/2)*BL198*BO198*VLOOKUP('Données projet'!$B$11,Paramètres!$A$1:$I$88,3,0)*0.475*44/12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projet'!$B$12,Paramètres!$A$1:$I$88,3,0)*VLOOKUP('Données projet'!$B$12,Paramètres!$A$1:$I$88,5,0)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projet'!$B$12,Paramètres!$A$1:$I$88,7,0))</f>
        <v>0</v>
      </c>
      <c r="CI198" s="17">
        <f>IF(ISNA(VLOOKUP(A198,'Données projet'!$A$113:$I$133,6,0)),0%,VLOOKUP(A198,'Données projet'!$A$113:$I$133,6,0)*VLOOKUP('Données projet'!$B$12,Paramètres!$A$1:$I$88,7,0))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projet'!$B$12,Paramètres!$A$1:$I$88,3,0)*0.475*44/12</f>
        <v>#N/A</v>
      </c>
      <c r="CL198" s="23" t="e">
        <f>EXP(-LN(2)/25)*CL197+(1-EXP(-LN(2)/25))/(LN(2)/25)*Calculateur!CG198*Calculateur!CI198*VLOOKUP('Données projet'!$B$12,Paramètres!$A$1:$I$88,3,0)*0.475*44/12</f>
        <v>#N/A</v>
      </c>
      <c r="CM198" s="23" t="e">
        <f>EXP(-LN(2)/2)*CM197+(1-EXP(-LN(2)/2))/(LN(2)/2)*CG198*CJ198*VLOOKUP('Données projet'!$B$12,Paramètres!$A$1:$I$88,3,0)*0.475*44/12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projet'!$B$13,Paramètres!$A$1:$I$88,3,0)*VLOOKUP('Données projet'!$B$13,Paramètres!$A$1:$I$88,5,0)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projet'!$B$13,Paramètres!$A$1:$I$88,7,0))</f>
        <v>0</v>
      </c>
      <c r="DD198" s="17">
        <f>IF(ISNA(VLOOKUP(A198,'Données projet'!$A$139:$I$159,6,0)),0%,VLOOKUP(A198,'Données projet'!$A$139:$I$159,6,0)*VLOOKUP('Données projet'!$B$13,Paramètres!$A$1:$I$88,7,0))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projet'!$B$13,Paramètres!$A$1:$I$88,3,0)*0.475*44/12</f>
        <v>#N/A</v>
      </c>
      <c r="DG198" s="23" t="e">
        <f>EXP(-LN(2)/25)*DG197+(1-EXP(-LN(2)/25))/(LN(2)/25)*Calculateur!DB198*Calculateur!DD198*VLOOKUP('Données projet'!$B$13,Paramètres!$A$1:$I$88,3,0)*0.475*44/12</f>
        <v>#N/A</v>
      </c>
      <c r="DH198" s="23" t="e">
        <f>EXP(-LN(2)/2)*DH197+(1-EXP(-LN(2)/2))/(LN(2)/2)*DB198*DE198*VLOOKUP('Données projet'!$B$13,Paramètres!$A$1:$I$88,3,0)*0.475*44/12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projet'!$B$14,Paramètres!$A$1:$I$88,3,0)*VLOOKUP('Données projet'!$B$14,Paramètres!$A$1:$I$88,5,0)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projet'!$B$14,Paramètres!$A$1:$I$88,7,0))</f>
        <v>0</v>
      </c>
      <c r="DY198" s="17">
        <f>IF(ISNA(VLOOKUP(A198,'Données projet'!$A$165:$I$185,6,0)),0%,VLOOKUP(A198,'Données projet'!$A$165:$I$185,6,0)*VLOOKUP('Données projet'!$B$14,Paramètres!$A$1:$I$88,7,0))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projet'!$B$14,Paramètres!$A$1:$I$88,3,0)*0.475*44/12</f>
        <v>#N/A</v>
      </c>
      <c r="EB198" s="23" t="e">
        <f>EXP(-LN(2)/25)*EB197+(1-EXP(-LN(2)/25))/(LN(2)/25)*Calculateur!DW198*Calculateur!DY198*VLOOKUP('Données projet'!$B$14,Paramètres!$A$1:$I$88,3,0)*0.475*44/12</f>
        <v>#N/A</v>
      </c>
      <c r="EC198" s="23" t="e">
        <f>EXP(-LN(2)/2)*EC197+(1-EXP(-LN(2)/2))/(LN(2)/2)*DW198*DZ198*VLOOKUP('Données projet'!$B$14,Paramètres!$A$1:$I$88,3,0)*0.475*44/12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projet'!$B$15,Paramètres!$A$1:$I$88,3,0)*VLOOKUP('Données projet'!$B$15,Paramètres!$A$1:$I$88,5,0)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projet'!$B$15,Paramètres!$A$1:$I$88,7,0))</f>
        <v>0</v>
      </c>
      <c r="ET198" s="17">
        <f>IF(ISNA(VLOOKUP(A198,'Données projet'!$A$191:$I$211,6,0)),0%,VLOOKUP(A198,'Données projet'!$A$191:$I$211,6,0)*VLOOKUP('Données projet'!$B$15,Paramètres!$A$1:$I$88,7,0))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projet'!$B$15,Paramètres!$A$1:$I$88,3,0)*0.475*44/12</f>
        <v>#N/A</v>
      </c>
      <c r="EW198" s="23" t="e">
        <f>EXP(-LN(2)/25)*EW197+(1-EXP(-LN(2)/25))/(LN(2)/25)*Calculateur!ER198*Calculateur!ET198*VLOOKUP('Données projet'!$B$15,Paramètres!$A$1:$I$88,3,0)*0.475*44/12</f>
        <v>#N/A</v>
      </c>
      <c r="EX198" s="23" t="e">
        <f>EXP(-LN(2)/2)*EX197+(1-EXP(-LN(2)/2))/(LN(2)/2)*ER198*EU198*VLOOKUP('Données projet'!$B$15,Paramètres!$A$1:$I$88,3,0)*0.475*44/12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projet'!$B$16,Paramètres!$A$1:$I$88,3,0)*VLOOKUP('Données projet'!$B$16,Paramètres!$A$1:$I$88,5,0)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projet'!$B$16,Paramètres!$A$1:$I$88,7,0))</f>
        <v>0</v>
      </c>
      <c r="FO198" s="17">
        <f>IF(ISNA(VLOOKUP(A198,'Données projet'!$A$217:$I$237,6,0)),0%,VLOOKUP(A198,'Données projet'!$A$217:$I$237,6,0)*VLOOKUP('Données projet'!$B$16,Paramètres!$A$1:$I$88,7,0))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projet'!$B$16,Paramètres!$A$1:$I$88,3,0)*0.475*44/12</f>
        <v>#N/A</v>
      </c>
      <c r="FR198" s="23" t="e">
        <f>EXP(-LN(2)/25)*FR197+(1-EXP(-LN(2)/25))/(LN(2)/25)*Calculateur!FM198*Calculateur!FO198*VLOOKUP('Données projet'!$B$16,Paramètres!$A$1:$I$88,3,0)*0.475*44/12</f>
        <v>#N/A</v>
      </c>
      <c r="FS198" s="23" t="e">
        <f>EXP(-LN(2)/2)*FS197+(1-EXP(-LN(2)/2))/(LN(2)/2)*FM198*FP198*VLOOKUP('Données projet'!$B$16,Paramètres!$A$1:$I$88,3,0)*0.475*44/12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projet'!$B$17,Paramètres!$A$1:$I$88,3,0)*VLOOKUP('Données projet'!$B$17,Paramètres!$A$1:$I$88,5,0)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projet'!$B$17,Paramètres!$A$1:$I$88,7,0))</f>
        <v>0</v>
      </c>
      <c r="GJ198" s="17">
        <f>IF(ISNA(VLOOKUP(A198,'Données projet'!$A$243:$I$263,6,0)),0%,VLOOKUP(A198,'Données projet'!$A$243:$I$263,6,0)*VLOOKUP('Données projet'!$B$17,Paramètres!$A$1:$I$88,7,0))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projet'!$B$17,Paramètres!$A$1:$I$88,3,0)*0.475*44/12</f>
        <v>#N/A</v>
      </c>
      <c r="GM198" s="23" t="e">
        <f>EXP(-LN(2)/25)*GM197+(1-EXP(-LN(2)/25))/(LN(2)/25)*Calculateur!GH198*Calculateur!GJ198*VLOOKUP('Données projet'!$B$17,Paramètres!$A$1:$I$88,3,0)*0.475*44/12</f>
        <v>#N/A</v>
      </c>
      <c r="GN198" s="23" t="e">
        <f>EXP(-LN(2)/2)*GN197+(1-EXP(-LN(2)/2))/(LN(2)/2)*GH198*GK198*VLOOKUP('Données projet'!$B$17,Paramètres!$A$1:$I$88,3,0)*0.475*44/12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projet'!$B$18,Paramètres!$A$1:$I$88,3,0)*VLOOKUP('Données projet'!$B$18,Paramètres!$A$1:$I$88,5,0)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projet'!$B$18,Paramètres!$A$1:$I$88,7,0))</f>
        <v>0</v>
      </c>
      <c r="HE198" s="17">
        <f>IF(ISNA(VLOOKUP(A198,'Données projet'!$A$269:$I$289,6,0)),0%,VLOOKUP(A198,'Données projet'!$A$269:$I$289,6,0)*VLOOKUP('Données projet'!$B$18,Paramètres!$A$1:$I$88,7,0))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projet'!$B$18,Paramètres!$A$1:$I$88,3,0)*0.475*44/12</f>
        <v>#N/A</v>
      </c>
      <c r="HH198" s="23" t="e">
        <f>EXP(-LN(2)/25)*HH197+(1-EXP(-LN(2)/25))/(LN(2)/25)*Calculateur!HC198*Calculateur!HE198*VLOOKUP('Données projet'!$B$18,Paramètres!$A$1:$I$88,3,0)*0.475*44/12</f>
        <v>#N/A</v>
      </c>
      <c r="HI198" s="23" t="e">
        <f>EXP(-LN(2)/2)*HI197+(1-EXP(-LN(2)/2))/(LN(2)/2)*HC198*HF198*VLOOKUP('Données projet'!$B$18,Paramètres!$A$1:$I$88,3,0)*0.475*44/12</f>
        <v>#N/A</v>
      </c>
      <c r="HJ198" s="24" t="e">
        <f t="shared" si="190"/>
        <v>#N/A</v>
      </c>
    </row>
    <row r="199" spans="1:218" x14ac:dyDescent="0.3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4.5474735088646412E-13</v>
      </c>
      <c r="O199" s="14">
        <f>N199*VLOOKUP('Données projet'!$B$9,Paramètres!$A$1:$I$88,3,0)*VLOOKUP('Données projet'!$B$9,Paramètres!$A$1:$I$88,5,0)</f>
        <v>2.5420376914553347E-13</v>
      </c>
      <c r="P199" s="14">
        <f t="shared" si="203"/>
        <v>3.4258699088369875E-12</v>
      </c>
      <c r="Q199" s="22">
        <f t="shared" si="162"/>
        <v>6.4094616558195571E-12</v>
      </c>
      <c r="R199" s="62">
        <f t="shared" si="191"/>
        <v>290.36453042915662</v>
      </c>
      <c r="S199" s="62">
        <f ca="1">AVERAGE(OFFSET($R$3,0,0,'Données projet'!$E$9+1,1))-AVERAGE(OFFSET($H$3,0,0,'Données projet'!$E$9+1,1))</f>
        <v>367.03450586441784</v>
      </c>
      <c r="T199" s="62">
        <f t="shared" si="204"/>
        <v>413.14502442862897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projet'!$B$9,Paramètres!$A$1:$I$88,7,0))</f>
        <v>0</v>
      </c>
      <c r="X199" s="17">
        <f>IF(ISNA(VLOOKUP(A199,'Données projet'!$A$35:$I$55,6,0)),0%,VLOOKUP(A199,'Données projet'!$A$35:$I$55,6,0)*VLOOKUP('Données projet'!$B$9,Paramètres!$A$1:$I$88,7,0))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projet'!$B$9,Paramètres!$A$1:$I$88,3,0)*0.475*44/12</f>
        <v>16.200665801396894</v>
      </c>
      <c r="AA199" s="23">
        <f>EXP(-LN(2)/25)*AA198+(1-EXP(-LN(2)/25))/(LN(2)/25)*Calculateur!V199*Calculateur!X199*VLOOKUP('Données projet'!$B$9,Paramètres!$A$1:$I$88,3,0)*0.475*44/12</f>
        <v>3.0452955743260026</v>
      </c>
      <c r="AB199" s="23">
        <f>EXP(-LN(2)/2)*AB198+(1-EXP(-LN(2)/2))/(LN(2)/2)*V199*Y199*VLOOKUP('Données projet'!$B$9,Paramètres!$A$1:$I$88,3,0)*0.475*44/12</f>
        <v>0</v>
      </c>
      <c r="AC199" s="24">
        <f t="shared" si="163"/>
        <v>19.245961375722896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projet'!$B$10,Paramètres!$A$1:$I$88,3,0)*VLOOKUP('Données projet'!$B$10,Paramètres!$A$1:$I$88,5,0)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projet'!$B$10,Paramètres!$A$1:$I$88,7,0))</f>
        <v>0</v>
      </c>
      <c r="AS199" s="17">
        <f>IF(ISNA(VLOOKUP(A199,'Données projet'!$A$61:$I$81,6,0)),0%,VLOOKUP(A199,'Données projet'!$A$61:$I$81,6,0)*VLOOKUP('Données projet'!$B$10,Paramètres!$A$1:$I$88,7,0))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projet'!$B$10,Paramètres!$A$1:$I$88,3,0)*0.475*44/12</f>
        <v>#N/A</v>
      </c>
      <c r="AV199" s="23" t="e">
        <f>EXP(-LN(2)/25)*AV198+(1-EXP(-LN(2)/25))/(LN(2)/25)*Calculateur!AQ199*Calculateur!AS199*VLOOKUP('Données projet'!$B$10,Paramètres!$A$1:$I$88,3,0)*0.475*44/12</f>
        <v>#N/A</v>
      </c>
      <c r="AW199" s="23" t="e">
        <f>EXP(-LN(2)/2)*AW198+(1-EXP(-LN(2)/2))/(LN(2)/2)*AQ199*AT199*VLOOKUP('Données projet'!$B$10,Paramètres!$A$1:$I$88,3,0)*0.475*44/12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projet'!$B$11,Paramètres!$A$1:$I$88,3,0)*VLOOKUP('Données projet'!$B$11,Paramètres!$A$1:$I$88,5,0)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projet'!$B$11,Paramètres!$A$1:$I$88,7,0))</f>
        <v>0</v>
      </c>
      <c r="BN199" s="17">
        <f>IF(ISNA(VLOOKUP(A199,'Données projet'!$A$87:$I$107,6,0)),0%,VLOOKUP(A199,'Données projet'!$A$87:$I$107,6,0)*VLOOKUP('Données projet'!$B$11,Paramètres!$A$1:$I$88,7,0))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projet'!$B$11,Paramètres!$A$1:$I$88,3,0)*0.475*44/12</f>
        <v>#N/A</v>
      </c>
      <c r="BQ199" s="23" t="e">
        <f>EXP(-LN(2)/25)*BQ198+(1-EXP(-LN(2)/25))/(LN(2)/25)*Calculateur!BL199*Calculateur!BN199*VLOOKUP('Données projet'!$B$11,Paramètres!$A$1:$I$88,3,0)*0.475*44/12</f>
        <v>#N/A</v>
      </c>
      <c r="BR199" s="23" t="e">
        <f>EXP(-LN(2)/2)*BR198+(1-EXP(-LN(2)/2))/(LN(2)/2)*BL199*BO199*VLOOKUP('Données projet'!$B$11,Paramètres!$A$1:$I$88,3,0)*0.475*44/12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projet'!$B$12,Paramètres!$A$1:$I$88,3,0)*VLOOKUP('Données projet'!$B$12,Paramètres!$A$1:$I$88,5,0)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projet'!$B$12,Paramètres!$A$1:$I$88,7,0))</f>
        <v>0</v>
      </c>
      <c r="CI199" s="17">
        <f>IF(ISNA(VLOOKUP(A199,'Données projet'!$A$113:$I$133,6,0)),0%,VLOOKUP(A199,'Données projet'!$A$113:$I$133,6,0)*VLOOKUP('Données projet'!$B$12,Paramètres!$A$1:$I$88,7,0))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projet'!$B$12,Paramètres!$A$1:$I$88,3,0)*0.475*44/12</f>
        <v>#N/A</v>
      </c>
      <c r="CL199" s="23" t="e">
        <f>EXP(-LN(2)/25)*CL198+(1-EXP(-LN(2)/25))/(LN(2)/25)*Calculateur!CG199*Calculateur!CI199*VLOOKUP('Données projet'!$B$12,Paramètres!$A$1:$I$88,3,0)*0.475*44/12</f>
        <v>#N/A</v>
      </c>
      <c r="CM199" s="23" t="e">
        <f>EXP(-LN(2)/2)*CM198+(1-EXP(-LN(2)/2))/(LN(2)/2)*CG199*CJ199*VLOOKUP('Données projet'!$B$12,Paramètres!$A$1:$I$88,3,0)*0.475*44/12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projet'!$B$13,Paramètres!$A$1:$I$88,3,0)*VLOOKUP('Données projet'!$B$13,Paramètres!$A$1:$I$88,5,0)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projet'!$B$13,Paramètres!$A$1:$I$88,7,0))</f>
        <v>0</v>
      </c>
      <c r="DD199" s="17">
        <f>IF(ISNA(VLOOKUP(A199,'Données projet'!$A$139:$I$159,6,0)),0%,VLOOKUP(A199,'Données projet'!$A$139:$I$159,6,0)*VLOOKUP('Données projet'!$B$13,Paramètres!$A$1:$I$88,7,0))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projet'!$B$13,Paramètres!$A$1:$I$88,3,0)*0.475*44/12</f>
        <v>#N/A</v>
      </c>
      <c r="DG199" s="23" t="e">
        <f>EXP(-LN(2)/25)*DG198+(1-EXP(-LN(2)/25))/(LN(2)/25)*Calculateur!DB199*Calculateur!DD199*VLOOKUP('Données projet'!$B$13,Paramètres!$A$1:$I$88,3,0)*0.475*44/12</f>
        <v>#N/A</v>
      </c>
      <c r="DH199" s="23" t="e">
        <f>EXP(-LN(2)/2)*DH198+(1-EXP(-LN(2)/2))/(LN(2)/2)*DB199*DE199*VLOOKUP('Données projet'!$B$13,Paramètres!$A$1:$I$88,3,0)*0.475*44/12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projet'!$B$14,Paramètres!$A$1:$I$88,3,0)*VLOOKUP('Données projet'!$B$14,Paramètres!$A$1:$I$88,5,0)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projet'!$B$14,Paramètres!$A$1:$I$88,7,0))</f>
        <v>0</v>
      </c>
      <c r="DY199" s="17">
        <f>IF(ISNA(VLOOKUP(A199,'Données projet'!$A$165:$I$185,6,0)),0%,VLOOKUP(A199,'Données projet'!$A$165:$I$185,6,0)*VLOOKUP('Données projet'!$B$14,Paramètres!$A$1:$I$88,7,0))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projet'!$B$14,Paramètres!$A$1:$I$88,3,0)*0.475*44/12</f>
        <v>#N/A</v>
      </c>
      <c r="EB199" s="23" t="e">
        <f>EXP(-LN(2)/25)*EB198+(1-EXP(-LN(2)/25))/(LN(2)/25)*Calculateur!DW199*Calculateur!DY199*VLOOKUP('Données projet'!$B$14,Paramètres!$A$1:$I$88,3,0)*0.475*44/12</f>
        <v>#N/A</v>
      </c>
      <c r="EC199" s="23" t="e">
        <f>EXP(-LN(2)/2)*EC198+(1-EXP(-LN(2)/2))/(LN(2)/2)*DW199*DZ199*VLOOKUP('Données projet'!$B$14,Paramètres!$A$1:$I$88,3,0)*0.475*44/12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projet'!$B$15,Paramètres!$A$1:$I$88,3,0)*VLOOKUP('Données projet'!$B$15,Paramètres!$A$1:$I$88,5,0)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projet'!$B$15,Paramètres!$A$1:$I$88,7,0))</f>
        <v>0</v>
      </c>
      <c r="ET199" s="17">
        <f>IF(ISNA(VLOOKUP(A199,'Données projet'!$A$191:$I$211,6,0)),0%,VLOOKUP(A199,'Données projet'!$A$191:$I$211,6,0)*VLOOKUP('Données projet'!$B$15,Paramètres!$A$1:$I$88,7,0))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projet'!$B$15,Paramètres!$A$1:$I$88,3,0)*0.475*44/12</f>
        <v>#N/A</v>
      </c>
      <c r="EW199" s="23" t="e">
        <f>EXP(-LN(2)/25)*EW198+(1-EXP(-LN(2)/25))/(LN(2)/25)*Calculateur!ER199*Calculateur!ET199*VLOOKUP('Données projet'!$B$15,Paramètres!$A$1:$I$88,3,0)*0.475*44/12</f>
        <v>#N/A</v>
      </c>
      <c r="EX199" s="23" t="e">
        <f>EXP(-LN(2)/2)*EX198+(1-EXP(-LN(2)/2))/(LN(2)/2)*ER199*EU199*VLOOKUP('Données projet'!$B$15,Paramètres!$A$1:$I$88,3,0)*0.475*44/12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projet'!$B$16,Paramètres!$A$1:$I$88,3,0)*VLOOKUP('Données projet'!$B$16,Paramètres!$A$1:$I$88,5,0)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projet'!$B$16,Paramètres!$A$1:$I$88,7,0))</f>
        <v>0</v>
      </c>
      <c r="FO199" s="17">
        <f>IF(ISNA(VLOOKUP(A199,'Données projet'!$A$217:$I$237,6,0)),0%,VLOOKUP(A199,'Données projet'!$A$217:$I$237,6,0)*VLOOKUP('Données projet'!$B$16,Paramètres!$A$1:$I$88,7,0))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projet'!$B$16,Paramètres!$A$1:$I$88,3,0)*0.475*44/12</f>
        <v>#N/A</v>
      </c>
      <c r="FR199" s="23" t="e">
        <f>EXP(-LN(2)/25)*FR198+(1-EXP(-LN(2)/25))/(LN(2)/25)*Calculateur!FM199*Calculateur!FO199*VLOOKUP('Données projet'!$B$16,Paramètres!$A$1:$I$88,3,0)*0.475*44/12</f>
        <v>#N/A</v>
      </c>
      <c r="FS199" s="23" t="e">
        <f>EXP(-LN(2)/2)*FS198+(1-EXP(-LN(2)/2))/(LN(2)/2)*FM199*FP199*VLOOKUP('Données projet'!$B$16,Paramètres!$A$1:$I$88,3,0)*0.475*44/12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projet'!$B$17,Paramètres!$A$1:$I$88,3,0)*VLOOKUP('Données projet'!$B$17,Paramètres!$A$1:$I$88,5,0)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projet'!$B$17,Paramètres!$A$1:$I$88,7,0))</f>
        <v>0</v>
      </c>
      <c r="GJ199" s="17">
        <f>IF(ISNA(VLOOKUP(A199,'Données projet'!$A$243:$I$263,6,0)),0%,VLOOKUP(A199,'Données projet'!$A$243:$I$263,6,0)*VLOOKUP('Données projet'!$B$17,Paramètres!$A$1:$I$88,7,0))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projet'!$B$17,Paramètres!$A$1:$I$88,3,0)*0.475*44/12</f>
        <v>#N/A</v>
      </c>
      <c r="GM199" s="23" t="e">
        <f>EXP(-LN(2)/25)*GM198+(1-EXP(-LN(2)/25))/(LN(2)/25)*Calculateur!GH199*Calculateur!GJ199*VLOOKUP('Données projet'!$B$17,Paramètres!$A$1:$I$88,3,0)*0.475*44/12</f>
        <v>#N/A</v>
      </c>
      <c r="GN199" s="23" t="e">
        <f>EXP(-LN(2)/2)*GN198+(1-EXP(-LN(2)/2))/(LN(2)/2)*GH199*GK199*VLOOKUP('Données projet'!$B$17,Paramètres!$A$1:$I$88,3,0)*0.475*44/12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projet'!$B$18,Paramètres!$A$1:$I$88,3,0)*VLOOKUP('Données projet'!$B$18,Paramètres!$A$1:$I$88,5,0)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projet'!$B$18,Paramètres!$A$1:$I$88,7,0))</f>
        <v>0</v>
      </c>
      <c r="HE199" s="17">
        <f>IF(ISNA(VLOOKUP(A199,'Données projet'!$A$269:$I$289,6,0)),0%,VLOOKUP(A199,'Données projet'!$A$269:$I$289,6,0)*VLOOKUP('Données projet'!$B$18,Paramètres!$A$1:$I$88,7,0))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projet'!$B$18,Paramètres!$A$1:$I$88,3,0)*0.475*44/12</f>
        <v>#N/A</v>
      </c>
      <c r="HH199" s="23" t="e">
        <f>EXP(-LN(2)/25)*HH198+(1-EXP(-LN(2)/25))/(LN(2)/25)*Calculateur!HC199*Calculateur!HE199*VLOOKUP('Données projet'!$B$18,Paramètres!$A$1:$I$88,3,0)*0.475*44/12</f>
        <v>#N/A</v>
      </c>
      <c r="HI199" s="23" t="e">
        <f>EXP(-LN(2)/2)*HI198+(1-EXP(-LN(2)/2))/(LN(2)/2)*HC199*HF199*VLOOKUP('Données projet'!$B$18,Paramètres!$A$1:$I$88,3,0)*0.475*44/12</f>
        <v>#N/A</v>
      </c>
      <c r="HJ199" s="24" t="e">
        <f t="shared" si="190"/>
        <v>#N/A</v>
      </c>
    </row>
    <row r="200" spans="1:218" x14ac:dyDescent="0.3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4.5474735088646412E-13</v>
      </c>
      <c r="O200" s="14">
        <f>N200*VLOOKUP('Données projet'!$B$9,Paramètres!$A$1:$I$88,3,0)*VLOOKUP('Données projet'!$B$9,Paramètres!$A$1:$I$88,5,0)</f>
        <v>2.5420376914553347E-13</v>
      </c>
      <c r="P200" s="14">
        <f t="shared" si="203"/>
        <v>3.4258699088369875E-12</v>
      </c>
      <c r="Q200" s="22">
        <f t="shared" si="162"/>
        <v>6.4094616558195571E-12</v>
      </c>
      <c r="R200" s="62">
        <f t="shared" si="191"/>
        <v>290.41603252229521</v>
      </c>
      <c r="S200" s="62">
        <f ca="1">AVERAGE(OFFSET($R$3,0,0,'Données projet'!$E$9+1,1))-AVERAGE(OFFSET($H$3,0,0,'Données projet'!$E$9+1,1))</f>
        <v>367.03450586441784</v>
      </c>
      <c r="T200" s="62">
        <f t="shared" si="204"/>
        <v>413.14502442862897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projet'!$B$9,Paramètres!$A$1:$I$88,7,0))</f>
        <v>0</v>
      </c>
      <c r="X200" s="17">
        <f>IF(ISNA(VLOOKUP(A200,'Données projet'!$A$35:$I$55,6,0)),0%,VLOOKUP(A200,'Données projet'!$A$35:$I$55,6,0)*VLOOKUP('Données projet'!$B$9,Paramètres!$A$1:$I$88,7,0))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projet'!$B$9,Paramètres!$A$1:$I$88,3,0)*0.475*44/12</f>
        <v>15.882980626461929</v>
      </c>
      <c r="AA200" s="23">
        <f>EXP(-LN(2)/25)*AA199+(1-EXP(-LN(2)/25))/(LN(2)/25)*Calculateur!V200*Calculateur!X200*VLOOKUP('Données projet'!$B$9,Paramètres!$A$1:$I$88,3,0)*0.475*44/12</f>
        <v>2.9620218067009239</v>
      </c>
      <c r="AB200" s="23">
        <f>EXP(-LN(2)/2)*AB199+(1-EXP(-LN(2)/2))/(LN(2)/2)*V200*Y200*VLOOKUP('Données projet'!$B$9,Paramètres!$A$1:$I$88,3,0)*0.475*44/12</f>
        <v>0</v>
      </c>
      <c r="AC200" s="24">
        <f t="shared" si="163"/>
        <v>18.845002433162854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projet'!$B$10,Paramètres!$A$1:$I$88,3,0)*VLOOKUP('Données projet'!$B$10,Paramètres!$A$1:$I$88,5,0)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projet'!$B$10,Paramètres!$A$1:$I$88,7,0))</f>
        <v>0</v>
      </c>
      <c r="AS200" s="17">
        <f>IF(ISNA(VLOOKUP(A200,'Données projet'!$A$61:$I$81,6,0)),0%,VLOOKUP(A200,'Données projet'!$A$61:$I$81,6,0)*VLOOKUP('Données projet'!$B$10,Paramètres!$A$1:$I$88,7,0))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projet'!$B$10,Paramètres!$A$1:$I$88,3,0)*0.475*44/12</f>
        <v>#N/A</v>
      </c>
      <c r="AV200" s="23" t="e">
        <f>EXP(-LN(2)/25)*AV199+(1-EXP(-LN(2)/25))/(LN(2)/25)*Calculateur!AQ200*Calculateur!AS200*VLOOKUP('Données projet'!$B$10,Paramètres!$A$1:$I$88,3,0)*0.475*44/12</f>
        <v>#N/A</v>
      </c>
      <c r="AW200" s="23" t="e">
        <f>EXP(-LN(2)/2)*AW199+(1-EXP(-LN(2)/2))/(LN(2)/2)*AQ200*AT200*VLOOKUP('Données projet'!$B$10,Paramètres!$A$1:$I$88,3,0)*0.475*44/12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projet'!$B$11,Paramètres!$A$1:$I$88,3,0)*VLOOKUP('Données projet'!$B$11,Paramètres!$A$1:$I$88,5,0)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projet'!$B$11,Paramètres!$A$1:$I$88,7,0))</f>
        <v>0</v>
      </c>
      <c r="BN200" s="17">
        <f>IF(ISNA(VLOOKUP(A200,'Données projet'!$A$87:$I$107,6,0)),0%,VLOOKUP(A200,'Données projet'!$A$87:$I$107,6,0)*VLOOKUP('Données projet'!$B$11,Paramètres!$A$1:$I$88,7,0))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projet'!$B$11,Paramètres!$A$1:$I$88,3,0)*0.475*44/12</f>
        <v>#N/A</v>
      </c>
      <c r="BQ200" s="23" t="e">
        <f>EXP(-LN(2)/25)*BQ199+(1-EXP(-LN(2)/25))/(LN(2)/25)*Calculateur!BL200*Calculateur!BN200*VLOOKUP('Données projet'!$B$11,Paramètres!$A$1:$I$88,3,0)*0.475*44/12</f>
        <v>#N/A</v>
      </c>
      <c r="BR200" s="23" t="e">
        <f>EXP(-LN(2)/2)*BR199+(1-EXP(-LN(2)/2))/(LN(2)/2)*BL200*BO200*VLOOKUP('Données projet'!$B$11,Paramètres!$A$1:$I$88,3,0)*0.475*44/12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projet'!$B$12,Paramètres!$A$1:$I$88,3,0)*VLOOKUP('Données projet'!$B$12,Paramètres!$A$1:$I$88,5,0)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projet'!$B$12,Paramètres!$A$1:$I$88,7,0))</f>
        <v>0</v>
      </c>
      <c r="CI200" s="17">
        <f>IF(ISNA(VLOOKUP(A200,'Données projet'!$A$113:$I$133,6,0)),0%,VLOOKUP(A200,'Données projet'!$A$113:$I$133,6,0)*VLOOKUP('Données projet'!$B$12,Paramètres!$A$1:$I$88,7,0))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projet'!$B$12,Paramètres!$A$1:$I$88,3,0)*0.475*44/12</f>
        <v>#N/A</v>
      </c>
      <c r="CL200" s="23" t="e">
        <f>EXP(-LN(2)/25)*CL199+(1-EXP(-LN(2)/25))/(LN(2)/25)*Calculateur!CG200*Calculateur!CI200*VLOOKUP('Données projet'!$B$12,Paramètres!$A$1:$I$88,3,0)*0.475*44/12</f>
        <v>#N/A</v>
      </c>
      <c r="CM200" s="23" t="e">
        <f>EXP(-LN(2)/2)*CM199+(1-EXP(-LN(2)/2))/(LN(2)/2)*CG200*CJ200*VLOOKUP('Données projet'!$B$12,Paramètres!$A$1:$I$88,3,0)*0.475*44/12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projet'!$B$13,Paramètres!$A$1:$I$88,3,0)*VLOOKUP('Données projet'!$B$13,Paramètres!$A$1:$I$88,5,0)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projet'!$B$13,Paramètres!$A$1:$I$88,7,0))</f>
        <v>0</v>
      </c>
      <c r="DD200" s="17">
        <f>IF(ISNA(VLOOKUP(A200,'Données projet'!$A$139:$I$159,6,0)),0%,VLOOKUP(A200,'Données projet'!$A$139:$I$159,6,0)*VLOOKUP('Données projet'!$B$13,Paramètres!$A$1:$I$88,7,0))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projet'!$B$13,Paramètres!$A$1:$I$88,3,0)*0.475*44/12</f>
        <v>#N/A</v>
      </c>
      <c r="DG200" s="23" t="e">
        <f>EXP(-LN(2)/25)*DG199+(1-EXP(-LN(2)/25))/(LN(2)/25)*Calculateur!DB200*Calculateur!DD200*VLOOKUP('Données projet'!$B$13,Paramètres!$A$1:$I$88,3,0)*0.475*44/12</f>
        <v>#N/A</v>
      </c>
      <c r="DH200" s="23" t="e">
        <f>EXP(-LN(2)/2)*DH199+(1-EXP(-LN(2)/2))/(LN(2)/2)*DB200*DE200*VLOOKUP('Données projet'!$B$13,Paramètres!$A$1:$I$88,3,0)*0.475*44/12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projet'!$B$14,Paramètres!$A$1:$I$88,3,0)*VLOOKUP('Données projet'!$B$14,Paramètres!$A$1:$I$88,5,0)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projet'!$B$14,Paramètres!$A$1:$I$88,7,0))</f>
        <v>0</v>
      </c>
      <c r="DY200" s="17">
        <f>IF(ISNA(VLOOKUP(A200,'Données projet'!$A$165:$I$185,6,0)),0%,VLOOKUP(A200,'Données projet'!$A$165:$I$185,6,0)*VLOOKUP('Données projet'!$B$14,Paramètres!$A$1:$I$88,7,0))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projet'!$B$14,Paramètres!$A$1:$I$88,3,0)*0.475*44/12</f>
        <v>#N/A</v>
      </c>
      <c r="EB200" s="23" t="e">
        <f>EXP(-LN(2)/25)*EB199+(1-EXP(-LN(2)/25))/(LN(2)/25)*Calculateur!DW200*Calculateur!DY200*VLOOKUP('Données projet'!$B$14,Paramètres!$A$1:$I$88,3,0)*0.475*44/12</f>
        <v>#N/A</v>
      </c>
      <c r="EC200" s="23" t="e">
        <f>EXP(-LN(2)/2)*EC199+(1-EXP(-LN(2)/2))/(LN(2)/2)*DW200*DZ200*VLOOKUP('Données projet'!$B$14,Paramètres!$A$1:$I$88,3,0)*0.475*44/12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projet'!$B$15,Paramètres!$A$1:$I$88,3,0)*VLOOKUP('Données projet'!$B$15,Paramètres!$A$1:$I$88,5,0)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projet'!$B$15,Paramètres!$A$1:$I$88,7,0))</f>
        <v>0</v>
      </c>
      <c r="ET200" s="17">
        <f>IF(ISNA(VLOOKUP(A200,'Données projet'!$A$191:$I$211,6,0)),0%,VLOOKUP(A200,'Données projet'!$A$191:$I$211,6,0)*VLOOKUP('Données projet'!$B$15,Paramètres!$A$1:$I$88,7,0))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projet'!$B$15,Paramètres!$A$1:$I$88,3,0)*0.475*44/12</f>
        <v>#N/A</v>
      </c>
      <c r="EW200" s="23" t="e">
        <f>EXP(-LN(2)/25)*EW199+(1-EXP(-LN(2)/25))/(LN(2)/25)*Calculateur!ER200*Calculateur!ET200*VLOOKUP('Données projet'!$B$15,Paramètres!$A$1:$I$88,3,0)*0.475*44/12</f>
        <v>#N/A</v>
      </c>
      <c r="EX200" s="23" t="e">
        <f>EXP(-LN(2)/2)*EX199+(1-EXP(-LN(2)/2))/(LN(2)/2)*ER200*EU200*VLOOKUP('Données projet'!$B$15,Paramètres!$A$1:$I$88,3,0)*0.475*44/12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projet'!$B$16,Paramètres!$A$1:$I$88,3,0)*VLOOKUP('Données projet'!$B$16,Paramètres!$A$1:$I$88,5,0)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projet'!$B$16,Paramètres!$A$1:$I$88,7,0))</f>
        <v>0</v>
      </c>
      <c r="FO200" s="17">
        <f>IF(ISNA(VLOOKUP(A200,'Données projet'!$A$217:$I$237,6,0)),0%,VLOOKUP(A200,'Données projet'!$A$217:$I$237,6,0)*VLOOKUP('Données projet'!$B$16,Paramètres!$A$1:$I$88,7,0))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projet'!$B$16,Paramètres!$A$1:$I$88,3,0)*0.475*44/12</f>
        <v>#N/A</v>
      </c>
      <c r="FR200" s="23" t="e">
        <f>EXP(-LN(2)/25)*FR199+(1-EXP(-LN(2)/25))/(LN(2)/25)*Calculateur!FM200*Calculateur!FO200*VLOOKUP('Données projet'!$B$16,Paramètres!$A$1:$I$88,3,0)*0.475*44/12</f>
        <v>#N/A</v>
      </c>
      <c r="FS200" s="23" t="e">
        <f>EXP(-LN(2)/2)*FS199+(1-EXP(-LN(2)/2))/(LN(2)/2)*FM200*FP200*VLOOKUP('Données projet'!$B$16,Paramètres!$A$1:$I$88,3,0)*0.475*44/12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projet'!$B$17,Paramètres!$A$1:$I$88,3,0)*VLOOKUP('Données projet'!$B$17,Paramètres!$A$1:$I$88,5,0)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projet'!$B$17,Paramètres!$A$1:$I$88,7,0))</f>
        <v>0</v>
      </c>
      <c r="GJ200" s="17">
        <f>IF(ISNA(VLOOKUP(A200,'Données projet'!$A$243:$I$263,6,0)),0%,VLOOKUP(A200,'Données projet'!$A$243:$I$263,6,0)*VLOOKUP('Données projet'!$B$17,Paramètres!$A$1:$I$88,7,0))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projet'!$B$17,Paramètres!$A$1:$I$88,3,0)*0.475*44/12</f>
        <v>#N/A</v>
      </c>
      <c r="GM200" s="23" t="e">
        <f>EXP(-LN(2)/25)*GM199+(1-EXP(-LN(2)/25))/(LN(2)/25)*Calculateur!GH200*Calculateur!GJ200*VLOOKUP('Données projet'!$B$17,Paramètres!$A$1:$I$88,3,0)*0.475*44/12</f>
        <v>#N/A</v>
      </c>
      <c r="GN200" s="23" t="e">
        <f>EXP(-LN(2)/2)*GN199+(1-EXP(-LN(2)/2))/(LN(2)/2)*GH200*GK200*VLOOKUP('Données projet'!$B$17,Paramètres!$A$1:$I$88,3,0)*0.475*44/12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projet'!$B$18,Paramètres!$A$1:$I$88,3,0)*VLOOKUP('Données projet'!$B$18,Paramètres!$A$1:$I$88,5,0)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projet'!$B$18,Paramètres!$A$1:$I$88,7,0))</f>
        <v>0</v>
      </c>
      <c r="HE200" s="17">
        <f>IF(ISNA(VLOOKUP(A200,'Données projet'!$A$269:$I$289,6,0)),0%,VLOOKUP(A200,'Données projet'!$A$269:$I$289,6,0)*VLOOKUP('Données projet'!$B$18,Paramètres!$A$1:$I$88,7,0))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projet'!$B$18,Paramètres!$A$1:$I$88,3,0)*0.475*44/12</f>
        <v>#N/A</v>
      </c>
      <c r="HH200" s="23" t="e">
        <f>EXP(-LN(2)/25)*HH199+(1-EXP(-LN(2)/25))/(LN(2)/25)*Calculateur!HC200*Calculateur!HE200*VLOOKUP('Données projet'!$B$18,Paramètres!$A$1:$I$88,3,0)*0.475*44/12</f>
        <v>#N/A</v>
      </c>
      <c r="HI200" s="23" t="e">
        <f>EXP(-LN(2)/2)*HI199+(1-EXP(-LN(2)/2))/(LN(2)/2)*HC200*HF200*VLOOKUP('Données projet'!$B$18,Paramètres!$A$1:$I$88,3,0)*0.475*44/12</f>
        <v>#N/A</v>
      </c>
      <c r="HJ200" s="24" t="e">
        <f t="shared" si="190"/>
        <v>#N/A</v>
      </c>
    </row>
    <row r="201" spans="1:218" x14ac:dyDescent="0.3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4.5474735088646412E-13</v>
      </c>
      <c r="O201" s="14">
        <f>N201*VLOOKUP('Données projet'!$B$9,Paramètres!$A$1:$I$88,3,0)*VLOOKUP('Données projet'!$B$9,Paramètres!$A$1:$I$88,5,0)</f>
        <v>2.5420376914553347E-13</v>
      </c>
      <c r="P201" s="14">
        <f t="shared" si="203"/>
        <v>3.4258699088369875E-12</v>
      </c>
      <c r="Q201" s="22">
        <f t="shared" si="162"/>
        <v>6.4094616558195571E-12</v>
      </c>
      <c r="R201" s="62">
        <f t="shared" si="191"/>
        <v>290.46664116925933</v>
      </c>
      <c r="S201" s="62">
        <f ca="1">AVERAGE(OFFSET($R$3,0,0,'Données projet'!$E$9+1,1))-AVERAGE(OFFSET($H$3,0,0,'Données projet'!$E$9+1,1))</f>
        <v>367.03450586441784</v>
      </c>
      <c r="T201" s="62">
        <f t="shared" si="204"/>
        <v>413.14502442862897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projet'!$B$9,Paramètres!$A$1:$I$88,7,0))</f>
        <v>0</v>
      </c>
      <c r="X201" s="17">
        <f>IF(ISNA(VLOOKUP(A201,'Données projet'!$A$35:$I$55,6,0)),0%,VLOOKUP(A201,'Données projet'!$A$35:$I$55,6,0)*VLOOKUP('Données projet'!$B$9,Paramètres!$A$1:$I$88,7,0))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projet'!$B$9,Paramètres!$A$1:$I$88,3,0)*0.475*44/12</f>
        <v>15.571525064038616</v>
      </c>
      <c r="AA201" s="23">
        <f>EXP(-LN(2)/25)*AA200+(1-EXP(-LN(2)/25))/(LN(2)/25)*Calculateur!V201*Calculateur!X201*VLOOKUP('Données projet'!$B$9,Paramètres!$A$1:$I$88,3,0)*0.475*44/12</f>
        <v>2.8810251646307301</v>
      </c>
      <c r="AB201" s="23">
        <f>EXP(-LN(2)/2)*AB200+(1-EXP(-LN(2)/2))/(LN(2)/2)*V201*Y201*VLOOKUP('Données projet'!$B$9,Paramètres!$A$1:$I$88,3,0)*0.475*44/12</f>
        <v>0</v>
      </c>
      <c r="AC201" s="24">
        <f t="shared" si="163"/>
        <v>18.452550228669345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projet'!$B$10,Paramètres!$A$1:$I$88,3,0)*VLOOKUP('Données projet'!$B$10,Paramètres!$A$1:$I$88,5,0)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projet'!$B$10,Paramètres!$A$1:$I$88,7,0))</f>
        <v>0</v>
      </c>
      <c r="AS201" s="17">
        <f>IF(ISNA(VLOOKUP(A201,'Données projet'!$A$61:$I$81,6,0)),0%,VLOOKUP(A201,'Données projet'!$A$61:$I$81,6,0)*VLOOKUP('Données projet'!$B$10,Paramètres!$A$1:$I$88,7,0))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projet'!$B$10,Paramètres!$A$1:$I$88,3,0)*0.475*44/12</f>
        <v>#N/A</v>
      </c>
      <c r="AV201" s="23" t="e">
        <f>EXP(-LN(2)/25)*AV200+(1-EXP(-LN(2)/25))/(LN(2)/25)*Calculateur!AQ201*Calculateur!AS201*VLOOKUP('Données projet'!$B$10,Paramètres!$A$1:$I$88,3,0)*0.475*44/12</f>
        <v>#N/A</v>
      </c>
      <c r="AW201" s="23" t="e">
        <f>EXP(-LN(2)/2)*AW200+(1-EXP(-LN(2)/2))/(LN(2)/2)*AQ201*AT201*VLOOKUP('Données projet'!$B$10,Paramètres!$A$1:$I$88,3,0)*0.475*44/12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projet'!$B$11,Paramètres!$A$1:$I$88,3,0)*VLOOKUP('Données projet'!$B$11,Paramètres!$A$1:$I$88,5,0)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projet'!$B$11,Paramètres!$A$1:$I$88,7,0))</f>
        <v>0</v>
      </c>
      <c r="BN201" s="17">
        <f>IF(ISNA(VLOOKUP(A201,'Données projet'!$A$87:$I$107,6,0)),0%,VLOOKUP(A201,'Données projet'!$A$87:$I$107,6,0)*VLOOKUP('Données projet'!$B$11,Paramètres!$A$1:$I$88,7,0))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projet'!$B$11,Paramètres!$A$1:$I$88,3,0)*0.475*44/12</f>
        <v>#N/A</v>
      </c>
      <c r="BQ201" s="23" t="e">
        <f>EXP(-LN(2)/25)*BQ200+(1-EXP(-LN(2)/25))/(LN(2)/25)*Calculateur!BL201*Calculateur!BN201*VLOOKUP('Données projet'!$B$11,Paramètres!$A$1:$I$88,3,0)*0.475*44/12</f>
        <v>#N/A</v>
      </c>
      <c r="BR201" s="23" t="e">
        <f>EXP(-LN(2)/2)*BR200+(1-EXP(-LN(2)/2))/(LN(2)/2)*BL201*BO201*VLOOKUP('Données projet'!$B$11,Paramètres!$A$1:$I$88,3,0)*0.475*44/12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projet'!$B$12,Paramètres!$A$1:$I$88,3,0)*VLOOKUP('Données projet'!$B$12,Paramètres!$A$1:$I$88,5,0)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projet'!$B$12,Paramètres!$A$1:$I$88,7,0))</f>
        <v>0</v>
      </c>
      <c r="CI201" s="17">
        <f>IF(ISNA(VLOOKUP(A201,'Données projet'!$A$113:$I$133,6,0)),0%,VLOOKUP(A201,'Données projet'!$A$113:$I$133,6,0)*VLOOKUP('Données projet'!$B$12,Paramètres!$A$1:$I$88,7,0))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projet'!$B$12,Paramètres!$A$1:$I$88,3,0)*0.475*44/12</f>
        <v>#N/A</v>
      </c>
      <c r="CL201" s="23" t="e">
        <f>EXP(-LN(2)/25)*CL200+(1-EXP(-LN(2)/25))/(LN(2)/25)*Calculateur!CG201*Calculateur!CI201*VLOOKUP('Données projet'!$B$12,Paramètres!$A$1:$I$88,3,0)*0.475*44/12</f>
        <v>#N/A</v>
      </c>
      <c r="CM201" s="23" t="e">
        <f>EXP(-LN(2)/2)*CM200+(1-EXP(-LN(2)/2))/(LN(2)/2)*CG201*CJ201*VLOOKUP('Données projet'!$B$12,Paramètres!$A$1:$I$88,3,0)*0.475*44/12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projet'!$B$13,Paramètres!$A$1:$I$88,3,0)*VLOOKUP('Données projet'!$B$13,Paramètres!$A$1:$I$88,5,0)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projet'!$B$13,Paramètres!$A$1:$I$88,7,0))</f>
        <v>0</v>
      </c>
      <c r="DD201" s="17">
        <f>IF(ISNA(VLOOKUP(A201,'Données projet'!$A$139:$I$159,6,0)),0%,VLOOKUP(A201,'Données projet'!$A$139:$I$159,6,0)*VLOOKUP('Données projet'!$B$13,Paramètres!$A$1:$I$88,7,0))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projet'!$B$13,Paramètres!$A$1:$I$88,3,0)*0.475*44/12</f>
        <v>#N/A</v>
      </c>
      <c r="DG201" s="23" t="e">
        <f>EXP(-LN(2)/25)*DG200+(1-EXP(-LN(2)/25))/(LN(2)/25)*Calculateur!DB201*Calculateur!DD201*VLOOKUP('Données projet'!$B$13,Paramètres!$A$1:$I$88,3,0)*0.475*44/12</f>
        <v>#N/A</v>
      </c>
      <c r="DH201" s="23" t="e">
        <f>EXP(-LN(2)/2)*DH200+(1-EXP(-LN(2)/2))/(LN(2)/2)*DB201*DE201*VLOOKUP('Données projet'!$B$13,Paramètres!$A$1:$I$88,3,0)*0.475*44/12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projet'!$B$14,Paramètres!$A$1:$I$88,3,0)*VLOOKUP('Données projet'!$B$14,Paramètres!$A$1:$I$88,5,0)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projet'!$B$14,Paramètres!$A$1:$I$88,7,0))</f>
        <v>0</v>
      </c>
      <c r="DY201" s="17">
        <f>IF(ISNA(VLOOKUP(A201,'Données projet'!$A$165:$I$185,6,0)),0%,VLOOKUP(A201,'Données projet'!$A$165:$I$185,6,0)*VLOOKUP('Données projet'!$B$14,Paramètres!$A$1:$I$88,7,0))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projet'!$B$14,Paramètres!$A$1:$I$88,3,0)*0.475*44/12</f>
        <v>#N/A</v>
      </c>
      <c r="EB201" s="23" t="e">
        <f>EXP(-LN(2)/25)*EB200+(1-EXP(-LN(2)/25))/(LN(2)/25)*Calculateur!DW201*Calculateur!DY201*VLOOKUP('Données projet'!$B$14,Paramètres!$A$1:$I$88,3,0)*0.475*44/12</f>
        <v>#N/A</v>
      </c>
      <c r="EC201" s="23" t="e">
        <f>EXP(-LN(2)/2)*EC200+(1-EXP(-LN(2)/2))/(LN(2)/2)*DW201*DZ201*VLOOKUP('Données projet'!$B$14,Paramètres!$A$1:$I$88,3,0)*0.475*44/12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projet'!$B$15,Paramètres!$A$1:$I$88,3,0)*VLOOKUP('Données projet'!$B$15,Paramètres!$A$1:$I$88,5,0)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projet'!$B$15,Paramètres!$A$1:$I$88,7,0))</f>
        <v>0</v>
      </c>
      <c r="ET201" s="17">
        <f>IF(ISNA(VLOOKUP(A201,'Données projet'!$A$191:$I$211,6,0)),0%,VLOOKUP(A201,'Données projet'!$A$191:$I$211,6,0)*VLOOKUP('Données projet'!$B$15,Paramètres!$A$1:$I$88,7,0))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projet'!$B$15,Paramètres!$A$1:$I$88,3,0)*0.475*44/12</f>
        <v>#N/A</v>
      </c>
      <c r="EW201" s="23" t="e">
        <f>EXP(-LN(2)/25)*EW200+(1-EXP(-LN(2)/25))/(LN(2)/25)*Calculateur!ER201*Calculateur!ET201*VLOOKUP('Données projet'!$B$15,Paramètres!$A$1:$I$88,3,0)*0.475*44/12</f>
        <v>#N/A</v>
      </c>
      <c r="EX201" s="23" t="e">
        <f>EXP(-LN(2)/2)*EX200+(1-EXP(-LN(2)/2))/(LN(2)/2)*ER201*EU201*VLOOKUP('Données projet'!$B$15,Paramètres!$A$1:$I$88,3,0)*0.475*44/12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projet'!$B$16,Paramètres!$A$1:$I$88,3,0)*VLOOKUP('Données projet'!$B$16,Paramètres!$A$1:$I$88,5,0)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projet'!$B$16,Paramètres!$A$1:$I$88,7,0))</f>
        <v>0</v>
      </c>
      <c r="FO201" s="17">
        <f>IF(ISNA(VLOOKUP(A201,'Données projet'!$A$217:$I$237,6,0)),0%,VLOOKUP(A201,'Données projet'!$A$217:$I$237,6,0)*VLOOKUP('Données projet'!$B$16,Paramètres!$A$1:$I$88,7,0))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projet'!$B$16,Paramètres!$A$1:$I$88,3,0)*0.475*44/12</f>
        <v>#N/A</v>
      </c>
      <c r="FR201" s="23" t="e">
        <f>EXP(-LN(2)/25)*FR200+(1-EXP(-LN(2)/25))/(LN(2)/25)*Calculateur!FM201*Calculateur!FO201*VLOOKUP('Données projet'!$B$16,Paramètres!$A$1:$I$88,3,0)*0.475*44/12</f>
        <v>#N/A</v>
      </c>
      <c r="FS201" s="23" t="e">
        <f>EXP(-LN(2)/2)*FS200+(1-EXP(-LN(2)/2))/(LN(2)/2)*FM201*FP201*VLOOKUP('Données projet'!$B$16,Paramètres!$A$1:$I$88,3,0)*0.475*44/12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projet'!$B$17,Paramètres!$A$1:$I$88,3,0)*VLOOKUP('Données projet'!$B$17,Paramètres!$A$1:$I$88,5,0)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projet'!$B$17,Paramètres!$A$1:$I$88,7,0))</f>
        <v>0</v>
      </c>
      <c r="GJ201" s="17">
        <f>IF(ISNA(VLOOKUP(A201,'Données projet'!$A$243:$I$263,6,0)),0%,VLOOKUP(A201,'Données projet'!$A$243:$I$263,6,0)*VLOOKUP('Données projet'!$B$17,Paramètres!$A$1:$I$88,7,0))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projet'!$B$17,Paramètres!$A$1:$I$88,3,0)*0.475*44/12</f>
        <v>#N/A</v>
      </c>
      <c r="GM201" s="23" t="e">
        <f>EXP(-LN(2)/25)*GM200+(1-EXP(-LN(2)/25))/(LN(2)/25)*Calculateur!GH201*Calculateur!GJ201*VLOOKUP('Données projet'!$B$17,Paramètres!$A$1:$I$88,3,0)*0.475*44/12</f>
        <v>#N/A</v>
      </c>
      <c r="GN201" s="23" t="e">
        <f>EXP(-LN(2)/2)*GN200+(1-EXP(-LN(2)/2))/(LN(2)/2)*GH201*GK201*VLOOKUP('Données projet'!$B$17,Paramètres!$A$1:$I$88,3,0)*0.475*44/12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projet'!$B$18,Paramètres!$A$1:$I$88,3,0)*VLOOKUP('Données projet'!$B$18,Paramètres!$A$1:$I$88,5,0)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projet'!$B$18,Paramètres!$A$1:$I$88,7,0))</f>
        <v>0</v>
      </c>
      <c r="HE201" s="17">
        <f>IF(ISNA(VLOOKUP(A201,'Données projet'!$A$269:$I$289,6,0)),0%,VLOOKUP(A201,'Données projet'!$A$269:$I$289,6,0)*VLOOKUP('Données projet'!$B$18,Paramètres!$A$1:$I$88,7,0))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projet'!$B$18,Paramètres!$A$1:$I$88,3,0)*0.475*44/12</f>
        <v>#N/A</v>
      </c>
      <c r="HH201" s="23" t="e">
        <f>EXP(-LN(2)/25)*HH200+(1-EXP(-LN(2)/25))/(LN(2)/25)*Calculateur!HC201*Calculateur!HE201*VLOOKUP('Données projet'!$B$18,Paramètres!$A$1:$I$88,3,0)*0.475*44/12</f>
        <v>#N/A</v>
      </c>
      <c r="HI201" s="23" t="e">
        <f>EXP(-LN(2)/2)*HI200+(1-EXP(-LN(2)/2))/(LN(2)/2)*HC201*HF201*VLOOKUP('Données projet'!$B$18,Paramètres!$A$1:$I$88,3,0)*0.475*44/12</f>
        <v>#N/A</v>
      </c>
      <c r="HJ201" s="24" t="e">
        <f t="shared" si="190"/>
        <v>#N/A</v>
      </c>
    </row>
    <row r="202" spans="1:218" x14ac:dyDescent="0.3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4.5474735088646412E-13</v>
      </c>
      <c r="O202" s="14">
        <f>N202*VLOOKUP('Données projet'!$B$9,Paramètres!$A$1:$I$88,3,0)*VLOOKUP('Données projet'!$B$9,Paramètres!$A$1:$I$88,5,0)</f>
        <v>2.5420376914553347E-13</v>
      </c>
      <c r="P202" s="14">
        <f t="shared" si="203"/>
        <v>3.4258699088369875E-12</v>
      </c>
      <c r="Q202" s="22">
        <f t="shared" si="162"/>
        <v>6.4094616558195571E-12</v>
      </c>
      <c r="R202" s="62">
        <f t="shared" si="191"/>
        <v>290.51637186934255</v>
      </c>
      <c r="S202" s="62">
        <f ca="1">AVERAGE(OFFSET($R$3,0,0,'Données projet'!$E$9+1,1))-AVERAGE(OFFSET($H$3,0,0,'Données projet'!$E$9+1,1))</f>
        <v>367.03450586441784</v>
      </c>
      <c r="T202" s="62">
        <f t="shared" si="204"/>
        <v>413.14502442862897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projet'!$B$9,Paramètres!$A$1:$I$88,7,0))</f>
        <v>0</v>
      </c>
      <c r="X202" s="17">
        <f>IF(ISNA(VLOOKUP(A202,'Données projet'!$A$35:$I$55,6,0)),0%,VLOOKUP(A202,'Données projet'!$A$35:$I$55,6,0)*VLOOKUP('Données projet'!$B$9,Paramètres!$A$1:$I$88,7,0))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projet'!$B$9,Paramètres!$A$1:$I$88,3,0)*0.475*44/12</f>
        <v>15.266176955225289</v>
      </c>
      <c r="AA202" s="23">
        <f>EXP(-LN(2)/25)*AA201+(1-EXP(-LN(2)/25))/(LN(2)/25)*Calculateur!V202*Calculateur!X202*VLOOKUP('Données projet'!$B$9,Paramètres!$A$1:$I$88,3,0)*0.475*44/12</f>
        <v>2.8022433799973743</v>
      </c>
      <c r="AB202" s="23">
        <f>EXP(-LN(2)/2)*AB201+(1-EXP(-LN(2)/2))/(LN(2)/2)*V202*Y202*VLOOKUP('Données projet'!$B$9,Paramètres!$A$1:$I$88,3,0)*0.475*44/12</f>
        <v>0</v>
      </c>
      <c r="AC202" s="24">
        <f t="shared" si="163"/>
        <v>18.068420335222662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projet'!$B$10,Paramètres!$A$1:$I$88,3,0)*VLOOKUP('Données projet'!$B$10,Paramètres!$A$1:$I$88,5,0)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projet'!$B$10,Paramètres!$A$1:$I$88,7,0))</f>
        <v>0</v>
      </c>
      <c r="AS202" s="17">
        <f>IF(ISNA(VLOOKUP(A202,'Données projet'!$A$61:$I$81,6,0)),0%,VLOOKUP(A202,'Données projet'!$A$61:$I$81,6,0)*VLOOKUP('Données projet'!$B$10,Paramètres!$A$1:$I$88,7,0))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projet'!$B$10,Paramètres!$A$1:$I$88,3,0)*0.475*44/12</f>
        <v>#N/A</v>
      </c>
      <c r="AV202" s="23" t="e">
        <f>EXP(-LN(2)/25)*AV201+(1-EXP(-LN(2)/25))/(LN(2)/25)*Calculateur!AQ202*Calculateur!AS202*VLOOKUP('Données projet'!$B$10,Paramètres!$A$1:$I$88,3,0)*0.475*44/12</f>
        <v>#N/A</v>
      </c>
      <c r="AW202" s="23" t="e">
        <f>EXP(-LN(2)/2)*AW201+(1-EXP(-LN(2)/2))/(LN(2)/2)*AQ202*AT202*VLOOKUP('Données projet'!$B$10,Paramètres!$A$1:$I$88,3,0)*0.475*44/12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projet'!$B$11,Paramètres!$A$1:$I$88,3,0)*VLOOKUP('Données projet'!$B$11,Paramètres!$A$1:$I$88,5,0)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projet'!$B$11,Paramètres!$A$1:$I$88,7,0))</f>
        <v>0</v>
      </c>
      <c r="BN202" s="17">
        <f>IF(ISNA(VLOOKUP(A202,'Données projet'!$A$87:$I$107,6,0)),0%,VLOOKUP(A202,'Données projet'!$A$87:$I$107,6,0)*VLOOKUP('Données projet'!$B$11,Paramètres!$A$1:$I$88,7,0))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projet'!$B$11,Paramètres!$A$1:$I$88,3,0)*0.475*44/12</f>
        <v>#N/A</v>
      </c>
      <c r="BQ202" s="23" t="e">
        <f>EXP(-LN(2)/25)*BQ201+(1-EXP(-LN(2)/25))/(LN(2)/25)*Calculateur!BL202*Calculateur!BN202*VLOOKUP('Données projet'!$B$11,Paramètres!$A$1:$I$88,3,0)*0.475*44/12</f>
        <v>#N/A</v>
      </c>
      <c r="BR202" s="23" t="e">
        <f>EXP(-LN(2)/2)*BR201+(1-EXP(-LN(2)/2))/(LN(2)/2)*BL202*BO202*VLOOKUP('Données projet'!$B$11,Paramètres!$A$1:$I$88,3,0)*0.475*44/12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projet'!$B$12,Paramètres!$A$1:$I$88,3,0)*VLOOKUP('Données projet'!$B$12,Paramètres!$A$1:$I$88,5,0)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projet'!$B$12,Paramètres!$A$1:$I$88,7,0))</f>
        <v>0</v>
      </c>
      <c r="CI202" s="17">
        <f>IF(ISNA(VLOOKUP(A202,'Données projet'!$A$113:$I$133,6,0)),0%,VLOOKUP(A202,'Données projet'!$A$113:$I$133,6,0)*VLOOKUP('Données projet'!$B$12,Paramètres!$A$1:$I$88,7,0))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projet'!$B$12,Paramètres!$A$1:$I$88,3,0)*0.475*44/12</f>
        <v>#N/A</v>
      </c>
      <c r="CL202" s="23" t="e">
        <f>EXP(-LN(2)/25)*CL201+(1-EXP(-LN(2)/25))/(LN(2)/25)*Calculateur!CG202*Calculateur!CI202*VLOOKUP('Données projet'!$B$12,Paramètres!$A$1:$I$88,3,0)*0.475*44/12</f>
        <v>#N/A</v>
      </c>
      <c r="CM202" s="23" t="e">
        <f>EXP(-LN(2)/2)*CM201+(1-EXP(-LN(2)/2))/(LN(2)/2)*CG202*CJ202*VLOOKUP('Données projet'!$B$12,Paramètres!$A$1:$I$88,3,0)*0.475*44/12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projet'!$B$13,Paramètres!$A$1:$I$88,3,0)*VLOOKUP('Données projet'!$B$13,Paramètres!$A$1:$I$88,5,0)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projet'!$B$13,Paramètres!$A$1:$I$88,7,0))</f>
        <v>0</v>
      </c>
      <c r="DD202" s="17">
        <f>IF(ISNA(VLOOKUP(A202,'Données projet'!$A$139:$I$159,6,0)),0%,VLOOKUP(A202,'Données projet'!$A$139:$I$159,6,0)*VLOOKUP('Données projet'!$B$13,Paramètres!$A$1:$I$88,7,0))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projet'!$B$13,Paramètres!$A$1:$I$88,3,0)*0.475*44/12</f>
        <v>#N/A</v>
      </c>
      <c r="DG202" s="23" t="e">
        <f>EXP(-LN(2)/25)*DG201+(1-EXP(-LN(2)/25))/(LN(2)/25)*Calculateur!DB202*Calculateur!DD202*VLOOKUP('Données projet'!$B$13,Paramètres!$A$1:$I$88,3,0)*0.475*44/12</f>
        <v>#N/A</v>
      </c>
      <c r="DH202" s="23" t="e">
        <f>EXP(-LN(2)/2)*DH201+(1-EXP(-LN(2)/2))/(LN(2)/2)*DB202*DE202*VLOOKUP('Données projet'!$B$13,Paramètres!$A$1:$I$88,3,0)*0.475*44/12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projet'!$B$14,Paramètres!$A$1:$I$88,3,0)*VLOOKUP('Données projet'!$B$14,Paramètres!$A$1:$I$88,5,0)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projet'!$B$14,Paramètres!$A$1:$I$88,7,0))</f>
        <v>0</v>
      </c>
      <c r="DY202" s="17">
        <f>IF(ISNA(VLOOKUP(A202,'Données projet'!$A$165:$I$185,6,0)),0%,VLOOKUP(A202,'Données projet'!$A$165:$I$185,6,0)*VLOOKUP('Données projet'!$B$14,Paramètres!$A$1:$I$88,7,0))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projet'!$B$14,Paramètres!$A$1:$I$88,3,0)*0.475*44/12</f>
        <v>#N/A</v>
      </c>
      <c r="EB202" s="23" t="e">
        <f>EXP(-LN(2)/25)*EB201+(1-EXP(-LN(2)/25))/(LN(2)/25)*Calculateur!DW202*Calculateur!DY202*VLOOKUP('Données projet'!$B$14,Paramètres!$A$1:$I$88,3,0)*0.475*44/12</f>
        <v>#N/A</v>
      </c>
      <c r="EC202" s="23" t="e">
        <f>EXP(-LN(2)/2)*EC201+(1-EXP(-LN(2)/2))/(LN(2)/2)*DW202*DZ202*VLOOKUP('Données projet'!$B$14,Paramètres!$A$1:$I$88,3,0)*0.475*44/12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projet'!$B$15,Paramètres!$A$1:$I$88,3,0)*VLOOKUP('Données projet'!$B$15,Paramètres!$A$1:$I$88,5,0)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projet'!$B$15,Paramètres!$A$1:$I$88,7,0))</f>
        <v>0</v>
      </c>
      <c r="ET202" s="17">
        <f>IF(ISNA(VLOOKUP(A202,'Données projet'!$A$191:$I$211,6,0)),0%,VLOOKUP(A202,'Données projet'!$A$191:$I$211,6,0)*VLOOKUP('Données projet'!$B$15,Paramètres!$A$1:$I$88,7,0))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projet'!$B$15,Paramètres!$A$1:$I$88,3,0)*0.475*44/12</f>
        <v>#N/A</v>
      </c>
      <c r="EW202" s="23" t="e">
        <f>EXP(-LN(2)/25)*EW201+(1-EXP(-LN(2)/25))/(LN(2)/25)*Calculateur!ER202*Calculateur!ET202*VLOOKUP('Données projet'!$B$15,Paramètres!$A$1:$I$88,3,0)*0.475*44/12</f>
        <v>#N/A</v>
      </c>
      <c r="EX202" s="23" t="e">
        <f>EXP(-LN(2)/2)*EX201+(1-EXP(-LN(2)/2))/(LN(2)/2)*ER202*EU202*VLOOKUP('Données projet'!$B$15,Paramètres!$A$1:$I$88,3,0)*0.475*44/12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projet'!$B$16,Paramètres!$A$1:$I$88,3,0)*VLOOKUP('Données projet'!$B$16,Paramètres!$A$1:$I$88,5,0)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projet'!$B$16,Paramètres!$A$1:$I$88,7,0))</f>
        <v>0</v>
      </c>
      <c r="FO202" s="17">
        <f>IF(ISNA(VLOOKUP(A202,'Données projet'!$A$217:$I$237,6,0)),0%,VLOOKUP(A202,'Données projet'!$A$217:$I$237,6,0)*VLOOKUP('Données projet'!$B$16,Paramètres!$A$1:$I$88,7,0))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projet'!$B$16,Paramètres!$A$1:$I$88,3,0)*0.475*44/12</f>
        <v>#N/A</v>
      </c>
      <c r="FR202" s="23" t="e">
        <f>EXP(-LN(2)/25)*FR201+(1-EXP(-LN(2)/25))/(LN(2)/25)*Calculateur!FM202*Calculateur!FO202*VLOOKUP('Données projet'!$B$16,Paramètres!$A$1:$I$88,3,0)*0.475*44/12</f>
        <v>#N/A</v>
      </c>
      <c r="FS202" s="23" t="e">
        <f>EXP(-LN(2)/2)*FS201+(1-EXP(-LN(2)/2))/(LN(2)/2)*FM202*FP202*VLOOKUP('Données projet'!$B$16,Paramètres!$A$1:$I$88,3,0)*0.475*44/12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projet'!$B$17,Paramètres!$A$1:$I$88,3,0)*VLOOKUP('Données projet'!$B$17,Paramètres!$A$1:$I$88,5,0)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projet'!$B$17,Paramètres!$A$1:$I$88,7,0))</f>
        <v>0</v>
      </c>
      <c r="GJ202" s="17">
        <f>IF(ISNA(VLOOKUP(A202,'Données projet'!$A$243:$I$263,6,0)),0%,VLOOKUP(A202,'Données projet'!$A$243:$I$263,6,0)*VLOOKUP('Données projet'!$B$17,Paramètres!$A$1:$I$88,7,0))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projet'!$B$17,Paramètres!$A$1:$I$88,3,0)*0.475*44/12</f>
        <v>#N/A</v>
      </c>
      <c r="GM202" s="23" t="e">
        <f>EXP(-LN(2)/25)*GM201+(1-EXP(-LN(2)/25))/(LN(2)/25)*Calculateur!GH202*Calculateur!GJ202*VLOOKUP('Données projet'!$B$17,Paramètres!$A$1:$I$88,3,0)*0.475*44/12</f>
        <v>#N/A</v>
      </c>
      <c r="GN202" s="23" t="e">
        <f>EXP(-LN(2)/2)*GN201+(1-EXP(-LN(2)/2))/(LN(2)/2)*GH202*GK202*VLOOKUP('Données projet'!$B$17,Paramètres!$A$1:$I$88,3,0)*0.475*44/12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projet'!$B$18,Paramètres!$A$1:$I$88,3,0)*VLOOKUP('Données projet'!$B$18,Paramètres!$A$1:$I$88,5,0)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projet'!$B$18,Paramètres!$A$1:$I$88,7,0))</f>
        <v>0</v>
      </c>
      <c r="HE202" s="17">
        <f>IF(ISNA(VLOOKUP(A202,'Données projet'!$A$269:$I$289,6,0)),0%,VLOOKUP(A202,'Données projet'!$A$269:$I$289,6,0)*VLOOKUP('Données projet'!$B$18,Paramètres!$A$1:$I$88,7,0))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projet'!$B$18,Paramètres!$A$1:$I$88,3,0)*0.475*44/12</f>
        <v>#N/A</v>
      </c>
      <c r="HH202" s="23" t="e">
        <f>EXP(-LN(2)/25)*HH201+(1-EXP(-LN(2)/25))/(LN(2)/25)*Calculateur!HC202*Calculateur!HE202*VLOOKUP('Données projet'!$B$18,Paramètres!$A$1:$I$88,3,0)*0.475*44/12</f>
        <v>#N/A</v>
      </c>
      <c r="HI202" s="23" t="e">
        <f>EXP(-LN(2)/2)*HI201+(1-EXP(-LN(2)/2))/(LN(2)/2)*HC202*HF202*VLOOKUP('Données projet'!$B$18,Paramètres!$A$1:$I$88,3,0)*0.475*44/12</f>
        <v>#N/A</v>
      </c>
      <c r="HJ202" s="24" t="e">
        <f t="shared" si="190"/>
        <v>#N/A</v>
      </c>
    </row>
    <row r="203" spans="1:218" ht="15" thickBot="1" x14ac:dyDescent="0.4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4.5474735088646412E-13</v>
      </c>
      <c r="O203" s="14">
        <f>N203*VLOOKUP('Données projet'!$B$9,Paramètres!$A$1:$I$88,3,0)*VLOOKUP('Données projet'!$B$9,Paramètres!$A$1:$I$88,5,0)</f>
        <v>2.5420376914553347E-13</v>
      </c>
      <c r="P203" s="14">
        <f t="shared" si="203"/>
        <v>3.4258699088369875E-12</v>
      </c>
      <c r="Q203" s="22">
        <f t="shared" si="162"/>
        <v>6.4094616558195571E-12</v>
      </c>
      <c r="R203" s="62">
        <f t="shared" si="191"/>
        <v>290.56523985296053</v>
      </c>
      <c r="S203" s="62">
        <f ca="1">AVERAGE(OFFSET($R$3,0,0,'Données projet'!$E$9+1,1))-AVERAGE(OFFSET($H$3,0,0,'Données projet'!$E$9+1,1))</f>
        <v>367.03450586441784</v>
      </c>
      <c r="T203" s="62">
        <f t="shared" si="204"/>
        <v>413.14502442862897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projet'!$B$9,Paramètres!$A$1:$I$88,7,0))</f>
        <v>0</v>
      </c>
      <c r="X203" s="17">
        <f>IF(ISNA(VLOOKUP(A203,'Données projet'!$A$35:$I$55,6,0)),0%,VLOOKUP(A203,'Données projet'!$A$35:$I$55,6,0)*VLOOKUP('Données projet'!$B$9,Paramètres!$A$1:$I$88,7,0))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projet'!$B$9,Paramètres!$A$1:$I$88,3,0)*0.475*44/12</f>
        <v>14.966816536581835</v>
      </c>
      <c r="AA203" s="23">
        <f>EXP(-LN(2)/25)*AA202+(1-EXP(-LN(2)/25))/(LN(2)/25)*Calculateur!V203*Calculateur!X203*VLOOKUP('Données projet'!$B$9,Paramètres!$A$1:$I$88,3,0)*0.475*44/12</f>
        <v>2.7256158874077712</v>
      </c>
      <c r="AB203" s="23">
        <f>EXP(-LN(2)/2)*AB202+(1-EXP(-LN(2)/2))/(LN(2)/2)*V203*Y203*VLOOKUP('Données projet'!$B$9,Paramètres!$A$1:$I$88,3,0)*0.475*44/12</f>
        <v>0</v>
      </c>
      <c r="AC203" s="24">
        <f t="shared" si="163"/>
        <v>17.692432423989604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projet'!$B$10,Paramètres!$A$1:$I$88,3,0)*VLOOKUP('Données projet'!$B$10,Paramètres!$A$1:$I$88,5,0)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projet'!$B$10,Paramètres!$A$1:$I$88,7,0))</f>
        <v>0</v>
      </c>
      <c r="AS203" s="17">
        <f>IF(ISNA(VLOOKUP(A203,'Données projet'!$A$61:$I$81,6,0)),0%,VLOOKUP(A203,'Données projet'!$A$61:$I$81,6,0)*VLOOKUP('Données projet'!$B$10,Paramètres!$A$1:$I$88,7,0))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projet'!$B$10,Paramètres!$A$1:$I$88,3,0)*0.475*44/12</f>
        <v>#N/A</v>
      </c>
      <c r="AV203" s="23" t="e">
        <f>EXP(-LN(2)/25)*AV202+(1-EXP(-LN(2)/25))/(LN(2)/25)*Calculateur!AQ203*Calculateur!AS203*VLOOKUP('Données projet'!$B$10,Paramètres!$A$1:$I$88,3,0)*0.475*44/12</f>
        <v>#N/A</v>
      </c>
      <c r="AW203" s="23" t="e">
        <f>EXP(-LN(2)/2)*AW202+(1-EXP(-LN(2)/2))/(LN(2)/2)*AQ203*AT203*VLOOKUP('Données projet'!$B$10,Paramètres!$A$1:$I$88,3,0)*0.475*44/12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projet'!$B$11,Paramètres!$A$1:$I$88,3,0)*VLOOKUP('Données projet'!$B$11,Paramètres!$A$1:$I$88,5,0)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projet'!$B$11,Paramètres!$A$1:$I$88,7,0))</f>
        <v>0</v>
      </c>
      <c r="BN203" s="17">
        <f>IF(ISNA(VLOOKUP(A203,'Données projet'!$A$87:$I$107,6,0)),0%,VLOOKUP(A203,'Données projet'!$A$87:$I$107,6,0)*VLOOKUP('Données projet'!$B$11,Paramètres!$A$1:$I$88,7,0))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projet'!$B$11,Paramètres!$A$1:$I$88,3,0)*0.475*44/12</f>
        <v>#N/A</v>
      </c>
      <c r="BQ203" s="23" t="e">
        <f>EXP(-LN(2)/25)*BQ202+(1-EXP(-LN(2)/25))/(LN(2)/25)*Calculateur!BL203*Calculateur!BN203*VLOOKUP('Données projet'!$B$11,Paramètres!$A$1:$I$88,3,0)*0.475*44/12</f>
        <v>#N/A</v>
      </c>
      <c r="BR203" s="23" t="e">
        <f>EXP(-LN(2)/2)*BR202+(1-EXP(-LN(2)/2))/(LN(2)/2)*BL203*BO203*VLOOKUP('Données projet'!$B$11,Paramètres!$A$1:$I$88,3,0)*0.475*44/12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projet'!$B$12,Paramètres!$A$1:$I$88,3,0)*VLOOKUP('Données projet'!$B$12,Paramètres!$A$1:$I$88,5,0)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projet'!$B$12,Paramètres!$A$1:$I$88,7,0))</f>
        <v>0</v>
      </c>
      <c r="CI203" s="17">
        <f>IF(ISNA(VLOOKUP(A203,'Données projet'!$A$113:$I$133,6,0)),0%,VLOOKUP(A203,'Données projet'!$A$113:$I$133,6,0)*VLOOKUP('Données projet'!$B$12,Paramètres!$A$1:$I$88,7,0))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projet'!$B$12,Paramètres!$A$1:$I$88,3,0)*0.475*44/12</f>
        <v>#N/A</v>
      </c>
      <c r="CL203" s="23" t="e">
        <f>EXP(-LN(2)/25)*CL202+(1-EXP(-LN(2)/25))/(LN(2)/25)*Calculateur!CG203*Calculateur!CI203*VLOOKUP('Données projet'!$B$12,Paramètres!$A$1:$I$88,3,0)*0.475*44/12</f>
        <v>#N/A</v>
      </c>
      <c r="CM203" s="23" t="e">
        <f>EXP(-LN(2)/2)*CM202+(1-EXP(-LN(2)/2))/(LN(2)/2)*CG203*CJ203*VLOOKUP('Données projet'!$B$12,Paramètres!$A$1:$I$88,3,0)*0.475*44/12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projet'!$B$13,Paramètres!$A$1:$I$88,3,0)*VLOOKUP('Données projet'!$B$13,Paramètres!$A$1:$I$88,5,0)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projet'!$B$13,Paramètres!$A$1:$I$88,7,0))</f>
        <v>0</v>
      </c>
      <c r="DD203" s="17">
        <f>IF(ISNA(VLOOKUP(A203,'Données projet'!$A$139:$I$159,6,0)),0%,VLOOKUP(A203,'Données projet'!$A$139:$I$159,6,0)*VLOOKUP('Données projet'!$B$13,Paramètres!$A$1:$I$88,7,0))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projet'!$B$13,Paramètres!$A$1:$I$88,3,0)*0.475*44/12</f>
        <v>#N/A</v>
      </c>
      <c r="DG203" s="23" t="e">
        <f>EXP(-LN(2)/25)*DG202+(1-EXP(-LN(2)/25))/(LN(2)/25)*Calculateur!DB203*Calculateur!DD203*VLOOKUP('Données projet'!$B$13,Paramètres!$A$1:$I$88,3,0)*0.475*44/12</f>
        <v>#N/A</v>
      </c>
      <c r="DH203" s="23" t="e">
        <f>EXP(-LN(2)/2)*DH202+(1-EXP(-LN(2)/2))/(LN(2)/2)*DB203*DE203*VLOOKUP('Données projet'!$B$13,Paramètres!$A$1:$I$88,3,0)*0.475*44/12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projet'!$B$14,Paramètres!$A$1:$I$88,3,0)*VLOOKUP('Données projet'!$B$14,Paramètres!$A$1:$I$88,5,0)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projet'!$B$14,Paramètres!$A$1:$I$88,7,0))</f>
        <v>0</v>
      </c>
      <c r="DY203" s="17">
        <f>IF(ISNA(VLOOKUP(A203,'Données projet'!$A$165:$I$185,6,0)),0%,VLOOKUP(A203,'Données projet'!$A$165:$I$185,6,0)*VLOOKUP('Données projet'!$B$14,Paramètres!$A$1:$I$88,7,0))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projet'!$B$14,Paramètres!$A$1:$I$88,3,0)*0.475*44/12</f>
        <v>#N/A</v>
      </c>
      <c r="EB203" s="23" t="e">
        <f>EXP(-LN(2)/25)*EB202+(1-EXP(-LN(2)/25))/(LN(2)/25)*Calculateur!DW203*Calculateur!DY203*VLOOKUP('Données projet'!$B$14,Paramètres!$A$1:$I$88,3,0)*0.475*44/12</f>
        <v>#N/A</v>
      </c>
      <c r="EC203" s="23" t="e">
        <f>EXP(-LN(2)/2)*EC202+(1-EXP(-LN(2)/2))/(LN(2)/2)*DW203*DZ203*VLOOKUP('Données projet'!$B$14,Paramètres!$A$1:$I$88,3,0)*0.475*44/12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projet'!$B$15,Paramètres!$A$1:$I$88,3,0)*VLOOKUP('Données projet'!$B$15,Paramètres!$A$1:$I$88,5,0)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projet'!$B$15,Paramètres!$A$1:$I$88,7,0))</f>
        <v>0</v>
      </c>
      <c r="ET203" s="17">
        <f>IF(ISNA(VLOOKUP(A203,'Données projet'!$A$191:$I$211,6,0)),0%,VLOOKUP(A203,'Données projet'!$A$191:$I$211,6,0)*VLOOKUP('Données projet'!$B$15,Paramètres!$A$1:$I$88,7,0))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projet'!$B$15,Paramètres!$A$1:$I$88,3,0)*0.475*44/12</f>
        <v>#N/A</v>
      </c>
      <c r="EW203" s="23" t="e">
        <f>EXP(-LN(2)/25)*EW202+(1-EXP(-LN(2)/25))/(LN(2)/25)*Calculateur!ER203*Calculateur!ET203*VLOOKUP('Données projet'!$B$15,Paramètres!$A$1:$I$88,3,0)*0.475*44/12</f>
        <v>#N/A</v>
      </c>
      <c r="EX203" s="23" t="e">
        <f>EXP(-LN(2)/2)*EX202+(1-EXP(-LN(2)/2))/(LN(2)/2)*ER203*EU203*VLOOKUP('Données projet'!$B$15,Paramètres!$A$1:$I$88,3,0)*0.475*44/12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projet'!$B$16,Paramètres!$A$1:$I$88,3,0)*VLOOKUP('Données projet'!$B$16,Paramètres!$A$1:$I$88,5,0)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projet'!$B$16,Paramètres!$A$1:$I$88,7,0))</f>
        <v>0</v>
      </c>
      <c r="FO203" s="17">
        <f>IF(ISNA(VLOOKUP(A203,'Données projet'!$A$217:$I$237,6,0)),0%,VLOOKUP(A203,'Données projet'!$A$217:$I$237,6,0)*VLOOKUP('Données projet'!$B$16,Paramètres!$A$1:$I$88,7,0))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projet'!$B$16,Paramètres!$A$1:$I$88,3,0)*0.475*44/12</f>
        <v>#N/A</v>
      </c>
      <c r="FR203" s="23" t="e">
        <f>EXP(-LN(2)/25)*FR202+(1-EXP(-LN(2)/25))/(LN(2)/25)*Calculateur!FM203*Calculateur!FO203*VLOOKUP('Données projet'!$B$16,Paramètres!$A$1:$I$88,3,0)*0.475*44/12</f>
        <v>#N/A</v>
      </c>
      <c r="FS203" s="23" t="e">
        <f>EXP(-LN(2)/2)*FS202+(1-EXP(-LN(2)/2))/(LN(2)/2)*FM203*FP203*VLOOKUP('Données projet'!$B$16,Paramètres!$A$1:$I$88,3,0)*0.475*44/12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projet'!$B$17,Paramètres!$A$1:$I$88,3,0)*VLOOKUP('Données projet'!$B$17,Paramètres!$A$1:$I$88,5,0)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projet'!$B$17,Paramètres!$A$1:$I$88,7,0))</f>
        <v>0</v>
      </c>
      <c r="GJ203" s="17">
        <f>IF(ISNA(VLOOKUP(A203,'Données projet'!$A$243:$I$263,6,0)),0%,VLOOKUP(A203,'Données projet'!$A$243:$I$263,6,0)*VLOOKUP('Données projet'!$B$17,Paramètres!$A$1:$I$88,7,0))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projet'!$B$17,Paramètres!$A$1:$I$88,3,0)*0.475*44/12</f>
        <v>#N/A</v>
      </c>
      <c r="GM203" s="23" t="e">
        <f>EXP(-LN(2)/25)*GM202+(1-EXP(-LN(2)/25))/(LN(2)/25)*Calculateur!GH203*Calculateur!GJ203*VLOOKUP('Données projet'!$B$17,Paramètres!$A$1:$I$88,3,0)*0.475*44/12</f>
        <v>#N/A</v>
      </c>
      <c r="GN203" s="23" t="e">
        <f>EXP(-LN(2)/2)*GN202+(1-EXP(-LN(2)/2))/(LN(2)/2)*GH203*GK203*VLOOKUP('Données projet'!$B$17,Paramètres!$A$1:$I$88,3,0)*0.475*44/12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projet'!$B$18,Paramètres!$A$1:$I$88,3,0)*VLOOKUP('Données projet'!$B$18,Paramètres!$A$1:$I$88,5,0)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projet'!$B$18,Paramètres!$A$1:$I$88,7,0))</f>
        <v>0</v>
      </c>
      <c r="HE203" s="17">
        <f>IF(ISNA(VLOOKUP(A203,'Données projet'!$A$269:$I$289,6,0)),0%,VLOOKUP(A203,'Données projet'!$A$269:$I$289,6,0)*VLOOKUP('Données projet'!$B$18,Paramètres!$A$1:$I$88,7,0))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projet'!$B$18,Paramètres!$A$1:$I$88,3,0)*0.475*44/12</f>
        <v>#N/A</v>
      </c>
      <c r="HH203" s="23" t="e">
        <f>EXP(-LN(2)/25)*HH202+(1-EXP(-LN(2)/25))/(LN(2)/25)*Calculateur!HC203*Calculateur!HE203*VLOOKUP('Données projet'!$B$18,Paramètres!$A$1:$I$88,3,0)*0.475*44/12</f>
        <v>#N/A</v>
      </c>
      <c r="HI203" s="23" t="e">
        <f>EXP(-LN(2)/2)*HI202+(1-EXP(-LN(2)/2))/(LN(2)/2)*HC203*HF203*VLOOKUP('Données projet'!$B$18,Paramètres!$A$1:$I$88,3,0)*0.475*44/12</f>
        <v>#N/A</v>
      </c>
      <c r="HJ203" s="24" t="e">
        <f t="shared" si="190"/>
        <v>#N/A</v>
      </c>
    </row>
    <row r="204" spans="1:218" ht="15" thickBot="1" x14ac:dyDescent="0.4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294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294</v>
      </c>
      <c r="BA204" s="87" t="s">
        <v>294</v>
      </c>
      <c r="BV204" s="87" t="s">
        <v>294</v>
      </c>
      <c r="CQ204" s="87" t="s">
        <v>294</v>
      </c>
      <c r="DL204" s="87" t="s">
        <v>294</v>
      </c>
      <c r="EG204" s="87" t="s">
        <v>294</v>
      </c>
      <c r="FB204" s="87" t="s">
        <v>294</v>
      </c>
      <c r="FW204" s="87" t="s">
        <v>294</v>
      </c>
      <c r="GR204" s="87" t="s">
        <v>294</v>
      </c>
    </row>
    <row r="205" spans="1:218" ht="15" thickBot="1" x14ac:dyDescent="0.4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1.2477420770391454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pijpqe0Ylsjs9EpvAY4m52gXTBEEy40gXYONLP605lBROE4I+gEWLO8HbzDEOY09qTOgOqydyeGgVqRPK8zZ3g==" saltValue="1tsCNl6Hms155TjQS5tvm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4"/>
  <sheetViews>
    <sheetView workbookViewId="0">
      <selection activeCell="E10" sqref="E10"/>
    </sheetView>
  </sheetViews>
  <sheetFormatPr baseColWidth="10" defaultColWidth="11.453125" defaultRowHeight="14.5" x14ac:dyDescent="0.35"/>
  <cols>
    <col min="1" max="1" width="23.453125" style="5" bestFit="1" customWidth="1"/>
    <col min="2" max="2" width="27.7265625" style="5" bestFit="1" customWidth="1"/>
    <col min="3" max="3" width="11.81640625" style="5" bestFit="1" customWidth="1"/>
    <col min="4" max="4" width="40" style="5" bestFit="1" customWidth="1"/>
    <col min="5" max="5" width="11.81640625" style="5" bestFit="1" customWidth="1"/>
    <col min="6" max="6" width="13.7265625" style="5" bestFit="1" customWidth="1"/>
    <col min="7" max="7" width="11.453125" style="5" bestFit="1" customWidth="1"/>
    <col min="8" max="8" width="39" style="5" bestFit="1" customWidth="1"/>
    <col min="9" max="9" width="16.7265625" style="5" customWidth="1"/>
    <col min="10" max="14" width="11.453125" style="5"/>
    <col min="15" max="15" width="23.453125" style="5" bestFit="1" customWidth="1"/>
    <col min="16" max="16384" width="11.453125" style="5"/>
  </cols>
  <sheetData>
    <row r="1" spans="1:16" ht="44" thickBot="1" x14ac:dyDescent="0.4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2" t="s">
        <v>238</v>
      </c>
      <c r="P2" s="130">
        <v>0</v>
      </c>
    </row>
    <row r="3" spans="1:16" ht="15" thickBot="1" x14ac:dyDescent="0.4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3"/>
      <c r="P3" s="137">
        <v>0.2</v>
      </c>
    </row>
    <row r="4" spans="1:16" ht="15" thickBot="1" x14ac:dyDescent="0.4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2" t="s">
        <v>237</v>
      </c>
      <c r="P5" s="130">
        <v>0</v>
      </c>
    </row>
    <row r="6" spans="1:16" x14ac:dyDescent="0.3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4"/>
      <c r="P6" s="138">
        <v>0.05</v>
      </c>
    </row>
    <row r="7" spans="1:16" x14ac:dyDescent="0.3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4"/>
      <c r="P7" s="138">
        <v>0.1</v>
      </c>
    </row>
    <row r="8" spans="1:16" ht="15" thickBot="1" x14ac:dyDescent="0.4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3"/>
      <c r="P8" s="137">
        <v>0.15</v>
      </c>
    </row>
    <row r="9" spans="1:16" ht="15" thickBot="1" x14ac:dyDescent="0.4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2" t="s">
        <v>236</v>
      </c>
      <c r="P10" s="130">
        <v>0</v>
      </c>
    </row>
    <row r="11" spans="1:16" ht="15" thickBot="1" x14ac:dyDescent="0.4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3"/>
      <c r="P11" s="137">
        <v>0.1</v>
      </c>
    </row>
    <row r="12" spans="1:16" x14ac:dyDescent="0.3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5">
      <c r="A87" s="131" t="s">
        <v>148</v>
      </c>
      <c r="B87" s="139"/>
      <c r="C87" s="133">
        <v>0.42</v>
      </c>
      <c r="D87" s="133" t="s">
        <v>161</v>
      </c>
      <c r="E87" s="133">
        <v>1.3</v>
      </c>
      <c r="F87" s="134" t="s">
        <v>274</v>
      </c>
      <c r="G87" s="140"/>
      <c r="H87" s="139"/>
      <c r="I87" s="141"/>
    </row>
    <row r="88" spans="1:14" ht="15" thickBot="1" x14ac:dyDescent="0.4">
      <c r="A88" s="142" t="s">
        <v>149</v>
      </c>
      <c r="B88" s="143"/>
      <c r="C88" s="144">
        <v>0.56999999999999995</v>
      </c>
      <c r="D88" s="145" t="s">
        <v>161</v>
      </c>
      <c r="E88" s="144">
        <v>1.56</v>
      </c>
      <c r="F88" s="144" t="s">
        <v>274</v>
      </c>
      <c r="G88" s="143"/>
      <c r="H88" s="143"/>
      <c r="I88" s="146"/>
    </row>
    <row r="92" spans="1:14" x14ac:dyDescent="0.35">
      <c r="A92" s="131" t="s">
        <v>208</v>
      </c>
    </row>
    <row r="93" spans="1:14" x14ac:dyDescent="0.35">
      <c r="A93" s="131" t="s">
        <v>209</v>
      </c>
    </row>
    <row r="94" spans="1:14" x14ac:dyDescent="0.35">
      <c r="A94" s="131" t="s">
        <v>210</v>
      </c>
    </row>
  </sheetData>
  <sheetProtection algorithmName="SHA-512" hashValue="SU8v9sh0HK2j7Ogy/cb6KacbfRqtnO7n52wtgLVAit1FvWCcc+9YsrQFKwVx34OtTH0HMtzU1UNx2LBAmhOgWA==" saltValue="Ik5XPr131wfHnZW4R2rluw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I22" sqref="I22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5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5" thickBot="1" x14ac:dyDescent="0.65">
      <c r="A2" s="303" t="s">
        <v>271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4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58.5" thickBot="1" x14ac:dyDescent="0.4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5">
      <c r="A6" s="154" t="str">
        <f>IF('Données projet'!$B$9="","",'Données projet'!$B$9)</f>
        <v>Douglas</v>
      </c>
      <c r="B6" s="155">
        <f>'Données projet'!D9</f>
        <v>0.7127</v>
      </c>
      <c r="C6" s="156">
        <f ca="1">IF(OR('Données projet'!B9="",'Données projet'!C9="",'Données projet'!C9=0%),0,Calculateur!S3)</f>
        <v>367.03450586441784</v>
      </c>
      <c r="D6" s="156">
        <f>IF(OR('Données projet'!B9="",'Données projet'!C9="",'Données projet'!C9=0%),0,Calculateur!T3)</f>
        <v>413.14502442862897</v>
      </c>
      <c r="E6" s="156">
        <f ca="1">MIN(C6,D6)</f>
        <v>367.03450586441784</v>
      </c>
      <c r="F6" s="156">
        <f ca="1">E6*B6</f>
        <v>261.58549232957057</v>
      </c>
      <c r="G6" s="156">
        <f ca="1">F6*(100%-'Données projet'!$C$24)*(100%-'Données projet'!$C$25)*(100%-'Données projet'!$C$26)*(100%-'Données projet'!$C$27)</f>
        <v>211.88424878695216</v>
      </c>
      <c r="H6" s="157">
        <f>IF(OR('Données projet'!B9="",'Données projet'!C9="",'Données projet'!C9=0%),0,AVERAGE(Calculateur!$AC$3:$AC$33)*B6)</f>
        <v>2.7867322060845034</v>
      </c>
      <c r="I6" s="158">
        <f>H6*(100%-'Données projet'!$C$24)*(100%-'Données projet'!$C$25)*(100%-'Données projet'!$C$26)*(100%-'Données projet'!$C$27)</f>
        <v>2.2572530869284479</v>
      </c>
      <c r="J6" s="159">
        <f>IF(OR('Données projet'!B9="",'Données projet'!C9="",'Données projet'!C9=0%),0,SUM(Calculateur!$V$3:$V$33)*VLOOKUP('Données projet'!$B$9,Paramètres!$A$1:$I$88,9,0)*B6)</f>
        <v>18.081199000000002</v>
      </c>
      <c r="K6" s="160">
        <f>J6*(100%-'Données projet'!$C$24)*(100%-'Données projet'!$C$25)*(100%-'Données projet'!$C$26)*(100%-'Données projet'!$C$27)</f>
        <v>14.645771190000001</v>
      </c>
      <c r="L6" s="161">
        <f ca="1">G6+I6+K6</f>
        <v>228.7872730638806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projet'!$B$10,Paramètres!$A$1:$I$88,9,0)*B7)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projet'!$B$11,Paramètres!$A$1:$I$88,9,0)*B8)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projet'!$B$12,Paramètres!$A$1:$I$88,9,0)*B9)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projet'!$B$13,Paramètres!$A$1:$I$88,9,0)*B10)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projet'!$B$14,Paramètres!$A$1:$I$88,9,0)*B11)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projet'!$B$15,Paramètres!$A$1:$I$88,9,0)*B12)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projet'!$B$16,Paramètres!$A$1:$I$88,9,0)*B13)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projet'!$B$17,Paramètres!$A$1:$I$88,9,0)*B14)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4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projet'!$B$18,Paramètres!$A$1:$I$88,9,0)*B15)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4">
      <c r="A16" s="226"/>
      <c r="B16" s="233"/>
      <c r="C16" s="234"/>
      <c r="D16" s="25"/>
      <c r="E16" s="25"/>
      <c r="F16" s="174">
        <f t="shared" ref="F16:L16" ca="1" si="3">SUM(F6:F15)</f>
        <v>261.58549232957057</v>
      </c>
      <c r="G16" s="175">
        <f t="shared" ca="1" si="3"/>
        <v>211.88424878695216</v>
      </c>
      <c r="H16" s="176">
        <f t="shared" si="3"/>
        <v>2.7867322060845034</v>
      </c>
      <c r="I16" s="176">
        <f t="shared" si="3"/>
        <v>2.2572530869284479</v>
      </c>
      <c r="J16" s="177">
        <f t="shared" si="3"/>
        <v>18.081199000000002</v>
      </c>
      <c r="K16" s="177">
        <f t="shared" si="3"/>
        <v>14.645771190000001</v>
      </c>
      <c r="L16" s="178">
        <f t="shared" ca="1" si="3"/>
        <v>228.7872730638806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5">
      <c r="A17" s="226"/>
      <c r="B17" s="233"/>
      <c r="C17" s="234"/>
      <c r="D17" s="231"/>
      <c r="E17" s="231"/>
      <c r="F17" s="315" t="s">
        <v>246</v>
      </c>
      <c r="G17" s="316"/>
      <c r="H17" s="316"/>
      <c r="I17" s="316"/>
      <c r="J17" s="316"/>
      <c r="K17" s="316"/>
      <c r="L17" s="316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5">
      <c r="A18" s="226"/>
      <c r="B18" s="233"/>
      <c r="C18" s="234"/>
      <c r="D18" s="231"/>
      <c r="E18" s="231"/>
      <c r="F18" s="317"/>
      <c r="G18" s="317"/>
      <c r="H18" s="317"/>
      <c r="I18" s="317"/>
      <c r="J18" s="317"/>
      <c r="K18" s="317"/>
      <c r="L18" s="317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4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4">
      <c r="A21" s="179" t="str">
        <f>A6</f>
        <v>Douglas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4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4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4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4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4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4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4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4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4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4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4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4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4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4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4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4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4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4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5">
      <c r="I357" s="3"/>
      <c r="J357" s="3"/>
      <c r="K357" s="3"/>
      <c r="L357" s="3"/>
      <c r="M357" s="3"/>
    </row>
  </sheetData>
  <sheetProtection algorithmName="SHA-512" hashValue="lC9C/XHAr7uhq9UB/+5lGwCOtGNX6mpYUa9QfBsZAPKgWiW8PhyxW4px6LELycl6bAXquLbVNGeNjZI52f1EpA==" saltValue="wbvPzkOtGyEAPIHFcu2Eww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Normal="100" workbookViewId="0">
      <selection activeCell="R27" sqref="R27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3" customWidth="1"/>
    <col min="7" max="7" width="17.54296875" style="3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5" thickBot="1" x14ac:dyDescent="0.65">
      <c r="A2" s="5"/>
      <c r="B2" s="303" t="s">
        <v>272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5">
      <c r="A4" s="99"/>
      <c r="B4" s="99"/>
      <c r="C4" s="99"/>
      <c r="D4" s="99"/>
      <c r="E4" s="99"/>
      <c r="G4" s="180"/>
      <c r="H4" s="335" t="s">
        <v>316</v>
      </c>
      <c r="I4" s="335"/>
      <c r="K4" s="332" t="s">
        <v>253</v>
      </c>
      <c r="L4" s="333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4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6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4" t="s">
        <v>311</v>
      </c>
      <c r="S7" s="325"/>
      <c r="T7" s="325"/>
      <c r="U7" s="325"/>
      <c r="V7" s="32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5">
      <c r="A9" s="260" t="s">
        <v>312</v>
      </c>
      <c r="C9" s="25"/>
      <c r="D9" s="25"/>
      <c r="E9" s="25"/>
      <c r="F9" s="261"/>
      <c r="G9" s="260" t="s">
        <v>315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5">
      <c r="A10" s="260" t="s">
        <v>318</v>
      </c>
      <c r="C10" s="25"/>
      <c r="D10" s="25"/>
      <c r="E10" s="25"/>
      <c r="F10" s="261"/>
      <c r="G10" s="260" t="s">
        <v>317</v>
      </c>
      <c r="J10" s="214"/>
      <c r="K10" s="225"/>
      <c r="O10" s="25"/>
      <c r="P10" s="25"/>
      <c r="Q10" s="265"/>
      <c r="R10" s="25"/>
      <c r="S10" s="185" t="str">
        <f>B14</f>
        <v>Douglas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50.333105538346672</v>
      </c>
      <c r="U10" s="190">
        <f>'Données projet'!D9</f>
        <v>0.7127</v>
      </c>
      <c r="V10" s="189">
        <f>U10*T10</f>
        <v>35.872404317179672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5">
      <c r="A11" s="260" t="s">
        <v>313</v>
      </c>
      <c r="B11" s="25"/>
      <c r="C11" s="25"/>
      <c r="D11" s="25"/>
      <c r="E11" s="25"/>
      <c r="F11" s="261"/>
      <c r="G11" s="260" t="s">
        <v>314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5">
      <c r="A14" s="49" t="s">
        <v>165</v>
      </c>
      <c r="B14" s="186" t="str">
        <f>IF('Données projet'!$B$9="","",'Données projet'!$B$9)</f>
        <v>Douglas</v>
      </c>
      <c r="C14" s="5"/>
      <c r="D14" s="5"/>
      <c r="E14" s="5"/>
      <c r="F14" s="261"/>
      <c r="G14" s="221"/>
      <c r="H14" s="185" t="s">
        <v>178</v>
      </c>
      <c r="I14" s="185" t="s">
        <v>291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5">
      <c r="A15" s="5"/>
      <c r="B15" s="5"/>
      <c r="C15" s="5"/>
      <c r="D15" s="5"/>
      <c r="E15" s="5"/>
      <c r="F15" s="261"/>
      <c r="G15" s="336" t="s">
        <v>319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287</v>
      </c>
      <c r="F16" s="261"/>
      <c r="G16" s="336"/>
      <c r="H16" s="203"/>
      <c r="I16" s="204"/>
      <c r="J16" s="216"/>
      <c r="K16" s="225"/>
      <c r="L16" s="332" t="s">
        <v>254</v>
      </c>
      <c r="M16" s="333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5">
      <c r="A17" s="210">
        <v>0</v>
      </c>
      <c r="B17" s="213" t="s">
        <v>132</v>
      </c>
      <c r="C17" s="212" t="s">
        <v>132</v>
      </c>
      <c r="D17" s="211" t="s">
        <v>132</v>
      </c>
      <c r="E17" s="206">
        <v>0</v>
      </c>
      <c r="F17" s="261"/>
      <c r="G17" s="336"/>
      <c r="J17" s="216"/>
      <c r="K17" s="225"/>
      <c r="L17" s="290" t="s">
        <v>290</v>
      </c>
      <c r="M17" s="292"/>
      <c r="N17" s="187">
        <f>VLOOKUP(N16,Calculateur!$A$2:$H$153,3,0)/VLOOKUP('Scénario référence'!$G$15,Paramètres!A1:I88,3,0)/VLOOKUP('Scénario référence'!$G$15,Paramètres!A1:I88,5,0)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5">
      <c r="A18" s="210">
        <v>1</v>
      </c>
      <c r="B18" s="213" t="s">
        <v>132</v>
      </c>
      <c r="C18" s="212" t="s">
        <v>132</v>
      </c>
      <c r="D18" s="211" t="s">
        <v>132</v>
      </c>
      <c r="E18" s="206">
        <v>3135.88</v>
      </c>
      <c r="F18" s="261"/>
      <c r="G18" s="336"/>
      <c r="J18" s="216"/>
      <c r="K18" s="225"/>
      <c r="L18" s="290" t="s">
        <v>255</v>
      </c>
      <c r="M18" s="292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5">
      <c r="A19" s="210">
        <v>2</v>
      </c>
      <c r="B19" s="213" t="s">
        <v>132</v>
      </c>
      <c r="C19" s="212" t="s">
        <v>132</v>
      </c>
      <c r="D19" s="211" t="s">
        <v>132</v>
      </c>
      <c r="E19" s="206">
        <v>0</v>
      </c>
      <c r="F19" s="261"/>
      <c r="G19" s="336"/>
      <c r="H19" s="232" t="s">
        <v>178</v>
      </c>
      <c r="I19" s="232" t="s">
        <v>288</v>
      </c>
      <c r="J19" s="260"/>
      <c r="K19" s="183"/>
      <c r="L19" s="332" t="s">
        <v>289</v>
      </c>
      <c r="M19" s="333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5">
      <c r="A20" s="210">
        <v>3</v>
      </c>
      <c r="B20" s="213" t="s">
        <v>132</v>
      </c>
      <c r="C20" s="212" t="s">
        <v>132</v>
      </c>
      <c r="D20" s="211" t="s">
        <v>132</v>
      </c>
      <c r="E20" s="206">
        <v>0</v>
      </c>
      <c r="F20" s="261"/>
      <c r="G20" s="336"/>
      <c r="H20" s="203">
        <v>1</v>
      </c>
      <c r="I20" s="204">
        <v>18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5">
      <c r="A21" s="210">
        <v>4</v>
      </c>
      <c r="B21" s="213" t="s">
        <v>132</v>
      </c>
      <c r="C21" s="212" t="s">
        <v>132</v>
      </c>
      <c r="D21" s="211" t="s">
        <v>132</v>
      </c>
      <c r="E21" s="206">
        <v>0</v>
      </c>
      <c r="F21" s="261"/>
      <c r="H21" s="203">
        <v>2</v>
      </c>
      <c r="I21" s="204">
        <v>18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5">
      <c r="A22" s="210">
        <v>5</v>
      </c>
      <c r="B22" s="213" t="s">
        <v>132</v>
      </c>
      <c r="C22" s="212" t="s">
        <v>132</v>
      </c>
      <c r="D22" s="211" t="s">
        <v>132</v>
      </c>
      <c r="E22" s="206">
        <v>0</v>
      </c>
      <c r="F22" s="261"/>
      <c r="H22" s="203">
        <v>3</v>
      </c>
      <c r="I22" s="204">
        <v>18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5">
      <c r="A23" s="192">
        <f>'Données projet'!A36</f>
        <v>25</v>
      </c>
      <c r="B23" s="193">
        <f>'Données projet'!D36</f>
        <v>59</v>
      </c>
      <c r="C23" s="206">
        <v>11.20000095126435</v>
      </c>
      <c r="D23" s="194">
        <f>B23*C23</f>
        <v>660.80005612459661</v>
      </c>
      <c r="E23" s="206"/>
      <c r="F23" s="261"/>
      <c r="H23" s="203">
        <v>4</v>
      </c>
      <c r="I23" s="204">
        <v>18</v>
      </c>
      <c r="K23" s="225"/>
      <c r="L23" s="334" t="s">
        <v>260</v>
      </c>
      <c r="M23" s="334"/>
      <c r="N23" s="334"/>
      <c r="O23" s="25"/>
      <c r="P23" s="25"/>
      <c r="Q23" s="265"/>
      <c r="R23" s="25"/>
      <c r="S23" s="185" t="s">
        <v>264</v>
      </c>
      <c r="T23" s="32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-182.77378387713236</v>
      </c>
      <c r="U23" s="329"/>
      <c r="V23" s="32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5">
      <c r="A24" s="192">
        <f>'Données projet'!A37</f>
        <v>32</v>
      </c>
      <c r="B24" s="193">
        <f>'Données projet'!D37</f>
        <v>79</v>
      </c>
      <c r="C24" s="206">
        <v>21.79999928956207</v>
      </c>
      <c r="D24" s="194">
        <f t="shared" ref="D24:D42" si="2">B24*C24</f>
        <v>1722.1999438754035</v>
      </c>
      <c r="E24" s="206"/>
      <c r="F24" s="264"/>
      <c r="H24" s="203">
        <v>5</v>
      </c>
      <c r="I24" s="204">
        <v>18</v>
      </c>
      <c r="K24" s="225"/>
      <c r="O24" s="25"/>
      <c r="P24" s="25"/>
      <c r="Q24" s="265"/>
      <c r="R24" s="25"/>
      <c r="S24" s="185" t="s">
        <v>261</v>
      </c>
      <c r="T24" s="330">
        <f ca="1">'Scénario référence'!$B$8*$M$30*'Données projet'!$C$5+('Scénario référence'!B9+'Scénario référence'!B10+'Scénario référence'!F8+'Scénario référence'!F9)*$N$19/(1+M4)^N16*'Données projet'!$C$5</f>
        <v>2279.5178484544872</v>
      </c>
      <c r="U24" s="330"/>
      <c r="V24" s="33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5">
      <c r="A25" s="192">
        <f>'Données projet'!A38</f>
        <v>39</v>
      </c>
      <c r="B25" s="193">
        <f>'Données projet'!D38</f>
        <v>80</v>
      </c>
      <c r="C25" s="206">
        <v>21.799999999999997</v>
      </c>
      <c r="D25" s="194">
        <f t="shared" si="2"/>
        <v>1743.9999999999998</v>
      </c>
      <c r="E25" s="206"/>
      <c r="F25" s="264"/>
      <c r="G25" s="1"/>
      <c r="H25" s="203">
        <v>6</v>
      </c>
      <c r="I25" s="204">
        <v>18</v>
      </c>
      <c r="K25" s="225"/>
      <c r="L25" s="271" t="s">
        <v>285</v>
      </c>
      <c r="M25" s="271"/>
      <c r="N25" s="271"/>
      <c r="O25" s="271"/>
      <c r="P25" s="205">
        <v>145</v>
      </c>
      <c r="Q25" s="265"/>
      <c r="R25" s="25"/>
      <c r="S25" s="198" t="s">
        <v>266</v>
      </c>
      <c r="T25" s="331">
        <f ca="1">T23-T24</f>
        <v>-2462.2916323316194</v>
      </c>
      <c r="U25" s="331"/>
      <c r="V25" s="33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5">
      <c r="A26" s="192">
        <f>'Données projet'!A39</f>
        <v>45</v>
      </c>
      <c r="B26" s="193">
        <f>'Données projet'!D39</f>
        <v>86</v>
      </c>
      <c r="C26" s="206">
        <v>21.80000065261159</v>
      </c>
      <c r="D26" s="194">
        <f t="shared" si="2"/>
        <v>1874.8000561245967</v>
      </c>
      <c r="E26" s="206"/>
      <c r="F26" s="264"/>
      <c r="G26" s="259"/>
      <c r="H26" s="203">
        <v>7</v>
      </c>
      <c r="I26" s="204">
        <v>18</v>
      </c>
      <c r="K26" s="225"/>
      <c r="L26" s="318" t="s">
        <v>258</v>
      </c>
      <c r="M26" s="319"/>
      <c r="N26" s="319"/>
      <c r="O26" s="319"/>
      <c r="P26" s="320"/>
      <c r="Q26" s="265"/>
      <c r="R26" s="25"/>
      <c r="S26" s="198" t="s">
        <v>265</v>
      </c>
      <c r="T26" s="328" t="str">
        <f ca="1">IF(T25&lt;0,"Votre projet est additionnel","Votre projet n'est pas additionnel")</f>
        <v>Votre projet est additionnel</v>
      </c>
      <c r="U26" s="328"/>
      <c r="V26" s="32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5">
      <c r="A27" s="192">
        <f>'Données projet'!A40</f>
        <v>53</v>
      </c>
      <c r="B27" s="193">
        <f>'Données projet'!D40</f>
        <v>80</v>
      </c>
      <c r="C27" s="206">
        <v>43.8</v>
      </c>
      <c r="D27" s="194">
        <f t="shared" si="2"/>
        <v>3504</v>
      </c>
      <c r="E27" s="206"/>
      <c r="F27" s="264"/>
      <c r="G27" s="259"/>
      <c r="H27" s="203">
        <v>8</v>
      </c>
      <c r="I27" s="204">
        <v>18</v>
      </c>
      <c r="K27" s="225"/>
      <c r="L27" s="321"/>
      <c r="M27" s="322"/>
      <c r="N27" s="322"/>
      <c r="O27" s="322"/>
      <c r="P27" s="323"/>
      <c r="Q27" s="265"/>
      <c r="R27" s="25"/>
      <c r="S27" s="327" t="s">
        <v>267</v>
      </c>
      <c r="T27" s="327"/>
      <c r="U27" s="327"/>
      <c r="V27" s="32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5">
      <c r="A28" s="192">
        <f>'Données projet'!A41</f>
        <v>60</v>
      </c>
      <c r="B28" s="193">
        <f>'Données projet'!D41</f>
        <v>97</v>
      </c>
      <c r="C28" s="206">
        <v>43.799999710697954</v>
      </c>
      <c r="D28" s="194">
        <f t="shared" si="2"/>
        <v>4248.5999719377014</v>
      </c>
      <c r="E28" s="206"/>
      <c r="F28" s="264"/>
      <c r="G28" s="222"/>
      <c r="H28" s="203">
        <v>9</v>
      </c>
      <c r="I28" s="204">
        <v>18</v>
      </c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5">
      <c r="A29" s="192">
        <f>'Données projet'!A42</f>
        <v>67</v>
      </c>
      <c r="B29" s="193">
        <f>'Données projet'!D42</f>
        <v>521</v>
      </c>
      <c r="C29" s="206">
        <v>43.800000107724756</v>
      </c>
      <c r="D29" s="194">
        <f t="shared" si="2"/>
        <v>22819.800056124597</v>
      </c>
      <c r="E29" s="206"/>
      <c r="F29" s="264"/>
      <c r="G29" s="218"/>
      <c r="H29" s="203">
        <v>10</v>
      </c>
      <c r="I29" s="204">
        <v>18</v>
      </c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>
        <v>11</v>
      </c>
      <c r="I30" s="204">
        <v>18</v>
      </c>
      <c r="K30" s="195"/>
      <c r="L30" s="185" t="s">
        <v>259</v>
      </c>
      <c r="M30" s="196">
        <f ca="1">SUM(OFFSET($P$33,0,0,MIN('Données projet'!$E$9:$E$18)+1,1))</f>
        <v>3198.4254924294755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>
        <v>12</v>
      </c>
      <c r="I31" s="204">
        <v>18</v>
      </c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>
        <v>13</v>
      </c>
      <c r="I32" s="204">
        <v>18</v>
      </c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>
        <v>14</v>
      </c>
      <c r="I33" s="204">
        <v>18</v>
      </c>
      <c r="K33" s="183"/>
      <c r="L33" s="5"/>
      <c r="M33" s="5"/>
      <c r="N33" s="5"/>
      <c r="O33" s="207">
        <v>0</v>
      </c>
      <c r="P33" s="197">
        <f t="shared" ref="P33:P64" si="3">$P$25/(1+$M$4)^O33</f>
        <v>145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>
        <v>15</v>
      </c>
      <c r="I34" s="204">
        <v>18</v>
      </c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138.75598086124404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>
        <v>16</v>
      </c>
      <c r="I35" s="204">
        <v>18</v>
      </c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132.78084292942015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>
        <v>17</v>
      </c>
      <c r="I36" s="204">
        <v>18</v>
      </c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127.06300758796185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>
        <v>18</v>
      </c>
      <c r="I37" s="204">
        <v>18</v>
      </c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121.59139482101617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>
        <v>19</v>
      </c>
      <c r="I38" s="204">
        <v>18</v>
      </c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116.3554017425992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>
        <v>20</v>
      </c>
      <c r="I39" s="204">
        <v>18</v>
      </c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111.34488205033419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>
        <v>21</v>
      </c>
      <c r="I40" s="204">
        <v>18</v>
      </c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106.55012636395615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>
        <v>22</v>
      </c>
      <c r="I41" s="204">
        <v>18</v>
      </c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101.96184341048439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>
        <v>23</v>
      </c>
      <c r="I42" s="204">
        <v>18</v>
      </c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97.571142019602291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5">
      <c r="A43" s="199"/>
      <c r="B43" s="199"/>
      <c r="C43" s="199"/>
      <c r="D43" s="256"/>
      <c r="E43" s="256"/>
      <c r="F43" s="269"/>
      <c r="G43" s="218"/>
      <c r="H43" s="203">
        <v>24</v>
      </c>
      <c r="I43" s="204">
        <v>18</v>
      </c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93.369513894356274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5">
      <c r="A44" s="5"/>
      <c r="B44" s="5"/>
      <c r="C44" s="5"/>
      <c r="D44" s="5"/>
      <c r="E44" s="5"/>
      <c r="F44" s="261"/>
      <c r="G44" s="218"/>
      <c r="H44" s="203">
        <v>25</v>
      </c>
      <c r="I44" s="204">
        <v>18</v>
      </c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89.348817123785906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>
        <v>26</v>
      </c>
      <c r="I45" s="204">
        <v>18</v>
      </c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85.501260405536769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5">
      <c r="A46" s="5"/>
      <c r="B46" s="5"/>
      <c r="C46" s="5"/>
      <c r="D46" s="5"/>
      <c r="E46" s="5"/>
      <c r="F46" s="261"/>
      <c r="G46" s="218"/>
      <c r="H46" s="203">
        <v>27</v>
      </c>
      <c r="I46" s="204">
        <v>18</v>
      </c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81.819387947882078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287</v>
      </c>
      <c r="F47" s="262"/>
      <c r="G47" s="218"/>
      <c r="H47" s="203">
        <v>28</v>
      </c>
      <c r="I47" s="204">
        <v>18</v>
      </c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78.296065021896737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>
        <v>29</v>
      </c>
      <c r="I48" s="204">
        <v>18</v>
      </c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74.924464135786351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>
        <v>30</v>
      </c>
      <c r="I49" s="204">
        <v>18</v>
      </c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71.698051804580274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>
        <v>31</v>
      </c>
      <c r="I50" s="204">
        <v>18</v>
      </c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68.610575889550489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>
        <v>32</v>
      </c>
      <c r="I51" s="204">
        <v>18</v>
      </c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65.656053482823452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>
        <v>33</v>
      </c>
      <c r="I52" s="204">
        <v>18</v>
      </c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62.828759313706655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>
        <v>34</v>
      </c>
      <c r="I53" s="204">
        <v>18</v>
      </c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60.123214654264757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>
        <v>35</v>
      </c>
      <c r="I54" s="204">
        <v>18</v>
      </c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57.534176702645695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>
        <v>36</v>
      </c>
      <c r="I55" s="204">
        <v>18</v>
      </c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55.056628423584421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>
        <v>37</v>
      </c>
      <c r="I56" s="204">
        <v>18</v>
      </c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52.685768826396568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>
        <v>38</v>
      </c>
      <c r="I57" s="204">
        <v>18</v>
      </c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50.417003661623525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>
        <v>39</v>
      </c>
      <c r="I58" s="204">
        <v>18</v>
      </c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48.24593651830002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>
        <v>40</v>
      </c>
      <c r="I59" s="204">
        <v>18</v>
      </c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46.168360304593335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>
        <v>41</v>
      </c>
      <c r="I60" s="204">
        <v>18</v>
      </c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44.180249095304625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>
        <v>42</v>
      </c>
      <c r="I61" s="204">
        <v>18</v>
      </c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42.277750330435062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>
        <v>43</v>
      </c>
      <c r="I62" s="204">
        <v>18</v>
      </c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40.457177349698618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>
        <v>44</v>
      </c>
      <c r="I63" s="204">
        <v>18</v>
      </c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38.715002248515432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>
        <v>45</v>
      </c>
      <c r="I64" s="204">
        <v>18</v>
      </c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37.047849041641555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35.452487121188113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33.925824996352269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32.464904302729444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31.066894069597556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29.729085234064652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28.44888539144943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27.223813771721947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26.051496432269804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24.929661657674462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23.856135557583219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22.828837854146624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21.845777850858013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20.905050574983747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287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20.004833086108849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19.143380943644836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18.319024826454388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17.530167298042482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16.775279711045439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16.05289924501956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15.361626071789054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14.700120642860343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14.06710109364626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13.461340759470112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12.881665798535989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12.326952917259323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11.796127193549593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11.288159993827364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10.802066979739104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10.336906200707279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9.8917762686194042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9.4658146111190504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5"/>
        <v>9.0581958001139231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7">$P$25/(1+$M$4)^O97</f>
        <v>8.6681299522621309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7"/>
        <v>8.2948611983369673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7"/>
        <v>7.9376662185042779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7"/>
        <v>7.5958528406739489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str">
        <f>IF(O100+1&lt;=MIN('Données projet'!$E$9:$E$18),O100+1,"STOP")</f>
        <v>STOP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287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287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287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287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287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287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287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okQo/kRoK/jfjuAaoMyM0XgB43xLErDOlD6fNnDn0anV8vgxgJ3BLEeIxbFf97SrUUnRqs6xEX05XlNiXHoWag==" saltValue="+h6Xbsy8Ch1n1hTXPTafZw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ablond@neosylva.fr</cp:lastModifiedBy>
  <dcterms:created xsi:type="dcterms:W3CDTF">2021-02-01T08:22:39Z</dcterms:created>
  <dcterms:modified xsi:type="dcterms:W3CDTF">2022-01-26T17:51:19Z</dcterms:modified>
</cp:coreProperties>
</file>